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vplayer-my.sharepoint.com/personal/shane_kingi_nvplay_com/Documents/Documents/Hospitality Services NZ/Apps/Flux/Flux Pro/analyser/dist/"/>
    </mc:Choice>
  </mc:AlternateContent>
  <xr:revisionPtr revIDLastSave="75" documentId="11_BB192E646B8FBF2332FA7FB9E311BF28D6FB2A1E" xr6:coauthVersionLast="47" xr6:coauthVersionMax="47" xr10:uidLastSave="{EFD2707D-CC2A-4A4F-A62D-16A74E952354}"/>
  <bookViews>
    <workbookView xWindow="-14085" yWindow="-16320" windowWidth="29040" windowHeight="15720" tabRatio="500" activeTab="1" xr2:uid="{00000000-000D-0000-FFFF-FFFF00000000}"/>
  </bookViews>
  <sheets>
    <sheet name="Start here" sheetId="1" r:id="rId1"/>
    <sheet name="Report" sheetId="2" r:id="rId2"/>
    <sheet name="Where it goes" sheetId="3" r:id="rId3"/>
    <sheet name="Rhythm" sheetId="4" r:id="rId4"/>
    <sheet name="Focus" sheetId="5" r:id="rId5"/>
    <sheet name="Compare" sheetId="6" r:id="rId6"/>
    <sheet name="Value" sheetId="7" r:id="rId7"/>
    <sheet name="Data quality" sheetId="8" r:id="rId8"/>
    <sheet name="Settings" sheetId="9" r:id="rId9"/>
    <sheet name="Data" sheetId="10" r:id="rId10"/>
  </sheets>
  <definedNames>
    <definedName name="_xlnm.Print_Area" localSheetId="1">Report!$B$1:$Z$107</definedName>
    <definedName name="_xlnm.Print_Area" localSheetId="0">'Start here'!$B$1:$E$52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6" i="7" l="1"/>
  <c r="AK1201" i="10"/>
  <c r="AB1201" i="10"/>
  <c r="AA1201" i="10"/>
  <c r="X1201" i="10"/>
  <c r="Y1201" i="10" s="1"/>
  <c r="V1201" i="10"/>
  <c r="W1201" i="10" s="1"/>
  <c r="T1201" i="10"/>
  <c r="U1201" i="10" s="1"/>
  <c r="S1201" i="10"/>
  <c r="P1201" i="10"/>
  <c r="AO1201" i="10" s="1"/>
  <c r="AQ1201" i="10" s="1"/>
  <c r="O1201" i="10"/>
  <c r="N1201" i="10"/>
  <c r="AK1200" i="10"/>
  <c r="AB1200" i="10"/>
  <c r="AA1200" i="10"/>
  <c r="X1200" i="10"/>
  <c r="Y1200" i="10" s="1"/>
  <c r="V1200" i="10"/>
  <c r="W1200" i="10" s="1"/>
  <c r="T1200" i="10"/>
  <c r="U1200" i="10" s="1"/>
  <c r="S1200" i="10"/>
  <c r="P1200" i="10"/>
  <c r="AO1200" i="10" s="1"/>
  <c r="AQ1200" i="10" s="1"/>
  <c r="O1200" i="10"/>
  <c r="N1200" i="10"/>
  <c r="AK1199" i="10"/>
  <c r="AB1199" i="10"/>
  <c r="AA1199" i="10"/>
  <c r="X1199" i="10"/>
  <c r="Y1199" i="10" s="1"/>
  <c r="V1199" i="10"/>
  <c r="W1199" i="10" s="1"/>
  <c r="T1199" i="10"/>
  <c r="U1199" i="10" s="1"/>
  <c r="S1199" i="10"/>
  <c r="P1199" i="10"/>
  <c r="AO1199" i="10" s="1"/>
  <c r="AQ1199" i="10" s="1"/>
  <c r="O1199" i="10"/>
  <c r="N1199" i="10"/>
  <c r="AK1198" i="10"/>
  <c r="AB1198" i="10"/>
  <c r="AA1198" i="10"/>
  <c r="X1198" i="10"/>
  <c r="Y1198" i="10" s="1"/>
  <c r="V1198" i="10"/>
  <c r="W1198" i="10" s="1"/>
  <c r="T1198" i="10"/>
  <c r="U1198" i="10" s="1"/>
  <c r="S1198" i="10"/>
  <c r="P1198" i="10"/>
  <c r="AO1198" i="10" s="1"/>
  <c r="AQ1198" i="10" s="1"/>
  <c r="O1198" i="10"/>
  <c r="N1198" i="10"/>
  <c r="AK1197" i="10"/>
  <c r="AB1197" i="10"/>
  <c r="AA1197" i="10"/>
  <c r="X1197" i="10"/>
  <c r="Y1197" i="10" s="1"/>
  <c r="V1197" i="10"/>
  <c r="W1197" i="10" s="1"/>
  <c r="T1197" i="10"/>
  <c r="U1197" i="10" s="1"/>
  <c r="S1197" i="10"/>
  <c r="P1197" i="10"/>
  <c r="AO1197" i="10" s="1"/>
  <c r="AQ1197" i="10" s="1"/>
  <c r="O1197" i="10"/>
  <c r="N1197" i="10"/>
  <c r="AK1196" i="10"/>
  <c r="AB1196" i="10"/>
  <c r="AA1196" i="10"/>
  <c r="X1196" i="10"/>
  <c r="Y1196" i="10" s="1"/>
  <c r="V1196" i="10"/>
  <c r="W1196" i="10" s="1"/>
  <c r="T1196" i="10"/>
  <c r="U1196" i="10" s="1"/>
  <c r="S1196" i="10"/>
  <c r="P1196" i="10"/>
  <c r="AO1196" i="10" s="1"/>
  <c r="AQ1196" i="10" s="1"/>
  <c r="O1196" i="10"/>
  <c r="N1196" i="10"/>
  <c r="AK1195" i="10"/>
  <c r="AB1195" i="10"/>
  <c r="AA1195" i="10"/>
  <c r="X1195" i="10"/>
  <c r="Y1195" i="10" s="1"/>
  <c r="V1195" i="10"/>
  <c r="W1195" i="10" s="1"/>
  <c r="T1195" i="10"/>
  <c r="U1195" i="10" s="1"/>
  <c r="S1195" i="10"/>
  <c r="P1195" i="10"/>
  <c r="AO1195" i="10" s="1"/>
  <c r="AQ1195" i="10" s="1"/>
  <c r="O1195" i="10"/>
  <c r="N1195" i="10"/>
  <c r="AK1194" i="10"/>
  <c r="AB1194" i="10"/>
  <c r="AA1194" i="10"/>
  <c r="X1194" i="10"/>
  <c r="Y1194" i="10" s="1"/>
  <c r="V1194" i="10"/>
  <c r="W1194" i="10" s="1"/>
  <c r="T1194" i="10"/>
  <c r="U1194" i="10" s="1"/>
  <c r="S1194" i="10"/>
  <c r="P1194" i="10"/>
  <c r="AO1194" i="10" s="1"/>
  <c r="AQ1194" i="10" s="1"/>
  <c r="O1194" i="10"/>
  <c r="N1194" i="10"/>
  <c r="AK1193" i="10"/>
  <c r="AB1193" i="10"/>
  <c r="AA1193" i="10"/>
  <c r="X1193" i="10"/>
  <c r="Y1193" i="10" s="1"/>
  <c r="V1193" i="10"/>
  <c r="W1193" i="10" s="1"/>
  <c r="T1193" i="10"/>
  <c r="U1193" i="10" s="1"/>
  <c r="S1193" i="10"/>
  <c r="P1193" i="10"/>
  <c r="AO1193" i="10" s="1"/>
  <c r="AQ1193" i="10" s="1"/>
  <c r="O1193" i="10"/>
  <c r="N1193" i="10"/>
  <c r="AK1192" i="10"/>
  <c r="AB1192" i="10"/>
  <c r="AA1192" i="10"/>
  <c r="X1192" i="10"/>
  <c r="Y1192" i="10" s="1"/>
  <c r="V1192" i="10"/>
  <c r="W1192" i="10" s="1"/>
  <c r="T1192" i="10"/>
  <c r="U1192" i="10" s="1"/>
  <c r="S1192" i="10"/>
  <c r="P1192" i="10"/>
  <c r="AO1192" i="10" s="1"/>
  <c r="AQ1192" i="10" s="1"/>
  <c r="O1192" i="10"/>
  <c r="N1192" i="10"/>
  <c r="AK1191" i="10"/>
  <c r="AB1191" i="10"/>
  <c r="AA1191" i="10"/>
  <c r="X1191" i="10"/>
  <c r="Y1191" i="10" s="1"/>
  <c r="V1191" i="10"/>
  <c r="W1191" i="10" s="1"/>
  <c r="T1191" i="10"/>
  <c r="U1191" i="10" s="1"/>
  <c r="S1191" i="10"/>
  <c r="P1191" i="10"/>
  <c r="AO1191" i="10" s="1"/>
  <c r="AQ1191" i="10" s="1"/>
  <c r="O1191" i="10"/>
  <c r="N1191" i="10"/>
  <c r="AK1190" i="10"/>
  <c r="AB1190" i="10"/>
  <c r="AA1190" i="10"/>
  <c r="X1190" i="10"/>
  <c r="Y1190" i="10" s="1"/>
  <c r="V1190" i="10"/>
  <c r="W1190" i="10" s="1"/>
  <c r="T1190" i="10"/>
  <c r="U1190" i="10" s="1"/>
  <c r="S1190" i="10"/>
  <c r="P1190" i="10"/>
  <c r="AO1190" i="10" s="1"/>
  <c r="AQ1190" i="10" s="1"/>
  <c r="O1190" i="10"/>
  <c r="N1190" i="10"/>
  <c r="AK1189" i="10"/>
  <c r="AB1189" i="10"/>
  <c r="AA1189" i="10"/>
  <c r="X1189" i="10"/>
  <c r="Y1189" i="10" s="1"/>
  <c r="V1189" i="10"/>
  <c r="W1189" i="10" s="1"/>
  <c r="T1189" i="10"/>
  <c r="U1189" i="10" s="1"/>
  <c r="S1189" i="10"/>
  <c r="P1189" i="10"/>
  <c r="AO1189" i="10" s="1"/>
  <c r="AQ1189" i="10" s="1"/>
  <c r="O1189" i="10"/>
  <c r="N1189" i="10"/>
  <c r="AK1188" i="10"/>
  <c r="AB1188" i="10"/>
  <c r="AA1188" i="10"/>
  <c r="X1188" i="10"/>
  <c r="Y1188" i="10" s="1"/>
  <c r="V1188" i="10"/>
  <c r="W1188" i="10" s="1"/>
  <c r="T1188" i="10"/>
  <c r="U1188" i="10" s="1"/>
  <c r="S1188" i="10"/>
  <c r="P1188" i="10"/>
  <c r="AO1188" i="10" s="1"/>
  <c r="AQ1188" i="10" s="1"/>
  <c r="O1188" i="10"/>
  <c r="N1188" i="10"/>
  <c r="AK1187" i="10"/>
  <c r="AB1187" i="10"/>
  <c r="AA1187" i="10"/>
  <c r="X1187" i="10"/>
  <c r="Y1187" i="10" s="1"/>
  <c r="V1187" i="10"/>
  <c r="W1187" i="10" s="1"/>
  <c r="T1187" i="10"/>
  <c r="U1187" i="10" s="1"/>
  <c r="S1187" i="10"/>
  <c r="P1187" i="10"/>
  <c r="AO1187" i="10" s="1"/>
  <c r="AQ1187" i="10" s="1"/>
  <c r="O1187" i="10"/>
  <c r="N1187" i="10"/>
  <c r="AK1186" i="10"/>
  <c r="AB1186" i="10"/>
  <c r="AA1186" i="10"/>
  <c r="X1186" i="10"/>
  <c r="Y1186" i="10" s="1"/>
  <c r="V1186" i="10"/>
  <c r="W1186" i="10" s="1"/>
  <c r="T1186" i="10"/>
  <c r="U1186" i="10" s="1"/>
  <c r="S1186" i="10"/>
  <c r="P1186" i="10"/>
  <c r="AO1186" i="10" s="1"/>
  <c r="AQ1186" i="10" s="1"/>
  <c r="O1186" i="10"/>
  <c r="N1186" i="10"/>
  <c r="AK1185" i="10"/>
  <c r="AB1185" i="10"/>
  <c r="AA1185" i="10"/>
  <c r="X1185" i="10"/>
  <c r="Y1185" i="10" s="1"/>
  <c r="V1185" i="10"/>
  <c r="W1185" i="10" s="1"/>
  <c r="T1185" i="10"/>
  <c r="U1185" i="10" s="1"/>
  <c r="S1185" i="10"/>
  <c r="P1185" i="10"/>
  <c r="AO1185" i="10" s="1"/>
  <c r="AQ1185" i="10" s="1"/>
  <c r="O1185" i="10"/>
  <c r="N1185" i="10"/>
  <c r="AK1184" i="10"/>
  <c r="AB1184" i="10"/>
  <c r="AA1184" i="10"/>
  <c r="X1184" i="10"/>
  <c r="Y1184" i="10" s="1"/>
  <c r="V1184" i="10"/>
  <c r="W1184" i="10" s="1"/>
  <c r="T1184" i="10"/>
  <c r="U1184" i="10" s="1"/>
  <c r="S1184" i="10"/>
  <c r="P1184" i="10"/>
  <c r="AO1184" i="10" s="1"/>
  <c r="AQ1184" i="10" s="1"/>
  <c r="O1184" i="10"/>
  <c r="N1184" i="10"/>
  <c r="AK1183" i="10"/>
  <c r="AB1183" i="10"/>
  <c r="AA1183" i="10"/>
  <c r="X1183" i="10"/>
  <c r="Y1183" i="10" s="1"/>
  <c r="V1183" i="10"/>
  <c r="W1183" i="10" s="1"/>
  <c r="T1183" i="10"/>
  <c r="U1183" i="10" s="1"/>
  <c r="S1183" i="10"/>
  <c r="P1183" i="10"/>
  <c r="AO1183" i="10" s="1"/>
  <c r="AQ1183" i="10" s="1"/>
  <c r="O1183" i="10"/>
  <c r="N1183" i="10"/>
  <c r="AK1182" i="10"/>
  <c r="AB1182" i="10"/>
  <c r="AA1182" i="10"/>
  <c r="X1182" i="10"/>
  <c r="Y1182" i="10" s="1"/>
  <c r="V1182" i="10"/>
  <c r="W1182" i="10" s="1"/>
  <c r="T1182" i="10"/>
  <c r="U1182" i="10" s="1"/>
  <c r="S1182" i="10"/>
  <c r="P1182" i="10"/>
  <c r="AO1182" i="10" s="1"/>
  <c r="AQ1182" i="10" s="1"/>
  <c r="O1182" i="10"/>
  <c r="N1182" i="10"/>
  <c r="AK1181" i="10"/>
  <c r="AB1181" i="10"/>
  <c r="AA1181" i="10"/>
  <c r="X1181" i="10"/>
  <c r="Y1181" i="10" s="1"/>
  <c r="V1181" i="10"/>
  <c r="W1181" i="10" s="1"/>
  <c r="T1181" i="10"/>
  <c r="U1181" i="10" s="1"/>
  <c r="S1181" i="10"/>
  <c r="P1181" i="10"/>
  <c r="AO1181" i="10" s="1"/>
  <c r="AQ1181" i="10" s="1"/>
  <c r="O1181" i="10"/>
  <c r="N1181" i="10"/>
  <c r="AK1180" i="10"/>
  <c r="AB1180" i="10"/>
  <c r="AA1180" i="10"/>
  <c r="X1180" i="10"/>
  <c r="Y1180" i="10" s="1"/>
  <c r="V1180" i="10"/>
  <c r="W1180" i="10" s="1"/>
  <c r="T1180" i="10"/>
  <c r="U1180" i="10" s="1"/>
  <c r="S1180" i="10"/>
  <c r="P1180" i="10"/>
  <c r="AO1180" i="10" s="1"/>
  <c r="AQ1180" i="10" s="1"/>
  <c r="O1180" i="10"/>
  <c r="N1180" i="10"/>
  <c r="AK1179" i="10"/>
  <c r="AB1179" i="10"/>
  <c r="AA1179" i="10"/>
  <c r="X1179" i="10"/>
  <c r="Y1179" i="10" s="1"/>
  <c r="V1179" i="10"/>
  <c r="W1179" i="10" s="1"/>
  <c r="T1179" i="10"/>
  <c r="U1179" i="10" s="1"/>
  <c r="S1179" i="10"/>
  <c r="P1179" i="10"/>
  <c r="AO1179" i="10" s="1"/>
  <c r="AQ1179" i="10" s="1"/>
  <c r="O1179" i="10"/>
  <c r="N1179" i="10"/>
  <c r="AK1178" i="10"/>
  <c r="AB1178" i="10"/>
  <c r="AA1178" i="10"/>
  <c r="X1178" i="10"/>
  <c r="Y1178" i="10" s="1"/>
  <c r="V1178" i="10"/>
  <c r="W1178" i="10" s="1"/>
  <c r="T1178" i="10"/>
  <c r="U1178" i="10" s="1"/>
  <c r="S1178" i="10"/>
  <c r="P1178" i="10"/>
  <c r="AO1178" i="10" s="1"/>
  <c r="AQ1178" i="10" s="1"/>
  <c r="O1178" i="10"/>
  <c r="N1178" i="10"/>
  <c r="AK1177" i="10"/>
  <c r="AB1177" i="10"/>
  <c r="AA1177" i="10"/>
  <c r="X1177" i="10"/>
  <c r="Y1177" i="10" s="1"/>
  <c r="V1177" i="10"/>
  <c r="W1177" i="10" s="1"/>
  <c r="T1177" i="10"/>
  <c r="U1177" i="10" s="1"/>
  <c r="S1177" i="10"/>
  <c r="P1177" i="10"/>
  <c r="AO1177" i="10" s="1"/>
  <c r="AQ1177" i="10" s="1"/>
  <c r="O1177" i="10"/>
  <c r="N1177" i="10"/>
  <c r="AK1176" i="10"/>
  <c r="AB1176" i="10"/>
  <c r="AA1176" i="10"/>
  <c r="X1176" i="10"/>
  <c r="Y1176" i="10" s="1"/>
  <c r="V1176" i="10"/>
  <c r="W1176" i="10" s="1"/>
  <c r="T1176" i="10"/>
  <c r="U1176" i="10" s="1"/>
  <c r="S1176" i="10"/>
  <c r="P1176" i="10"/>
  <c r="AO1176" i="10" s="1"/>
  <c r="AQ1176" i="10" s="1"/>
  <c r="O1176" i="10"/>
  <c r="N1176" i="10"/>
  <c r="AK1175" i="10"/>
  <c r="AB1175" i="10"/>
  <c r="AA1175" i="10"/>
  <c r="X1175" i="10"/>
  <c r="Y1175" i="10" s="1"/>
  <c r="V1175" i="10"/>
  <c r="W1175" i="10" s="1"/>
  <c r="T1175" i="10"/>
  <c r="U1175" i="10" s="1"/>
  <c r="S1175" i="10"/>
  <c r="P1175" i="10"/>
  <c r="AO1175" i="10" s="1"/>
  <c r="AQ1175" i="10" s="1"/>
  <c r="O1175" i="10"/>
  <c r="N1175" i="10"/>
  <c r="AK1174" i="10"/>
  <c r="AB1174" i="10"/>
  <c r="AA1174" i="10"/>
  <c r="X1174" i="10"/>
  <c r="Y1174" i="10" s="1"/>
  <c r="V1174" i="10"/>
  <c r="W1174" i="10" s="1"/>
  <c r="T1174" i="10"/>
  <c r="U1174" i="10" s="1"/>
  <c r="S1174" i="10"/>
  <c r="P1174" i="10"/>
  <c r="AO1174" i="10" s="1"/>
  <c r="AQ1174" i="10" s="1"/>
  <c r="O1174" i="10"/>
  <c r="N1174" i="10"/>
  <c r="AK1173" i="10"/>
  <c r="AB1173" i="10"/>
  <c r="AA1173" i="10"/>
  <c r="X1173" i="10"/>
  <c r="Y1173" i="10" s="1"/>
  <c r="V1173" i="10"/>
  <c r="W1173" i="10" s="1"/>
  <c r="T1173" i="10"/>
  <c r="U1173" i="10" s="1"/>
  <c r="S1173" i="10"/>
  <c r="P1173" i="10"/>
  <c r="AO1173" i="10" s="1"/>
  <c r="AQ1173" i="10" s="1"/>
  <c r="O1173" i="10"/>
  <c r="N1173" i="10"/>
  <c r="AK1172" i="10"/>
  <c r="AB1172" i="10"/>
  <c r="AA1172" i="10"/>
  <c r="X1172" i="10"/>
  <c r="Y1172" i="10" s="1"/>
  <c r="V1172" i="10"/>
  <c r="W1172" i="10" s="1"/>
  <c r="T1172" i="10"/>
  <c r="U1172" i="10" s="1"/>
  <c r="S1172" i="10"/>
  <c r="P1172" i="10"/>
  <c r="AO1172" i="10" s="1"/>
  <c r="AQ1172" i="10" s="1"/>
  <c r="O1172" i="10"/>
  <c r="N1172" i="10"/>
  <c r="AK1171" i="10"/>
  <c r="AB1171" i="10"/>
  <c r="AA1171" i="10"/>
  <c r="X1171" i="10"/>
  <c r="Y1171" i="10" s="1"/>
  <c r="V1171" i="10"/>
  <c r="W1171" i="10" s="1"/>
  <c r="T1171" i="10"/>
  <c r="U1171" i="10" s="1"/>
  <c r="S1171" i="10"/>
  <c r="P1171" i="10"/>
  <c r="AO1171" i="10" s="1"/>
  <c r="AQ1171" i="10" s="1"/>
  <c r="O1171" i="10"/>
  <c r="N1171" i="10"/>
  <c r="AK1170" i="10"/>
  <c r="AB1170" i="10"/>
  <c r="AA1170" i="10"/>
  <c r="X1170" i="10"/>
  <c r="Y1170" i="10" s="1"/>
  <c r="V1170" i="10"/>
  <c r="W1170" i="10" s="1"/>
  <c r="T1170" i="10"/>
  <c r="U1170" i="10" s="1"/>
  <c r="S1170" i="10"/>
  <c r="P1170" i="10"/>
  <c r="AO1170" i="10" s="1"/>
  <c r="AQ1170" i="10" s="1"/>
  <c r="O1170" i="10"/>
  <c r="N1170" i="10"/>
  <c r="AK1169" i="10"/>
  <c r="AB1169" i="10"/>
  <c r="AA1169" i="10"/>
  <c r="X1169" i="10"/>
  <c r="Y1169" i="10" s="1"/>
  <c r="V1169" i="10"/>
  <c r="W1169" i="10" s="1"/>
  <c r="T1169" i="10"/>
  <c r="U1169" i="10" s="1"/>
  <c r="S1169" i="10"/>
  <c r="P1169" i="10"/>
  <c r="AO1169" i="10" s="1"/>
  <c r="AQ1169" i="10" s="1"/>
  <c r="O1169" i="10"/>
  <c r="N1169" i="10"/>
  <c r="AK1168" i="10"/>
  <c r="AB1168" i="10"/>
  <c r="AA1168" i="10"/>
  <c r="X1168" i="10"/>
  <c r="Y1168" i="10" s="1"/>
  <c r="V1168" i="10"/>
  <c r="W1168" i="10" s="1"/>
  <c r="T1168" i="10"/>
  <c r="U1168" i="10" s="1"/>
  <c r="S1168" i="10"/>
  <c r="P1168" i="10"/>
  <c r="AO1168" i="10" s="1"/>
  <c r="AQ1168" i="10" s="1"/>
  <c r="O1168" i="10"/>
  <c r="N1168" i="10"/>
  <c r="AK1167" i="10"/>
  <c r="AB1167" i="10"/>
  <c r="AA1167" i="10"/>
  <c r="X1167" i="10"/>
  <c r="Y1167" i="10" s="1"/>
  <c r="V1167" i="10"/>
  <c r="W1167" i="10" s="1"/>
  <c r="T1167" i="10"/>
  <c r="U1167" i="10" s="1"/>
  <c r="S1167" i="10"/>
  <c r="P1167" i="10"/>
  <c r="AO1167" i="10" s="1"/>
  <c r="AQ1167" i="10" s="1"/>
  <c r="O1167" i="10"/>
  <c r="N1167" i="10"/>
  <c r="AK1166" i="10"/>
  <c r="AB1166" i="10"/>
  <c r="AA1166" i="10"/>
  <c r="X1166" i="10"/>
  <c r="Y1166" i="10" s="1"/>
  <c r="V1166" i="10"/>
  <c r="W1166" i="10" s="1"/>
  <c r="T1166" i="10"/>
  <c r="U1166" i="10" s="1"/>
  <c r="S1166" i="10"/>
  <c r="P1166" i="10"/>
  <c r="AO1166" i="10" s="1"/>
  <c r="AQ1166" i="10" s="1"/>
  <c r="O1166" i="10"/>
  <c r="N1166" i="10"/>
  <c r="AK1165" i="10"/>
  <c r="AB1165" i="10"/>
  <c r="AA1165" i="10"/>
  <c r="X1165" i="10"/>
  <c r="Y1165" i="10" s="1"/>
  <c r="V1165" i="10"/>
  <c r="W1165" i="10" s="1"/>
  <c r="T1165" i="10"/>
  <c r="U1165" i="10" s="1"/>
  <c r="S1165" i="10"/>
  <c r="P1165" i="10"/>
  <c r="AO1165" i="10" s="1"/>
  <c r="AQ1165" i="10" s="1"/>
  <c r="O1165" i="10"/>
  <c r="N1165" i="10"/>
  <c r="AK1164" i="10"/>
  <c r="AB1164" i="10"/>
  <c r="AA1164" i="10"/>
  <c r="X1164" i="10"/>
  <c r="Y1164" i="10" s="1"/>
  <c r="V1164" i="10"/>
  <c r="W1164" i="10" s="1"/>
  <c r="T1164" i="10"/>
  <c r="U1164" i="10" s="1"/>
  <c r="S1164" i="10"/>
  <c r="P1164" i="10"/>
  <c r="AO1164" i="10" s="1"/>
  <c r="AQ1164" i="10" s="1"/>
  <c r="O1164" i="10"/>
  <c r="N1164" i="10"/>
  <c r="AK1163" i="10"/>
  <c r="AB1163" i="10"/>
  <c r="AA1163" i="10"/>
  <c r="X1163" i="10"/>
  <c r="Y1163" i="10" s="1"/>
  <c r="V1163" i="10"/>
  <c r="W1163" i="10" s="1"/>
  <c r="T1163" i="10"/>
  <c r="U1163" i="10" s="1"/>
  <c r="S1163" i="10"/>
  <c r="P1163" i="10"/>
  <c r="AO1163" i="10" s="1"/>
  <c r="AQ1163" i="10" s="1"/>
  <c r="O1163" i="10"/>
  <c r="N1163" i="10"/>
  <c r="AK1162" i="10"/>
  <c r="AB1162" i="10"/>
  <c r="AA1162" i="10"/>
  <c r="X1162" i="10"/>
  <c r="Y1162" i="10" s="1"/>
  <c r="V1162" i="10"/>
  <c r="W1162" i="10" s="1"/>
  <c r="T1162" i="10"/>
  <c r="U1162" i="10" s="1"/>
  <c r="S1162" i="10"/>
  <c r="P1162" i="10"/>
  <c r="AO1162" i="10" s="1"/>
  <c r="AQ1162" i="10" s="1"/>
  <c r="O1162" i="10"/>
  <c r="N1162" i="10"/>
  <c r="AK1161" i="10"/>
  <c r="AB1161" i="10"/>
  <c r="AA1161" i="10"/>
  <c r="X1161" i="10"/>
  <c r="Y1161" i="10" s="1"/>
  <c r="V1161" i="10"/>
  <c r="W1161" i="10" s="1"/>
  <c r="T1161" i="10"/>
  <c r="U1161" i="10" s="1"/>
  <c r="S1161" i="10"/>
  <c r="P1161" i="10"/>
  <c r="AO1161" i="10" s="1"/>
  <c r="AQ1161" i="10" s="1"/>
  <c r="O1161" i="10"/>
  <c r="N1161" i="10"/>
  <c r="AK1160" i="10"/>
  <c r="AB1160" i="10"/>
  <c r="AA1160" i="10"/>
  <c r="X1160" i="10"/>
  <c r="Y1160" i="10" s="1"/>
  <c r="V1160" i="10"/>
  <c r="W1160" i="10" s="1"/>
  <c r="T1160" i="10"/>
  <c r="U1160" i="10" s="1"/>
  <c r="S1160" i="10"/>
  <c r="P1160" i="10"/>
  <c r="AO1160" i="10" s="1"/>
  <c r="AQ1160" i="10" s="1"/>
  <c r="O1160" i="10"/>
  <c r="N1160" i="10"/>
  <c r="AK1159" i="10"/>
  <c r="AB1159" i="10"/>
  <c r="AA1159" i="10"/>
  <c r="X1159" i="10"/>
  <c r="Y1159" i="10" s="1"/>
  <c r="V1159" i="10"/>
  <c r="W1159" i="10" s="1"/>
  <c r="T1159" i="10"/>
  <c r="U1159" i="10" s="1"/>
  <c r="S1159" i="10"/>
  <c r="P1159" i="10"/>
  <c r="AO1159" i="10" s="1"/>
  <c r="AQ1159" i="10" s="1"/>
  <c r="O1159" i="10"/>
  <c r="N1159" i="10"/>
  <c r="AK1158" i="10"/>
  <c r="AB1158" i="10"/>
  <c r="AA1158" i="10"/>
  <c r="X1158" i="10"/>
  <c r="Y1158" i="10" s="1"/>
  <c r="V1158" i="10"/>
  <c r="W1158" i="10" s="1"/>
  <c r="T1158" i="10"/>
  <c r="U1158" i="10" s="1"/>
  <c r="S1158" i="10"/>
  <c r="P1158" i="10"/>
  <c r="AO1158" i="10" s="1"/>
  <c r="AQ1158" i="10" s="1"/>
  <c r="O1158" i="10"/>
  <c r="N1158" i="10"/>
  <c r="AK1157" i="10"/>
  <c r="AB1157" i="10"/>
  <c r="AA1157" i="10"/>
  <c r="X1157" i="10"/>
  <c r="Y1157" i="10" s="1"/>
  <c r="V1157" i="10"/>
  <c r="W1157" i="10" s="1"/>
  <c r="T1157" i="10"/>
  <c r="U1157" i="10" s="1"/>
  <c r="S1157" i="10"/>
  <c r="P1157" i="10"/>
  <c r="AO1157" i="10" s="1"/>
  <c r="AQ1157" i="10" s="1"/>
  <c r="O1157" i="10"/>
  <c r="N1157" i="10"/>
  <c r="AK1156" i="10"/>
  <c r="AB1156" i="10"/>
  <c r="AA1156" i="10"/>
  <c r="X1156" i="10"/>
  <c r="Y1156" i="10" s="1"/>
  <c r="V1156" i="10"/>
  <c r="W1156" i="10" s="1"/>
  <c r="T1156" i="10"/>
  <c r="U1156" i="10" s="1"/>
  <c r="S1156" i="10"/>
  <c r="P1156" i="10"/>
  <c r="AO1156" i="10" s="1"/>
  <c r="AQ1156" i="10" s="1"/>
  <c r="O1156" i="10"/>
  <c r="N1156" i="10"/>
  <c r="AK1155" i="10"/>
  <c r="AB1155" i="10"/>
  <c r="AA1155" i="10"/>
  <c r="X1155" i="10"/>
  <c r="Y1155" i="10" s="1"/>
  <c r="V1155" i="10"/>
  <c r="W1155" i="10" s="1"/>
  <c r="T1155" i="10"/>
  <c r="U1155" i="10" s="1"/>
  <c r="S1155" i="10"/>
  <c r="P1155" i="10"/>
  <c r="AO1155" i="10" s="1"/>
  <c r="AQ1155" i="10" s="1"/>
  <c r="O1155" i="10"/>
  <c r="N1155" i="10"/>
  <c r="AK1154" i="10"/>
  <c r="AB1154" i="10"/>
  <c r="AA1154" i="10"/>
  <c r="X1154" i="10"/>
  <c r="Y1154" i="10" s="1"/>
  <c r="V1154" i="10"/>
  <c r="W1154" i="10" s="1"/>
  <c r="T1154" i="10"/>
  <c r="U1154" i="10" s="1"/>
  <c r="S1154" i="10"/>
  <c r="P1154" i="10"/>
  <c r="AO1154" i="10" s="1"/>
  <c r="AQ1154" i="10" s="1"/>
  <c r="O1154" i="10"/>
  <c r="N1154" i="10"/>
  <c r="AK1153" i="10"/>
  <c r="AB1153" i="10"/>
  <c r="AA1153" i="10"/>
  <c r="X1153" i="10"/>
  <c r="Y1153" i="10" s="1"/>
  <c r="V1153" i="10"/>
  <c r="W1153" i="10" s="1"/>
  <c r="T1153" i="10"/>
  <c r="U1153" i="10" s="1"/>
  <c r="S1153" i="10"/>
  <c r="P1153" i="10"/>
  <c r="AO1153" i="10" s="1"/>
  <c r="AQ1153" i="10" s="1"/>
  <c r="O1153" i="10"/>
  <c r="N1153" i="10"/>
  <c r="AK1152" i="10"/>
  <c r="AB1152" i="10"/>
  <c r="AA1152" i="10"/>
  <c r="X1152" i="10"/>
  <c r="Y1152" i="10" s="1"/>
  <c r="V1152" i="10"/>
  <c r="W1152" i="10" s="1"/>
  <c r="T1152" i="10"/>
  <c r="U1152" i="10" s="1"/>
  <c r="S1152" i="10"/>
  <c r="P1152" i="10"/>
  <c r="AO1152" i="10" s="1"/>
  <c r="AQ1152" i="10" s="1"/>
  <c r="O1152" i="10"/>
  <c r="N1152" i="10"/>
  <c r="AK1151" i="10"/>
  <c r="AB1151" i="10"/>
  <c r="AA1151" i="10"/>
  <c r="X1151" i="10"/>
  <c r="Y1151" i="10" s="1"/>
  <c r="V1151" i="10"/>
  <c r="W1151" i="10" s="1"/>
  <c r="T1151" i="10"/>
  <c r="U1151" i="10" s="1"/>
  <c r="S1151" i="10"/>
  <c r="P1151" i="10"/>
  <c r="AO1151" i="10" s="1"/>
  <c r="AQ1151" i="10" s="1"/>
  <c r="O1151" i="10"/>
  <c r="N1151" i="10"/>
  <c r="AK1150" i="10"/>
  <c r="AB1150" i="10"/>
  <c r="AA1150" i="10"/>
  <c r="X1150" i="10"/>
  <c r="Y1150" i="10" s="1"/>
  <c r="V1150" i="10"/>
  <c r="W1150" i="10" s="1"/>
  <c r="T1150" i="10"/>
  <c r="U1150" i="10" s="1"/>
  <c r="S1150" i="10"/>
  <c r="P1150" i="10"/>
  <c r="AO1150" i="10" s="1"/>
  <c r="AQ1150" i="10" s="1"/>
  <c r="O1150" i="10"/>
  <c r="N1150" i="10"/>
  <c r="AK1149" i="10"/>
  <c r="AB1149" i="10"/>
  <c r="AA1149" i="10"/>
  <c r="X1149" i="10"/>
  <c r="Y1149" i="10" s="1"/>
  <c r="V1149" i="10"/>
  <c r="W1149" i="10" s="1"/>
  <c r="T1149" i="10"/>
  <c r="U1149" i="10" s="1"/>
  <c r="S1149" i="10"/>
  <c r="P1149" i="10"/>
  <c r="AO1149" i="10" s="1"/>
  <c r="AQ1149" i="10" s="1"/>
  <c r="O1149" i="10"/>
  <c r="N1149" i="10"/>
  <c r="AK1148" i="10"/>
  <c r="AB1148" i="10"/>
  <c r="AA1148" i="10"/>
  <c r="X1148" i="10"/>
  <c r="Y1148" i="10" s="1"/>
  <c r="V1148" i="10"/>
  <c r="W1148" i="10" s="1"/>
  <c r="T1148" i="10"/>
  <c r="U1148" i="10" s="1"/>
  <c r="S1148" i="10"/>
  <c r="P1148" i="10"/>
  <c r="AO1148" i="10" s="1"/>
  <c r="AQ1148" i="10" s="1"/>
  <c r="O1148" i="10"/>
  <c r="N1148" i="10"/>
  <c r="AK1147" i="10"/>
  <c r="AB1147" i="10"/>
  <c r="AA1147" i="10"/>
  <c r="X1147" i="10"/>
  <c r="Y1147" i="10" s="1"/>
  <c r="V1147" i="10"/>
  <c r="W1147" i="10" s="1"/>
  <c r="T1147" i="10"/>
  <c r="U1147" i="10" s="1"/>
  <c r="S1147" i="10"/>
  <c r="P1147" i="10"/>
  <c r="AO1147" i="10" s="1"/>
  <c r="AQ1147" i="10" s="1"/>
  <c r="O1147" i="10"/>
  <c r="N1147" i="10"/>
  <c r="AK1146" i="10"/>
  <c r="AB1146" i="10"/>
  <c r="AA1146" i="10"/>
  <c r="X1146" i="10"/>
  <c r="Y1146" i="10" s="1"/>
  <c r="V1146" i="10"/>
  <c r="W1146" i="10" s="1"/>
  <c r="T1146" i="10"/>
  <c r="U1146" i="10" s="1"/>
  <c r="S1146" i="10"/>
  <c r="P1146" i="10"/>
  <c r="AO1146" i="10" s="1"/>
  <c r="AQ1146" i="10" s="1"/>
  <c r="O1146" i="10"/>
  <c r="N1146" i="10"/>
  <c r="AK1145" i="10"/>
  <c r="AB1145" i="10"/>
  <c r="AA1145" i="10"/>
  <c r="X1145" i="10"/>
  <c r="Y1145" i="10" s="1"/>
  <c r="V1145" i="10"/>
  <c r="W1145" i="10" s="1"/>
  <c r="T1145" i="10"/>
  <c r="U1145" i="10" s="1"/>
  <c r="S1145" i="10"/>
  <c r="P1145" i="10"/>
  <c r="AO1145" i="10" s="1"/>
  <c r="AQ1145" i="10" s="1"/>
  <c r="O1145" i="10"/>
  <c r="N1145" i="10"/>
  <c r="AK1144" i="10"/>
  <c r="AB1144" i="10"/>
  <c r="AA1144" i="10"/>
  <c r="X1144" i="10"/>
  <c r="Y1144" i="10" s="1"/>
  <c r="V1144" i="10"/>
  <c r="W1144" i="10" s="1"/>
  <c r="T1144" i="10"/>
  <c r="U1144" i="10" s="1"/>
  <c r="S1144" i="10"/>
  <c r="P1144" i="10"/>
  <c r="AO1144" i="10" s="1"/>
  <c r="AQ1144" i="10" s="1"/>
  <c r="O1144" i="10"/>
  <c r="N1144" i="10"/>
  <c r="AK1143" i="10"/>
  <c r="AB1143" i="10"/>
  <c r="AA1143" i="10"/>
  <c r="X1143" i="10"/>
  <c r="Y1143" i="10" s="1"/>
  <c r="V1143" i="10"/>
  <c r="W1143" i="10" s="1"/>
  <c r="T1143" i="10"/>
  <c r="U1143" i="10" s="1"/>
  <c r="S1143" i="10"/>
  <c r="P1143" i="10"/>
  <c r="AO1143" i="10" s="1"/>
  <c r="AQ1143" i="10" s="1"/>
  <c r="O1143" i="10"/>
  <c r="N1143" i="10"/>
  <c r="AK1142" i="10"/>
  <c r="AB1142" i="10"/>
  <c r="AA1142" i="10"/>
  <c r="X1142" i="10"/>
  <c r="Y1142" i="10" s="1"/>
  <c r="V1142" i="10"/>
  <c r="W1142" i="10" s="1"/>
  <c r="T1142" i="10"/>
  <c r="U1142" i="10" s="1"/>
  <c r="S1142" i="10"/>
  <c r="P1142" i="10"/>
  <c r="AO1142" i="10" s="1"/>
  <c r="AQ1142" i="10" s="1"/>
  <c r="O1142" i="10"/>
  <c r="N1142" i="10"/>
  <c r="AK1141" i="10"/>
  <c r="AB1141" i="10"/>
  <c r="AA1141" i="10"/>
  <c r="X1141" i="10"/>
  <c r="Y1141" i="10" s="1"/>
  <c r="V1141" i="10"/>
  <c r="W1141" i="10" s="1"/>
  <c r="T1141" i="10"/>
  <c r="U1141" i="10" s="1"/>
  <c r="S1141" i="10"/>
  <c r="P1141" i="10"/>
  <c r="AO1141" i="10" s="1"/>
  <c r="AQ1141" i="10" s="1"/>
  <c r="O1141" i="10"/>
  <c r="N1141" i="10"/>
  <c r="AK1140" i="10"/>
  <c r="AB1140" i="10"/>
  <c r="AA1140" i="10"/>
  <c r="X1140" i="10"/>
  <c r="Y1140" i="10" s="1"/>
  <c r="V1140" i="10"/>
  <c r="W1140" i="10" s="1"/>
  <c r="T1140" i="10"/>
  <c r="U1140" i="10" s="1"/>
  <c r="S1140" i="10"/>
  <c r="P1140" i="10"/>
  <c r="AO1140" i="10" s="1"/>
  <c r="AQ1140" i="10" s="1"/>
  <c r="O1140" i="10"/>
  <c r="N1140" i="10"/>
  <c r="AK1139" i="10"/>
  <c r="AB1139" i="10"/>
  <c r="AA1139" i="10"/>
  <c r="X1139" i="10"/>
  <c r="Y1139" i="10" s="1"/>
  <c r="V1139" i="10"/>
  <c r="W1139" i="10" s="1"/>
  <c r="T1139" i="10"/>
  <c r="U1139" i="10" s="1"/>
  <c r="S1139" i="10"/>
  <c r="P1139" i="10"/>
  <c r="AO1139" i="10" s="1"/>
  <c r="AQ1139" i="10" s="1"/>
  <c r="O1139" i="10"/>
  <c r="N1139" i="10"/>
  <c r="AK1138" i="10"/>
  <c r="AB1138" i="10"/>
  <c r="AA1138" i="10"/>
  <c r="X1138" i="10"/>
  <c r="Y1138" i="10" s="1"/>
  <c r="V1138" i="10"/>
  <c r="W1138" i="10" s="1"/>
  <c r="T1138" i="10"/>
  <c r="U1138" i="10" s="1"/>
  <c r="S1138" i="10"/>
  <c r="P1138" i="10"/>
  <c r="AO1138" i="10" s="1"/>
  <c r="AQ1138" i="10" s="1"/>
  <c r="O1138" i="10"/>
  <c r="N1138" i="10"/>
  <c r="AO1137" i="10"/>
  <c r="AQ1137" i="10" s="1"/>
  <c r="AK1137" i="10"/>
  <c r="AL1137" i="10" s="1"/>
  <c r="AI1137" i="10"/>
  <c r="AC1137" i="10"/>
  <c r="AB1137" i="10"/>
  <c r="AA1137" i="10"/>
  <c r="Z1137" i="10"/>
  <c r="AN1137" i="10" s="1"/>
  <c r="X1137" i="10"/>
  <c r="Y1137" i="10" s="1"/>
  <c r="V1137" i="10"/>
  <c r="W1137" i="10" s="1"/>
  <c r="T1137" i="10"/>
  <c r="U1137" i="10" s="1"/>
  <c r="S1137" i="10"/>
  <c r="P1137" i="10"/>
  <c r="O1137" i="10"/>
  <c r="N1137" i="10"/>
  <c r="AK1136" i="10"/>
  <c r="AB1136" i="10"/>
  <c r="AA1136" i="10"/>
  <c r="X1136" i="10"/>
  <c r="Y1136" i="10" s="1"/>
  <c r="V1136" i="10"/>
  <c r="W1136" i="10" s="1"/>
  <c r="T1136" i="10"/>
  <c r="U1136" i="10" s="1"/>
  <c r="S1136" i="10"/>
  <c r="P1136" i="10"/>
  <c r="AO1136" i="10" s="1"/>
  <c r="AQ1136" i="10" s="1"/>
  <c r="O1136" i="10"/>
  <c r="N1136" i="10"/>
  <c r="AK1135" i="10"/>
  <c r="AB1135" i="10"/>
  <c r="AA1135" i="10"/>
  <c r="X1135" i="10"/>
  <c r="Y1135" i="10" s="1"/>
  <c r="V1135" i="10"/>
  <c r="W1135" i="10" s="1"/>
  <c r="T1135" i="10"/>
  <c r="U1135" i="10" s="1"/>
  <c r="S1135" i="10"/>
  <c r="P1135" i="10"/>
  <c r="AO1135" i="10" s="1"/>
  <c r="AQ1135" i="10" s="1"/>
  <c r="O1135" i="10"/>
  <c r="N1135" i="10"/>
  <c r="AK1134" i="10"/>
  <c r="AB1134" i="10"/>
  <c r="AA1134" i="10"/>
  <c r="X1134" i="10"/>
  <c r="Y1134" i="10" s="1"/>
  <c r="V1134" i="10"/>
  <c r="W1134" i="10" s="1"/>
  <c r="T1134" i="10"/>
  <c r="U1134" i="10" s="1"/>
  <c r="S1134" i="10"/>
  <c r="P1134" i="10"/>
  <c r="AO1134" i="10" s="1"/>
  <c r="AQ1134" i="10" s="1"/>
  <c r="O1134" i="10"/>
  <c r="N1134" i="10"/>
  <c r="AK1133" i="10"/>
  <c r="AB1133" i="10"/>
  <c r="AA1133" i="10"/>
  <c r="X1133" i="10"/>
  <c r="Y1133" i="10" s="1"/>
  <c r="V1133" i="10"/>
  <c r="W1133" i="10" s="1"/>
  <c r="T1133" i="10"/>
  <c r="U1133" i="10" s="1"/>
  <c r="S1133" i="10"/>
  <c r="P1133" i="10"/>
  <c r="AO1133" i="10" s="1"/>
  <c r="AQ1133" i="10" s="1"/>
  <c r="O1133" i="10"/>
  <c r="N1133" i="10"/>
  <c r="AK1132" i="10"/>
  <c r="AB1132" i="10"/>
  <c r="AA1132" i="10"/>
  <c r="X1132" i="10"/>
  <c r="Y1132" i="10" s="1"/>
  <c r="V1132" i="10"/>
  <c r="W1132" i="10" s="1"/>
  <c r="T1132" i="10"/>
  <c r="U1132" i="10" s="1"/>
  <c r="S1132" i="10"/>
  <c r="P1132" i="10"/>
  <c r="AO1132" i="10" s="1"/>
  <c r="AQ1132" i="10" s="1"/>
  <c r="O1132" i="10"/>
  <c r="N1132" i="10"/>
  <c r="AK1131" i="10"/>
  <c r="AB1131" i="10"/>
  <c r="AA1131" i="10"/>
  <c r="X1131" i="10"/>
  <c r="Y1131" i="10" s="1"/>
  <c r="V1131" i="10"/>
  <c r="W1131" i="10" s="1"/>
  <c r="T1131" i="10"/>
  <c r="U1131" i="10" s="1"/>
  <c r="S1131" i="10"/>
  <c r="P1131" i="10"/>
  <c r="AO1131" i="10" s="1"/>
  <c r="AQ1131" i="10" s="1"/>
  <c r="O1131" i="10"/>
  <c r="N1131" i="10"/>
  <c r="AK1130" i="10"/>
  <c r="AB1130" i="10"/>
  <c r="AA1130" i="10"/>
  <c r="X1130" i="10"/>
  <c r="Y1130" i="10" s="1"/>
  <c r="V1130" i="10"/>
  <c r="W1130" i="10" s="1"/>
  <c r="T1130" i="10"/>
  <c r="U1130" i="10" s="1"/>
  <c r="S1130" i="10"/>
  <c r="P1130" i="10"/>
  <c r="AO1130" i="10" s="1"/>
  <c r="AQ1130" i="10" s="1"/>
  <c r="O1130" i="10"/>
  <c r="N1130" i="10"/>
  <c r="AK1129" i="10"/>
  <c r="AB1129" i="10"/>
  <c r="AA1129" i="10"/>
  <c r="X1129" i="10"/>
  <c r="Y1129" i="10" s="1"/>
  <c r="V1129" i="10"/>
  <c r="W1129" i="10" s="1"/>
  <c r="T1129" i="10"/>
  <c r="U1129" i="10" s="1"/>
  <c r="S1129" i="10"/>
  <c r="P1129" i="10"/>
  <c r="AO1129" i="10" s="1"/>
  <c r="AQ1129" i="10" s="1"/>
  <c r="O1129" i="10"/>
  <c r="N1129" i="10"/>
  <c r="AK1128" i="10"/>
  <c r="AB1128" i="10"/>
  <c r="AA1128" i="10"/>
  <c r="X1128" i="10"/>
  <c r="Y1128" i="10" s="1"/>
  <c r="V1128" i="10"/>
  <c r="W1128" i="10" s="1"/>
  <c r="T1128" i="10"/>
  <c r="U1128" i="10" s="1"/>
  <c r="S1128" i="10"/>
  <c r="P1128" i="10"/>
  <c r="AO1128" i="10" s="1"/>
  <c r="AQ1128" i="10" s="1"/>
  <c r="O1128" i="10"/>
  <c r="N1128" i="10"/>
  <c r="AK1127" i="10"/>
  <c r="AB1127" i="10"/>
  <c r="AA1127" i="10"/>
  <c r="X1127" i="10"/>
  <c r="Y1127" i="10" s="1"/>
  <c r="V1127" i="10"/>
  <c r="W1127" i="10" s="1"/>
  <c r="T1127" i="10"/>
  <c r="U1127" i="10" s="1"/>
  <c r="S1127" i="10"/>
  <c r="P1127" i="10"/>
  <c r="AO1127" i="10" s="1"/>
  <c r="AQ1127" i="10" s="1"/>
  <c r="O1127" i="10"/>
  <c r="N1127" i="10"/>
  <c r="AK1126" i="10"/>
  <c r="AB1126" i="10"/>
  <c r="AA1126" i="10"/>
  <c r="X1126" i="10"/>
  <c r="Y1126" i="10" s="1"/>
  <c r="V1126" i="10"/>
  <c r="W1126" i="10" s="1"/>
  <c r="T1126" i="10"/>
  <c r="U1126" i="10" s="1"/>
  <c r="S1126" i="10"/>
  <c r="P1126" i="10"/>
  <c r="AO1126" i="10" s="1"/>
  <c r="AQ1126" i="10" s="1"/>
  <c r="O1126" i="10"/>
  <c r="N1126" i="10"/>
  <c r="AK1125" i="10"/>
  <c r="AB1125" i="10"/>
  <c r="AA1125" i="10"/>
  <c r="X1125" i="10"/>
  <c r="Y1125" i="10" s="1"/>
  <c r="V1125" i="10"/>
  <c r="W1125" i="10" s="1"/>
  <c r="T1125" i="10"/>
  <c r="U1125" i="10" s="1"/>
  <c r="S1125" i="10"/>
  <c r="P1125" i="10"/>
  <c r="AO1125" i="10" s="1"/>
  <c r="AQ1125" i="10" s="1"/>
  <c r="O1125" i="10"/>
  <c r="N1125" i="10"/>
  <c r="AK1124" i="10"/>
  <c r="AB1124" i="10"/>
  <c r="AA1124" i="10"/>
  <c r="X1124" i="10"/>
  <c r="Y1124" i="10" s="1"/>
  <c r="V1124" i="10"/>
  <c r="W1124" i="10" s="1"/>
  <c r="T1124" i="10"/>
  <c r="U1124" i="10" s="1"/>
  <c r="S1124" i="10"/>
  <c r="P1124" i="10"/>
  <c r="AO1124" i="10" s="1"/>
  <c r="AQ1124" i="10" s="1"/>
  <c r="O1124" i="10"/>
  <c r="N1124" i="10"/>
  <c r="AK1123" i="10"/>
  <c r="AB1123" i="10"/>
  <c r="AA1123" i="10"/>
  <c r="X1123" i="10"/>
  <c r="Y1123" i="10" s="1"/>
  <c r="V1123" i="10"/>
  <c r="W1123" i="10" s="1"/>
  <c r="T1123" i="10"/>
  <c r="U1123" i="10" s="1"/>
  <c r="S1123" i="10"/>
  <c r="P1123" i="10"/>
  <c r="AO1123" i="10" s="1"/>
  <c r="AQ1123" i="10" s="1"/>
  <c r="O1123" i="10"/>
  <c r="N1123" i="10"/>
  <c r="AK1122" i="10"/>
  <c r="AB1122" i="10"/>
  <c r="AA1122" i="10"/>
  <c r="X1122" i="10"/>
  <c r="Y1122" i="10" s="1"/>
  <c r="V1122" i="10"/>
  <c r="W1122" i="10" s="1"/>
  <c r="T1122" i="10"/>
  <c r="U1122" i="10" s="1"/>
  <c r="S1122" i="10"/>
  <c r="P1122" i="10"/>
  <c r="AO1122" i="10" s="1"/>
  <c r="AQ1122" i="10" s="1"/>
  <c r="O1122" i="10"/>
  <c r="N1122" i="10"/>
  <c r="AK1121" i="10"/>
  <c r="AB1121" i="10"/>
  <c r="AA1121" i="10"/>
  <c r="X1121" i="10"/>
  <c r="Y1121" i="10" s="1"/>
  <c r="V1121" i="10"/>
  <c r="W1121" i="10" s="1"/>
  <c r="T1121" i="10"/>
  <c r="U1121" i="10" s="1"/>
  <c r="S1121" i="10"/>
  <c r="P1121" i="10"/>
  <c r="AO1121" i="10" s="1"/>
  <c r="AQ1121" i="10" s="1"/>
  <c r="O1121" i="10"/>
  <c r="N1121" i="10"/>
  <c r="AK1120" i="10"/>
  <c r="AB1120" i="10"/>
  <c r="AA1120" i="10"/>
  <c r="X1120" i="10"/>
  <c r="Y1120" i="10" s="1"/>
  <c r="V1120" i="10"/>
  <c r="W1120" i="10" s="1"/>
  <c r="T1120" i="10"/>
  <c r="U1120" i="10" s="1"/>
  <c r="S1120" i="10"/>
  <c r="P1120" i="10"/>
  <c r="AO1120" i="10" s="1"/>
  <c r="AQ1120" i="10" s="1"/>
  <c r="O1120" i="10"/>
  <c r="N1120" i="10"/>
  <c r="AK1119" i="10"/>
  <c r="AB1119" i="10"/>
  <c r="AA1119" i="10"/>
  <c r="X1119" i="10"/>
  <c r="Y1119" i="10" s="1"/>
  <c r="V1119" i="10"/>
  <c r="W1119" i="10" s="1"/>
  <c r="T1119" i="10"/>
  <c r="U1119" i="10" s="1"/>
  <c r="S1119" i="10"/>
  <c r="P1119" i="10"/>
  <c r="AO1119" i="10" s="1"/>
  <c r="AQ1119" i="10" s="1"/>
  <c r="O1119" i="10"/>
  <c r="N1119" i="10"/>
  <c r="AK1118" i="10"/>
  <c r="AB1118" i="10"/>
  <c r="AA1118" i="10"/>
  <c r="X1118" i="10"/>
  <c r="Y1118" i="10" s="1"/>
  <c r="V1118" i="10"/>
  <c r="W1118" i="10" s="1"/>
  <c r="T1118" i="10"/>
  <c r="U1118" i="10" s="1"/>
  <c r="S1118" i="10"/>
  <c r="P1118" i="10"/>
  <c r="AO1118" i="10" s="1"/>
  <c r="AQ1118" i="10" s="1"/>
  <c r="O1118" i="10"/>
  <c r="N1118" i="10"/>
  <c r="AK1117" i="10"/>
  <c r="AB1117" i="10"/>
  <c r="AA1117" i="10"/>
  <c r="X1117" i="10"/>
  <c r="Y1117" i="10" s="1"/>
  <c r="V1117" i="10"/>
  <c r="W1117" i="10" s="1"/>
  <c r="T1117" i="10"/>
  <c r="U1117" i="10" s="1"/>
  <c r="S1117" i="10"/>
  <c r="P1117" i="10"/>
  <c r="AO1117" i="10" s="1"/>
  <c r="AQ1117" i="10" s="1"/>
  <c r="O1117" i="10"/>
  <c r="N1117" i="10"/>
  <c r="AK1116" i="10"/>
  <c r="AB1116" i="10"/>
  <c r="AA1116" i="10"/>
  <c r="X1116" i="10"/>
  <c r="Y1116" i="10" s="1"/>
  <c r="V1116" i="10"/>
  <c r="W1116" i="10" s="1"/>
  <c r="T1116" i="10"/>
  <c r="U1116" i="10" s="1"/>
  <c r="S1116" i="10"/>
  <c r="P1116" i="10"/>
  <c r="AO1116" i="10" s="1"/>
  <c r="AQ1116" i="10" s="1"/>
  <c r="O1116" i="10"/>
  <c r="N1116" i="10"/>
  <c r="AK1115" i="10"/>
  <c r="AB1115" i="10"/>
  <c r="AA1115" i="10"/>
  <c r="X1115" i="10"/>
  <c r="Y1115" i="10" s="1"/>
  <c r="V1115" i="10"/>
  <c r="W1115" i="10" s="1"/>
  <c r="T1115" i="10"/>
  <c r="U1115" i="10" s="1"/>
  <c r="S1115" i="10"/>
  <c r="P1115" i="10"/>
  <c r="AO1115" i="10" s="1"/>
  <c r="AQ1115" i="10" s="1"/>
  <c r="O1115" i="10"/>
  <c r="N1115" i="10"/>
  <c r="AK1114" i="10"/>
  <c r="AB1114" i="10"/>
  <c r="AA1114" i="10"/>
  <c r="X1114" i="10"/>
  <c r="Y1114" i="10" s="1"/>
  <c r="V1114" i="10"/>
  <c r="W1114" i="10" s="1"/>
  <c r="T1114" i="10"/>
  <c r="U1114" i="10" s="1"/>
  <c r="S1114" i="10"/>
  <c r="P1114" i="10"/>
  <c r="AO1114" i="10" s="1"/>
  <c r="AQ1114" i="10" s="1"/>
  <c r="O1114" i="10"/>
  <c r="N1114" i="10"/>
  <c r="AK1113" i="10"/>
  <c r="AB1113" i="10"/>
  <c r="AA1113" i="10"/>
  <c r="X1113" i="10"/>
  <c r="Y1113" i="10" s="1"/>
  <c r="V1113" i="10"/>
  <c r="W1113" i="10" s="1"/>
  <c r="T1113" i="10"/>
  <c r="U1113" i="10" s="1"/>
  <c r="S1113" i="10"/>
  <c r="P1113" i="10"/>
  <c r="AO1113" i="10" s="1"/>
  <c r="AQ1113" i="10" s="1"/>
  <c r="O1113" i="10"/>
  <c r="N1113" i="10"/>
  <c r="AK1112" i="10"/>
  <c r="AB1112" i="10"/>
  <c r="AA1112" i="10"/>
  <c r="X1112" i="10"/>
  <c r="Y1112" i="10" s="1"/>
  <c r="V1112" i="10"/>
  <c r="W1112" i="10" s="1"/>
  <c r="T1112" i="10"/>
  <c r="U1112" i="10" s="1"/>
  <c r="S1112" i="10"/>
  <c r="P1112" i="10"/>
  <c r="AO1112" i="10" s="1"/>
  <c r="AQ1112" i="10" s="1"/>
  <c r="O1112" i="10"/>
  <c r="N1112" i="10"/>
  <c r="AK1111" i="10"/>
  <c r="AB1111" i="10"/>
  <c r="AA1111" i="10"/>
  <c r="X1111" i="10"/>
  <c r="Y1111" i="10" s="1"/>
  <c r="V1111" i="10"/>
  <c r="W1111" i="10" s="1"/>
  <c r="T1111" i="10"/>
  <c r="U1111" i="10" s="1"/>
  <c r="S1111" i="10"/>
  <c r="P1111" i="10"/>
  <c r="AO1111" i="10" s="1"/>
  <c r="AQ1111" i="10" s="1"/>
  <c r="O1111" i="10"/>
  <c r="N1111" i="10"/>
  <c r="AK1110" i="10"/>
  <c r="AB1110" i="10"/>
  <c r="AA1110" i="10"/>
  <c r="X1110" i="10"/>
  <c r="Y1110" i="10" s="1"/>
  <c r="V1110" i="10"/>
  <c r="W1110" i="10" s="1"/>
  <c r="T1110" i="10"/>
  <c r="U1110" i="10" s="1"/>
  <c r="S1110" i="10"/>
  <c r="P1110" i="10"/>
  <c r="AO1110" i="10" s="1"/>
  <c r="AQ1110" i="10" s="1"/>
  <c r="O1110" i="10"/>
  <c r="N1110" i="10"/>
  <c r="AK1109" i="10"/>
  <c r="AB1109" i="10"/>
  <c r="AA1109" i="10"/>
  <c r="X1109" i="10"/>
  <c r="Y1109" i="10" s="1"/>
  <c r="V1109" i="10"/>
  <c r="W1109" i="10" s="1"/>
  <c r="T1109" i="10"/>
  <c r="U1109" i="10" s="1"/>
  <c r="S1109" i="10"/>
  <c r="P1109" i="10"/>
  <c r="AO1109" i="10" s="1"/>
  <c r="AQ1109" i="10" s="1"/>
  <c r="O1109" i="10"/>
  <c r="N1109" i="10"/>
  <c r="AK1108" i="10"/>
  <c r="AB1108" i="10"/>
  <c r="AA1108" i="10"/>
  <c r="X1108" i="10"/>
  <c r="Y1108" i="10" s="1"/>
  <c r="V1108" i="10"/>
  <c r="W1108" i="10" s="1"/>
  <c r="T1108" i="10"/>
  <c r="U1108" i="10" s="1"/>
  <c r="S1108" i="10"/>
  <c r="P1108" i="10"/>
  <c r="AO1108" i="10" s="1"/>
  <c r="AQ1108" i="10" s="1"/>
  <c r="O1108" i="10"/>
  <c r="N1108" i="10"/>
  <c r="AK1107" i="10"/>
  <c r="AB1107" i="10"/>
  <c r="AA1107" i="10"/>
  <c r="X1107" i="10"/>
  <c r="Y1107" i="10" s="1"/>
  <c r="V1107" i="10"/>
  <c r="W1107" i="10" s="1"/>
  <c r="T1107" i="10"/>
  <c r="U1107" i="10" s="1"/>
  <c r="S1107" i="10"/>
  <c r="P1107" i="10"/>
  <c r="AO1107" i="10" s="1"/>
  <c r="AQ1107" i="10" s="1"/>
  <c r="O1107" i="10"/>
  <c r="N1107" i="10"/>
  <c r="AK1106" i="10"/>
  <c r="AB1106" i="10"/>
  <c r="AA1106" i="10"/>
  <c r="X1106" i="10"/>
  <c r="Y1106" i="10" s="1"/>
  <c r="V1106" i="10"/>
  <c r="W1106" i="10" s="1"/>
  <c r="T1106" i="10"/>
  <c r="U1106" i="10" s="1"/>
  <c r="S1106" i="10"/>
  <c r="P1106" i="10"/>
  <c r="AO1106" i="10" s="1"/>
  <c r="AQ1106" i="10" s="1"/>
  <c r="O1106" i="10"/>
  <c r="N1106" i="10"/>
  <c r="AK1105" i="10"/>
  <c r="AB1105" i="10"/>
  <c r="AA1105" i="10"/>
  <c r="X1105" i="10"/>
  <c r="Y1105" i="10" s="1"/>
  <c r="V1105" i="10"/>
  <c r="W1105" i="10" s="1"/>
  <c r="T1105" i="10"/>
  <c r="U1105" i="10" s="1"/>
  <c r="S1105" i="10"/>
  <c r="P1105" i="10"/>
  <c r="AO1105" i="10" s="1"/>
  <c r="AQ1105" i="10" s="1"/>
  <c r="O1105" i="10"/>
  <c r="N1105" i="10"/>
  <c r="AK1104" i="10"/>
  <c r="AB1104" i="10"/>
  <c r="AA1104" i="10"/>
  <c r="X1104" i="10"/>
  <c r="Y1104" i="10" s="1"/>
  <c r="V1104" i="10"/>
  <c r="W1104" i="10" s="1"/>
  <c r="T1104" i="10"/>
  <c r="U1104" i="10" s="1"/>
  <c r="S1104" i="10"/>
  <c r="P1104" i="10"/>
  <c r="AO1104" i="10" s="1"/>
  <c r="AQ1104" i="10" s="1"/>
  <c r="O1104" i="10"/>
  <c r="N1104" i="10"/>
  <c r="AK1103" i="10"/>
  <c r="AB1103" i="10"/>
  <c r="AA1103" i="10"/>
  <c r="X1103" i="10"/>
  <c r="Y1103" i="10" s="1"/>
  <c r="V1103" i="10"/>
  <c r="W1103" i="10" s="1"/>
  <c r="T1103" i="10"/>
  <c r="U1103" i="10" s="1"/>
  <c r="S1103" i="10"/>
  <c r="P1103" i="10"/>
  <c r="AO1103" i="10" s="1"/>
  <c r="AQ1103" i="10" s="1"/>
  <c r="O1103" i="10"/>
  <c r="N1103" i="10"/>
  <c r="AK1102" i="10"/>
  <c r="AB1102" i="10"/>
  <c r="AA1102" i="10"/>
  <c r="X1102" i="10"/>
  <c r="Y1102" i="10" s="1"/>
  <c r="V1102" i="10"/>
  <c r="W1102" i="10" s="1"/>
  <c r="T1102" i="10"/>
  <c r="U1102" i="10" s="1"/>
  <c r="S1102" i="10"/>
  <c r="P1102" i="10"/>
  <c r="AO1102" i="10" s="1"/>
  <c r="AQ1102" i="10" s="1"/>
  <c r="O1102" i="10"/>
  <c r="N1102" i="10"/>
  <c r="AK1101" i="10"/>
  <c r="AB1101" i="10"/>
  <c r="AA1101" i="10"/>
  <c r="X1101" i="10"/>
  <c r="Y1101" i="10" s="1"/>
  <c r="V1101" i="10"/>
  <c r="W1101" i="10" s="1"/>
  <c r="T1101" i="10"/>
  <c r="U1101" i="10" s="1"/>
  <c r="S1101" i="10"/>
  <c r="P1101" i="10"/>
  <c r="AO1101" i="10" s="1"/>
  <c r="AQ1101" i="10" s="1"/>
  <c r="O1101" i="10"/>
  <c r="N1101" i="10"/>
  <c r="AK1100" i="10"/>
  <c r="AB1100" i="10"/>
  <c r="AA1100" i="10"/>
  <c r="X1100" i="10"/>
  <c r="Y1100" i="10" s="1"/>
  <c r="V1100" i="10"/>
  <c r="W1100" i="10" s="1"/>
  <c r="T1100" i="10"/>
  <c r="U1100" i="10" s="1"/>
  <c r="S1100" i="10"/>
  <c r="P1100" i="10"/>
  <c r="AO1100" i="10" s="1"/>
  <c r="AQ1100" i="10" s="1"/>
  <c r="O1100" i="10"/>
  <c r="N1100" i="10"/>
  <c r="AK1099" i="10"/>
  <c r="AB1099" i="10"/>
  <c r="AA1099" i="10"/>
  <c r="X1099" i="10"/>
  <c r="Y1099" i="10" s="1"/>
  <c r="V1099" i="10"/>
  <c r="W1099" i="10" s="1"/>
  <c r="T1099" i="10"/>
  <c r="U1099" i="10" s="1"/>
  <c r="S1099" i="10"/>
  <c r="P1099" i="10"/>
  <c r="AO1099" i="10" s="1"/>
  <c r="AQ1099" i="10" s="1"/>
  <c r="O1099" i="10"/>
  <c r="N1099" i="10"/>
  <c r="AK1098" i="10"/>
  <c r="AB1098" i="10"/>
  <c r="AA1098" i="10"/>
  <c r="X1098" i="10"/>
  <c r="Y1098" i="10" s="1"/>
  <c r="V1098" i="10"/>
  <c r="W1098" i="10" s="1"/>
  <c r="T1098" i="10"/>
  <c r="U1098" i="10" s="1"/>
  <c r="S1098" i="10"/>
  <c r="P1098" i="10"/>
  <c r="AO1098" i="10" s="1"/>
  <c r="AQ1098" i="10" s="1"/>
  <c r="O1098" i="10"/>
  <c r="N1098" i="10"/>
  <c r="AK1097" i="10"/>
  <c r="AB1097" i="10"/>
  <c r="AA1097" i="10"/>
  <c r="X1097" i="10"/>
  <c r="Y1097" i="10" s="1"/>
  <c r="V1097" i="10"/>
  <c r="W1097" i="10" s="1"/>
  <c r="T1097" i="10"/>
  <c r="U1097" i="10" s="1"/>
  <c r="S1097" i="10"/>
  <c r="P1097" i="10"/>
  <c r="AO1097" i="10" s="1"/>
  <c r="AQ1097" i="10" s="1"/>
  <c r="O1097" i="10"/>
  <c r="N1097" i="10"/>
  <c r="AK1096" i="10"/>
  <c r="AB1096" i="10"/>
  <c r="AA1096" i="10"/>
  <c r="X1096" i="10"/>
  <c r="Y1096" i="10" s="1"/>
  <c r="V1096" i="10"/>
  <c r="W1096" i="10" s="1"/>
  <c r="T1096" i="10"/>
  <c r="U1096" i="10" s="1"/>
  <c r="S1096" i="10"/>
  <c r="P1096" i="10"/>
  <c r="AO1096" i="10" s="1"/>
  <c r="AQ1096" i="10" s="1"/>
  <c r="O1096" i="10"/>
  <c r="N1096" i="10"/>
  <c r="AK1095" i="10"/>
  <c r="AB1095" i="10"/>
  <c r="AA1095" i="10"/>
  <c r="X1095" i="10"/>
  <c r="Y1095" i="10" s="1"/>
  <c r="V1095" i="10"/>
  <c r="W1095" i="10" s="1"/>
  <c r="T1095" i="10"/>
  <c r="U1095" i="10" s="1"/>
  <c r="S1095" i="10"/>
  <c r="P1095" i="10"/>
  <c r="AO1095" i="10" s="1"/>
  <c r="AQ1095" i="10" s="1"/>
  <c r="O1095" i="10"/>
  <c r="N1095" i="10"/>
  <c r="AK1094" i="10"/>
  <c r="AB1094" i="10"/>
  <c r="AA1094" i="10"/>
  <c r="X1094" i="10"/>
  <c r="Y1094" i="10" s="1"/>
  <c r="V1094" i="10"/>
  <c r="W1094" i="10" s="1"/>
  <c r="T1094" i="10"/>
  <c r="U1094" i="10" s="1"/>
  <c r="S1094" i="10"/>
  <c r="P1094" i="10"/>
  <c r="AO1094" i="10" s="1"/>
  <c r="AQ1094" i="10" s="1"/>
  <c r="O1094" i="10"/>
  <c r="N1094" i="10"/>
  <c r="AK1093" i="10"/>
  <c r="AB1093" i="10"/>
  <c r="AA1093" i="10"/>
  <c r="X1093" i="10"/>
  <c r="Y1093" i="10" s="1"/>
  <c r="V1093" i="10"/>
  <c r="W1093" i="10" s="1"/>
  <c r="T1093" i="10"/>
  <c r="U1093" i="10" s="1"/>
  <c r="S1093" i="10"/>
  <c r="P1093" i="10"/>
  <c r="AO1093" i="10" s="1"/>
  <c r="AQ1093" i="10" s="1"/>
  <c r="O1093" i="10"/>
  <c r="N1093" i="10"/>
  <c r="AK1092" i="10"/>
  <c r="AB1092" i="10"/>
  <c r="AA1092" i="10"/>
  <c r="X1092" i="10"/>
  <c r="Y1092" i="10" s="1"/>
  <c r="V1092" i="10"/>
  <c r="W1092" i="10" s="1"/>
  <c r="T1092" i="10"/>
  <c r="U1092" i="10" s="1"/>
  <c r="S1092" i="10"/>
  <c r="P1092" i="10"/>
  <c r="AO1092" i="10" s="1"/>
  <c r="AQ1092" i="10" s="1"/>
  <c r="O1092" i="10"/>
  <c r="N1092" i="10"/>
  <c r="AK1091" i="10"/>
  <c r="AB1091" i="10"/>
  <c r="AA1091" i="10"/>
  <c r="X1091" i="10"/>
  <c r="Y1091" i="10" s="1"/>
  <c r="V1091" i="10"/>
  <c r="W1091" i="10" s="1"/>
  <c r="T1091" i="10"/>
  <c r="U1091" i="10" s="1"/>
  <c r="S1091" i="10"/>
  <c r="P1091" i="10"/>
  <c r="AO1091" i="10" s="1"/>
  <c r="AQ1091" i="10" s="1"/>
  <c r="O1091" i="10"/>
  <c r="N1091" i="10"/>
  <c r="AK1090" i="10"/>
  <c r="AB1090" i="10"/>
  <c r="AA1090" i="10"/>
  <c r="X1090" i="10"/>
  <c r="Y1090" i="10" s="1"/>
  <c r="V1090" i="10"/>
  <c r="W1090" i="10" s="1"/>
  <c r="T1090" i="10"/>
  <c r="U1090" i="10" s="1"/>
  <c r="S1090" i="10"/>
  <c r="P1090" i="10"/>
  <c r="AO1090" i="10" s="1"/>
  <c r="AQ1090" i="10" s="1"/>
  <c r="O1090" i="10"/>
  <c r="N1090" i="10"/>
  <c r="AK1089" i="10"/>
  <c r="AB1089" i="10"/>
  <c r="AA1089" i="10"/>
  <c r="X1089" i="10"/>
  <c r="Y1089" i="10" s="1"/>
  <c r="V1089" i="10"/>
  <c r="W1089" i="10" s="1"/>
  <c r="T1089" i="10"/>
  <c r="U1089" i="10" s="1"/>
  <c r="S1089" i="10"/>
  <c r="P1089" i="10"/>
  <c r="AO1089" i="10" s="1"/>
  <c r="AQ1089" i="10" s="1"/>
  <c r="O1089" i="10"/>
  <c r="N1089" i="10"/>
  <c r="AK1088" i="10"/>
  <c r="AB1088" i="10"/>
  <c r="AA1088" i="10"/>
  <c r="X1088" i="10"/>
  <c r="Y1088" i="10" s="1"/>
  <c r="V1088" i="10"/>
  <c r="W1088" i="10" s="1"/>
  <c r="T1088" i="10"/>
  <c r="U1088" i="10" s="1"/>
  <c r="S1088" i="10"/>
  <c r="P1088" i="10"/>
  <c r="AO1088" i="10" s="1"/>
  <c r="AQ1088" i="10" s="1"/>
  <c r="O1088" i="10"/>
  <c r="N1088" i="10"/>
  <c r="AK1087" i="10"/>
  <c r="AB1087" i="10"/>
  <c r="AA1087" i="10"/>
  <c r="X1087" i="10"/>
  <c r="Y1087" i="10" s="1"/>
  <c r="V1087" i="10"/>
  <c r="W1087" i="10" s="1"/>
  <c r="T1087" i="10"/>
  <c r="U1087" i="10" s="1"/>
  <c r="S1087" i="10"/>
  <c r="P1087" i="10"/>
  <c r="AO1087" i="10" s="1"/>
  <c r="AQ1087" i="10" s="1"/>
  <c r="O1087" i="10"/>
  <c r="N1087" i="10"/>
  <c r="AK1086" i="10"/>
  <c r="AB1086" i="10"/>
  <c r="AA1086" i="10"/>
  <c r="X1086" i="10"/>
  <c r="Y1086" i="10" s="1"/>
  <c r="V1086" i="10"/>
  <c r="W1086" i="10" s="1"/>
  <c r="T1086" i="10"/>
  <c r="U1086" i="10" s="1"/>
  <c r="S1086" i="10"/>
  <c r="P1086" i="10"/>
  <c r="AO1086" i="10" s="1"/>
  <c r="AQ1086" i="10" s="1"/>
  <c r="O1086" i="10"/>
  <c r="N1086" i="10"/>
  <c r="AK1085" i="10"/>
  <c r="AB1085" i="10"/>
  <c r="AA1085" i="10"/>
  <c r="X1085" i="10"/>
  <c r="Y1085" i="10" s="1"/>
  <c r="V1085" i="10"/>
  <c r="W1085" i="10" s="1"/>
  <c r="T1085" i="10"/>
  <c r="U1085" i="10" s="1"/>
  <c r="S1085" i="10"/>
  <c r="P1085" i="10"/>
  <c r="AO1085" i="10" s="1"/>
  <c r="AQ1085" i="10" s="1"/>
  <c r="O1085" i="10"/>
  <c r="N1085" i="10"/>
  <c r="AK1084" i="10"/>
  <c r="AB1084" i="10"/>
  <c r="AA1084" i="10"/>
  <c r="X1084" i="10"/>
  <c r="Y1084" i="10" s="1"/>
  <c r="V1084" i="10"/>
  <c r="W1084" i="10" s="1"/>
  <c r="T1084" i="10"/>
  <c r="U1084" i="10" s="1"/>
  <c r="S1084" i="10"/>
  <c r="P1084" i="10"/>
  <c r="AO1084" i="10" s="1"/>
  <c r="AQ1084" i="10" s="1"/>
  <c r="O1084" i="10"/>
  <c r="N1084" i="10"/>
  <c r="AK1083" i="10"/>
  <c r="AB1083" i="10"/>
  <c r="AA1083" i="10"/>
  <c r="X1083" i="10"/>
  <c r="Y1083" i="10" s="1"/>
  <c r="V1083" i="10"/>
  <c r="W1083" i="10" s="1"/>
  <c r="T1083" i="10"/>
  <c r="U1083" i="10" s="1"/>
  <c r="S1083" i="10"/>
  <c r="P1083" i="10"/>
  <c r="AO1083" i="10" s="1"/>
  <c r="AQ1083" i="10" s="1"/>
  <c r="O1083" i="10"/>
  <c r="N1083" i="10"/>
  <c r="AK1082" i="10"/>
  <c r="AB1082" i="10"/>
  <c r="AA1082" i="10"/>
  <c r="X1082" i="10"/>
  <c r="Y1082" i="10" s="1"/>
  <c r="V1082" i="10"/>
  <c r="W1082" i="10" s="1"/>
  <c r="T1082" i="10"/>
  <c r="U1082" i="10" s="1"/>
  <c r="S1082" i="10"/>
  <c r="P1082" i="10"/>
  <c r="AO1082" i="10" s="1"/>
  <c r="AQ1082" i="10" s="1"/>
  <c r="O1082" i="10"/>
  <c r="N1082" i="10"/>
  <c r="AK1081" i="10"/>
  <c r="AB1081" i="10"/>
  <c r="AA1081" i="10"/>
  <c r="X1081" i="10"/>
  <c r="Y1081" i="10" s="1"/>
  <c r="V1081" i="10"/>
  <c r="W1081" i="10" s="1"/>
  <c r="T1081" i="10"/>
  <c r="U1081" i="10" s="1"/>
  <c r="S1081" i="10"/>
  <c r="P1081" i="10"/>
  <c r="AO1081" i="10" s="1"/>
  <c r="AQ1081" i="10" s="1"/>
  <c r="O1081" i="10"/>
  <c r="N1081" i="10"/>
  <c r="AK1080" i="10"/>
  <c r="AB1080" i="10"/>
  <c r="AA1080" i="10"/>
  <c r="X1080" i="10"/>
  <c r="Y1080" i="10" s="1"/>
  <c r="V1080" i="10"/>
  <c r="W1080" i="10" s="1"/>
  <c r="T1080" i="10"/>
  <c r="U1080" i="10" s="1"/>
  <c r="S1080" i="10"/>
  <c r="P1080" i="10"/>
  <c r="AO1080" i="10" s="1"/>
  <c r="AQ1080" i="10" s="1"/>
  <c r="O1080" i="10"/>
  <c r="N1080" i="10"/>
  <c r="AK1079" i="10"/>
  <c r="AB1079" i="10"/>
  <c r="AA1079" i="10"/>
  <c r="X1079" i="10"/>
  <c r="Y1079" i="10" s="1"/>
  <c r="V1079" i="10"/>
  <c r="W1079" i="10" s="1"/>
  <c r="T1079" i="10"/>
  <c r="U1079" i="10" s="1"/>
  <c r="S1079" i="10"/>
  <c r="P1079" i="10"/>
  <c r="AO1079" i="10" s="1"/>
  <c r="AQ1079" i="10" s="1"/>
  <c r="O1079" i="10"/>
  <c r="N1079" i="10"/>
  <c r="AK1078" i="10"/>
  <c r="AB1078" i="10"/>
  <c r="AA1078" i="10"/>
  <c r="X1078" i="10"/>
  <c r="Y1078" i="10" s="1"/>
  <c r="V1078" i="10"/>
  <c r="W1078" i="10" s="1"/>
  <c r="T1078" i="10"/>
  <c r="U1078" i="10" s="1"/>
  <c r="S1078" i="10"/>
  <c r="P1078" i="10"/>
  <c r="AO1078" i="10" s="1"/>
  <c r="AQ1078" i="10" s="1"/>
  <c r="O1078" i="10"/>
  <c r="N1078" i="10"/>
  <c r="AK1077" i="10"/>
  <c r="AB1077" i="10"/>
  <c r="AA1077" i="10"/>
  <c r="X1077" i="10"/>
  <c r="Y1077" i="10" s="1"/>
  <c r="V1077" i="10"/>
  <c r="W1077" i="10" s="1"/>
  <c r="T1077" i="10"/>
  <c r="U1077" i="10" s="1"/>
  <c r="S1077" i="10"/>
  <c r="P1077" i="10"/>
  <c r="AO1077" i="10" s="1"/>
  <c r="AQ1077" i="10" s="1"/>
  <c r="O1077" i="10"/>
  <c r="N1077" i="10"/>
  <c r="AK1076" i="10"/>
  <c r="AB1076" i="10"/>
  <c r="AA1076" i="10"/>
  <c r="X1076" i="10"/>
  <c r="Y1076" i="10" s="1"/>
  <c r="V1076" i="10"/>
  <c r="W1076" i="10" s="1"/>
  <c r="T1076" i="10"/>
  <c r="U1076" i="10" s="1"/>
  <c r="S1076" i="10"/>
  <c r="P1076" i="10"/>
  <c r="AO1076" i="10" s="1"/>
  <c r="AQ1076" i="10" s="1"/>
  <c r="O1076" i="10"/>
  <c r="N1076" i="10"/>
  <c r="AK1075" i="10"/>
  <c r="AB1075" i="10"/>
  <c r="AA1075" i="10"/>
  <c r="X1075" i="10"/>
  <c r="Y1075" i="10" s="1"/>
  <c r="V1075" i="10"/>
  <c r="W1075" i="10" s="1"/>
  <c r="T1075" i="10"/>
  <c r="U1075" i="10" s="1"/>
  <c r="S1075" i="10"/>
  <c r="P1075" i="10"/>
  <c r="AO1075" i="10" s="1"/>
  <c r="AQ1075" i="10" s="1"/>
  <c r="O1075" i="10"/>
  <c r="N1075" i="10"/>
  <c r="AK1074" i="10"/>
  <c r="AB1074" i="10"/>
  <c r="AA1074" i="10"/>
  <c r="X1074" i="10"/>
  <c r="Y1074" i="10" s="1"/>
  <c r="V1074" i="10"/>
  <c r="W1074" i="10" s="1"/>
  <c r="T1074" i="10"/>
  <c r="U1074" i="10" s="1"/>
  <c r="S1074" i="10"/>
  <c r="P1074" i="10"/>
  <c r="AO1074" i="10" s="1"/>
  <c r="AQ1074" i="10" s="1"/>
  <c r="O1074" i="10"/>
  <c r="N1074" i="10"/>
  <c r="AK1073" i="10"/>
  <c r="AB1073" i="10"/>
  <c r="AA1073" i="10"/>
  <c r="X1073" i="10"/>
  <c r="Y1073" i="10" s="1"/>
  <c r="V1073" i="10"/>
  <c r="W1073" i="10" s="1"/>
  <c r="T1073" i="10"/>
  <c r="U1073" i="10" s="1"/>
  <c r="S1073" i="10"/>
  <c r="P1073" i="10"/>
  <c r="AO1073" i="10" s="1"/>
  <c r="AQ1073" i="10" s="1"/>
  <c r="O1073" i="10"/>
  <c r="N1073" i="10"/>
  <c r="AO1072" i="10"/>
  <c r="AQ1072" i="10" s="1"/>
  <c r="AK1072" i="10"/>
  <c r="AL1072" i="10" s="1"/>
  <c r="AI1072" i="10"/>
  <c r="AB1072" i="10"/>
  <c r="AA1072" i="10"/>
  <c r="X1072" i="10"/>
  <c r="Y1072" i="10" s="1"/>
  <c r="V1072" i="10"/>
  <c r="W1072" i="10" s="1"/>
  <c r="T1072" i="10"/>
  <c r="U1072" i="10" s="1"/>
  <c r="S1072" i="10"/>
  <c r="P1072" i="10"/>
  <c r="O1072" i="10"/>
  <c r="N1072" i="10"/>
  <c r="Z1072" i="10" s="1"/>
  <c r="AN1072" i="10" s="1"/>
  <c r="AK1071" i="10"/>
  <c r="AB1071" i="10"/>
  <c r="AA1071" i="10"/>
  <c r="X1071" i="10"/>
  <c r="Y1071" i="10" s="1"/>
  <c r="V1071" i="10"/>
  <c r="W1071" i="10" s="1"/>
  <c r="T1071" i="10"/>
  <c r="U1071" i="10" s="1"/>
  <c r="S1071" i="10"/>
  <c r="P1071" i="10"/>
  <c r="AO1071" i="10" s="1"/>
  <c r="AQ1071" i="10" s="1"/>
  <c r="O1071" i="10"/>
  <c r="N1071" i="10"/>
  <c r="AK1070" i="10"/>
  <c r="AB1070" i="10"/>
  <c r="AA1070" i="10"/>
  <c r="X1070" i="10"/>
  <c r="Y1070" i="10" s="1"/>
  <c r="V1070" i="10"/>
  <c r="W1070" i="10" s="1"/>
  <c r="T1070" i="10"/>
  <c r="U1070" i="10" s="1"/>
  <c r="S1070" i="10"/>
  <c r="P1070" i="10"/>
  <c r="AO1070" i="10" s="1"/>
  <c r="AQ1070" i="10" s="1"/>
  <c r="O1070" i="10"/>
  <c r="N1070" i="10"/>
  <c r="AK1069" i="10"/>
  <c r="AB1069" i="10"/>
  <c r="AA1069" i="10"/>
  <c r="X1069" i="10"/>
  <c r="Y1069" i="10" s="1"/>
  <c r="V1069" i="10"/>
  <c r="W1069" i="10" s="1"/>
  <c r="T1069" i="10"/>
  <c r="U1069" i="10" s="1"/>
  <c r="S1069" i="10"/>
  <c r="P1069" i="10"/>
  <c r="AO1069" i="10" s="1"/>
  <c r="AQ1069" i="10" s="1"/>
  <c r="O1069" i="10"/>
  <c r="N1069" i="10"/>
  <c r="AK1068" i="10"/>
  <c r="AB1068" i="10"/>
  <c r="AA1068" i="10"/>
  <c r="X1068" i="10"/>
  <c r="Y1068" i="10" s="1"/>
  <c r="V1068" i="10"/>
  <c r="W1068" i="10" s="1"/>
  <c r="T1068" i="10"/>
  <c r="U1068" i="10" s="1"/>
  <c r="S1068" i="10"/>
  <c r="P1068" i="10"/>
  <c r="AO1068" i="10" s="1"/>
  <c r="AQ1068" i="10" s="1"/>
  <c r="O1068" i="10"/>
  <c r="N1068" i="10"/>
  <c r="AK1067" i="10"/>
  <c r="AB1067" i="10"/>
  <c r="AA1067" i="10"/>
  <c r="X1067" i="10"/>
  <c r="Y1067" i="10" s="1"/>
  <c r="V1067" i="10"/>
  <c r="W1067" i="10" s="1"/>
  <c r="T1067" i="10"/>
  <c r="U1067" i="10" s="1"/>
  <c r="S1067" i="10"/>
  <c r="P1067" i="10"/>
  <c r="AO1067" i="10" s="1"/>
  <c r="AQ1067" i="10" s="1"/>
  <c r="O1067" i="10"/>
  <c r="N1067" i="10"/>
  <c r="AK1066" i="10"/>
  <c r="AB1066" i="10"/>
  <c r="AA1066" i="10"/>
  <c r="X1066" i="10"/>
  <c r="Y1066" i="10" s="1"/>
  <c r="V1066" i="10"/>
  <c r="W1066" i="10" s="1"/>
  <c r="T1066" i="10"/>
  <c r="U1066" i="10" s="1"/>
  <c r="S1066" i="10"/>
  <c r="P1066" i="10"/>
  <c r="AO1066" i="10" s="1"/>
  <c r="AQ1066" i="10" s="1"/>
  <c r="O1066" i="10"/>
  <c r="N1066" i="10"/>
  <c r="AK1065" i="10"/>
  <c r="AB1065" i="10"/>
  <c r="AA1065" i="10"/>
  <c r="X1065" i="10"/>
  <c r="Y1065" i="10" s="1"/>
  <c r="V1065" i="10"/>
  <c r="W1065" i="10" s="1"/>
  <c r="T1065" i="10"/>
  <c r="U1065" i="10" s="1"/>
  <c r="S1065" i="10"/>
  <c r="P1065" i="10"/>
  <c r="AO1065" i="10" s="1"/>
  <c r="AQ1065" i="10" s="1"/>
  <c r="O1065" i="10"/>
  <c r="N1065" i="10"/>
  <c r="AK1064" i="10"/>
  <c r="AB1064" i="10"/>
  <c r="AA1064" i="10"/>
  <c r="X1064" i="10"/>
  <c r="Y1064" i="10" s="1"/>
  <c r="V1064" i="10"/>
  <c r="W1064" i="10" s="1"/>
  <c r="T1064" i="10"/>
  <c r="U1064" i="10" s="1"/>
  <c r="S1064" i="10"/>
  <c r="P1064" i="10"/>
  <c r="AO1064" i="10" s="1"/>
  <c r="AQ1064" i="10" s="1"/>
  <c r="O1064" i="10"/>
  <c r="N1064" i="10"/>
  <c r="AK1063" i="10"/>
  <c r="AB1063" i="10"/>
  <c r="AA1063" i="10"/>
  <c r="X1063" i="10"/>
  <c r="Y1063" i="10" s="1"/>
  <c r="V1063" i="10"/>
  <c r="W1063" i="10" s="1"/>
  <c r="T1063" i="10"/>
  <c r="U1063" i="10" s="1"/>
  <c r="S1063" i="10"/>
  <c r="P1063" i="10"/>
  <c r="AO1063" i="10" s="1"/>
  <c r="AQ1063" i="10" s="1"/>
  <c r="O1063" i="10"/>
  <c r="N1063" i="10"/>
  <c r="AK1062" i="10"/>
  <c r="AB1062" i="10"/>
  <c r="AA1062" i="10"/>
  <c r="X1062" i="10"/>
  <c r="Y1062" i="10" s="1"/>
  <c r="V1062" i="10"/>
  <c r="W1062" i="10" s="1"/>
  <c r="T1062" i="10"/>
  <c r="U1062" i="10" s="1"/>
  <c r="S1062" i="10"/>
  <c r="P1062" i="10"/>
  <c r="AO1062" i="10" s="1"/>
  <c r="AQ1062" i="10" s="1"/>
  <c r="O1062" i="10"/>
  <c r="N1062" i="10"/>
  <c r="AK1061" i="10"/>
  <c r="AB1061" i="10"/>
  <c r="AA1061" i="10"/>
  <c r="X1061" i="10"/>
  <c r="Y1061" i="10" s="1"/>
  <c r="V1061" i="10"/>
  <c r="W1061" i="10" s="1"/>
  <c r="T1061" i="10"/>
  <c r="U1061" i="10" s="1"/>
  <c r="S1061" i="10"/>
  <c r="P1061" i="10"/>
  <c r="AO1061" i="10" s="1"/>
  <c r="AQ1061" i="10" s="1"/>
  <c r="O1061" i="10"/>
  <c r="N1061" i="10"/>
  <c r="AK1060" i="10"/>
  <c r="AB1060" i="10"/>
  <c r="AA1060" i="10"/>
  <c r="X1060" i="10"/>
  <c r="Y1060" i="10" s="1"/>
  <c r="V1060" i="10"/>
  <c r="W1060" i="10" s="1"/>
  <c r="T1060" i="10"/>
  <c r="U1060" i="10" s="1"/>
  <c r="S1060" i="10"/>
  <c r="P1060" i="10"/>
  <c r="AO1060" i="10" s="1"/>
  <c r="AQ1060" i="10" s="1"/>
  <c r="O1060" i="10"/>
  <c r="N1060" i="10"/>
  <c r="AK1059" i="10"/>
  <c r="AB1059" i="10"/>
  <c r="AA1059" i="10"/>
  <c r="X1059" i="10"/>
  <c r="Y1059" i="10" s="1"/>
  <c r="V1059" i="10"/>
  <c r="W1059" i="10" s="1"/>
  <c r="T1059" i="10"/>
  <c r="U1059" i="10" s="1"/>
  <c r="S1059" i="10"/>
  <c r="P1059" i="10"/>
  <c r="AO1059" i="10" s="1"/>
  <c r="AQ1059" i="10" s="1"/>
  <c r="O1059" i="10"/>
  <c r="N1059" i="10"/>
  <c r="AK1058" i="10"/>
  <c r="AB1058" i="10"/>
  <c r="AA1058" i="10"/>
  <c r="X1058" i="10"/>
  <c r="Y1058" i="10" s="1"/>
  <c r="V1058" i="10"/>
  <c r="W1058" i="10" s="1"/>
  <c r="T1058" i="10"/>
  <c r="U1058" i="10" s="1"/>
  <c r="S1058" i="10"/>
  <c r="P1058" i="10"/>
  <c r="AO1058" i="10" s="1"/>
  <c r="AQ1058" i="10" s="1"/>
  <c r="O1058" i="10"/>
  <c r="N1058" i="10"/>
  <c r="AK1057" i="10"/>
  <c r="AB1057" i="10"/>
  <c r="AA1057" i="10"/>
  <c r="X1057" i="10"/>
  <c r="Y1057" i="10" s="1"/>
  <c r="V1057" i="10"/>
  <c r="W1057" i="10" s="1"/>
  <c r="T1057" i="10"/>
  <c r="U1057" i="10" s="1"/>
  <c r="S1057" i="10"/>
  <c r="P1057" i="10"/>
  <c r="AO1057" i="10" s="1"/>
  <c r="AQ1057" i="10" s="1"/>
  <c r="O1057" i="10"/>
  <c r="N1057" i="10"/>
  <c r="AK1056" i="10"/>
  <c r="AB1056" i="10"/>
  <c r="AA1056" i="10"/>
  <c r="X1056" i="10"/>
  <c r="Y1056" i="10" s="1"/>
  <c r="V1056" i="10"/>
  <c r="W1056" i="10" s="1"/>
  <c r="T1056" i="10"/>
  <c r="U1056" i="10" s="1"/>
  <c r="S1056" i="10"/>
  <c r="P1056" i="10"/>
  <c r="AO1056" i="10" s="1"/>
  <c r="AQ1056" i="10" s="1"/>
  <c r="O1056" i="10"/>
  <c r="N1056" i="10"/>
  <c r="AK1055" i="10"/>
  <c r="AB1055" i="10"/>
  <c r="AA1055" i="10"/>
  <c r="X1055" i="10"/>
  <c r="Y1055" i="10" s="1"/>
  <c r="V1055" i="10"/>
  <c r="W1055" i="10" s="1"/>
  <c r="T1055" i="10"/>
  <c r="U1055" i="10" s="1"/>
  <c r="S1055" i="10"/>
  <c r="P1055" i="10"/>
  <c r="AO1055" i="10" s="1"/>
  <c r="AQ1055" i="10" s="1"/>
  <c r="O1055" i="10"/>
  <c r="N1055" i="10"/>
  <c r="AK1054" i="10"/>
  <c r="AB1054" i="10"/>
  <c r="AA1054" i="10"/>
  <c r="X1054" i="10"/>
  <c r="Y1054" i="10" s="1"/>
  <c r="V1054" i="10"/>
  <c r="W1054" i="10" s="1"/>
  <c r="T1054" i="10"/>
  <c r="U1054" i="10" s="1"/>
  <c r="S1054" i="10"/>
  <c r="P1054" i="10"/>
  <c r="AO1054" i="10" s="1"/>
  <c r="AQ1054" i="10" s="1"/>
  <c r="O1054" i="10"/>
  <c r="N1054" i="10"/>
  <c r="AK1053" i="10"/>
  <c r="AB1053" i="10"/>
  <c r="AA1053" i="10"/>
  <c r="X1053" i="10"/>
  <c r="Y1053" i="10" s="1"/>
  <c r="V1053" i="10"/>
  <c r="W1053" i="10" s="1"/>
  <c r="T1053" i="10"/>
  <c r="U1053" i="10" s="1"/>
  <c r="S1053" i="10"/>
  <c r="P1053" i="10"/>
  <c r="AO1053" i="10" s="1"/>
  <c r="AQ1053" i="10" s="1"/>
  <c r="O1053" i="10"/>
  <c r="N1053" i="10"/>
  <c r="AK1052" i="10"/>
  <c r="AB1052" i="10"/>
  <c r="AA1052" i="10"/>
  <c r="X1052" i="10"/>
  <c r="Y1052" i="10" s="1"/>
  <c r="V1052" i="10"/>
  <c r="W1052" i="10" s="1"/>
  <c r="T1052" i="10"/>
  <c r="U1052" i="10" s="1"/>
  <c r="S1052" i="10"/>
  <c r="P1052" i="10"/>
  <c r="AO1052" i="10" s="1"/>
  <c r="AQ1052" i="10" s="1"/>
  <c r="O1052" i="10"/>
  <c r="N1052" i="10"/>
  <c r="AK1051" i="10"/>
  <c r="AB1051" i="10"/>
  <c r="AA1051" i="10"/>
  <c r="X1051" i="10"/>
  <c r="Y1051" i="10" s="1"/>
  <c r="V1051" i="10"/>
  <c r="W1051" i="10" s="1"/>
  <c r="T1051" i="10"/>
  <c r="U1051" i="10" s="1"/>
  <c r="S1051" i="10"/>
  <c r="P1051" i="10"/>
  <c r="AO1051" i="10" s="1"/>
  <c r="AQ1051" i="10" s="1"/>
  <c r="O1051" i="10"/>
  <c r="N1051" i="10"/>
  <c r="AK1050" i="10"/>
  <c r="AB1050" i="10"/>
  <c r="AA1050" i="10"/>
  <c r="X1050" i="10"/>
  <c r="Y1050" i="10" s="1"/>
  <c r="V1050" i="10"/>
  <c r="W1050" i="10" s="1"/>
  <c r="T1050" i="10"/>
  <c r="U1050" i="10" s="1"/>
  <c r="S1050" i="10"/>
  <c r="P1050" i="10"/>
  <c r="AO1050" i="10" s="1"/>
  <c r="AQ1050" i="10" s="1"/>
  <c r="O1050" i="10"/>
  <c r="N1050" i="10"/>
  <c r="AK1049" i="10"/>
  <c r="AB1049" i="10"/>
  <c r="AA1049" i="10"/>
  <c r="X1049" i="10"/>
  <c r="Y1049" i="10" s="1"/>
  <c r="V1049" i="10"/>
  <c r="W1049" i="10" s="1"/>
  <c r="T1049" i="10"/>
  <c r="U1049" i="10" s="1"/>
  <c r="S1049" i="10"/>
  <c r="P1049" i="10"/>
  <c r="AO1049" i="10" s="1"/>
  <c r="AQ1049" i="10" s="1"/>
  <c r="O1049" i="10"/>
  <c r="N1049" i="10"/>
  <c r="AK1048" i="10"/>
  <c r="AB1048" i="10"/>
  <c r="AA1048" i="10"/>
  <c r="X1048" i="10"/>
  <c r="Y1048" i="10" s="1"/>
  <c r="V1048" i="10"/>
  <c r="W1048" i="10" s="1"/>
  <c r="T1048" i="10"/>
  <c r="U1048" i="10" s="1"/>
  <c r="S1048" i="10"/>
  <c r="P1048" i="10"/>
  <c r="AO1048" i="10" s="1"/>
  <c r="AQ1048" i="10" s="1"/>
  <c r="O1048" i="10"/>
  <c r="N1048" i="10"/>
  <c r="AK1047" i="10"/>
  <c r="AB1047" i="10"/>
  <c r="AA1047" i="10"/>
  <c r="X1047" i="10"/>
  <c r="Y1047" i="10" s="1"/>
  <c r="V1047" i="10"/>
  <c r="W1047" i="10" s="1"/>
  <c r="T1047" i="10"/>
  <c r="U1047" i="10" s="1"/>
  <c r="S1047" i="10"/>
  <c r="P1047" i="10"/>
  <c r="AO1047" i="10" s="1"/>
  <c r="AQ1047" i="10" s="1"/>
  <c r="O1047" i="10"/>
  <c r="N1047" i="10"/>
  <c r="AK1046" i="10"/>
  <c r="AB1046" i="10"/>
  <c r="AA1046" i="10"/>
  <c r="X1046" i="10"/>
  <c r="Y1046" i="10" s="1"/>
  <c r="V1046" i="10"/>
  <c r="W1046" i="10" s="1"/>
  <c r="T1046" i="10"/>
  <c r="U1046" i="10" s="1"/>
  <c r="S1046" i="10"/>
  <c r="P1046" i="10"/>
  <c r="AO1046" i="10" s="1"/>
  <c r="AQ1046" i="10" s="1"/>
  <c r="O1046" i="10"/>
  <c r="N1046" i="10"/>
  <c r="AK1045" i="10"/>
  <c r="AB1045" i="10"/>
  <c r="AA1045" i="10"/>
  <c r="X1045" i="10"/>
  <c r="Y1045" i="10" s="1"/>
  <c r="V1045" i="10"/>
  <c r="W1045" i="10" s="1"/>
  <c r="T1045" i="10"/>
  <c r="U1045" i="10" s="1"/>
  <c r="S1045" i="10"/>
  <c r="P1045" i="10"/>
  <c r="AO1045" i="10" s="1"/>
  <c r="AQ1045" i="10" s="1"/>
  <c r="O1045" i="10"/>
  <c r="N1045" i="10"/>
  <c r="AK1044" i="10"/>
  <c r="AB1044" i="10"/>
  <c r="AA1044" i="10"/>
  <c r="X1044" i="10"/>
  <c r="Y1044" i="10" s="1"/>
  <c r="V1044" i="10"/>
  <c r="W1044" i="10" s="1"/>
  <c r="T1044" i="10"/>
  <c r="U1044" i="10" s="1"/>
  <c r="S1044" i="10"/>
  <c r="P1044" i="10"/>
  <c r="AO1044" i="10" s="1"/>
  <c r="AQ1044" i="10" s="1"/>
  <c r="O1044" i="10"/>
  <c r="N1044" i="10"/>
  <c r="AK1043" i="10"/>
  <c r="AB1043" i="10"/>
  <c r="AA1043" i="10"/>
  <c r="X1043" i="10"/>
  <c r="Y1043" i="10" s="1"/>
  <c r="V1043" i="10"/>
  <c r="W1043" i="10" s="1"/>
  <c r="T1043" i="10"/>
  <c r="U1043" i="10" s="1"/>
  <c r="S1043" i="10"/>
  <c r="P1043" i="10"/>
  <c r="AO1043" i="10" s="1"/>
  <c r="AQ1043" i="10" s="1"/>
  <c r="O1043" i="10"/>
  <c r="N1043" i="10"/>
  <c r="AK1042" i="10"/>
  <c r="AB1042" i="10"/>
  <c r="AA1042" i="10"/>
  <c r="X1042" i="10"/>
  <c r="Y1042" i="10" s="1"/>
  <c r="V1042" i="10"/>
  <c r="W1042" i="10" s="1"/>
  <c r="T1042" i="10"/>
  <c r="U1042" i="10" s="1"/>
  <c r="S1042" i="10"/>
  <c r="P1042" i="10"/>
  <c r="AO1042" i="10" s="1"/>
  <c r="AQ1042" i="10" s="1"/>
  <c r="O1042" i="10"/>
  <c r="N1042" i="10"/>
  <c r="AK1041" i="10"/>
  <c r="AB1041" i="10"/>
  <c r="AA1041" i="10"/>
  <c r="X1041" i="10"/>
  <c r="Y1041" i="10" s="1"/>
  <c r="V1041" i="10"/>
  <c r="W1041" i="10" s="1"/>
  <c r="T1041" i="10"/>
  <c r="U1041" i="10" s="1"/>
  <c r="S1041" i="10"/>
  <c r="P1041" i="10"/>
  <c r="AO1041" i="10" s="1"/>
  <c r="AQ1041" i="10" s="1"/>
  <c r="O1041" i="10"/>
  <c r="N1041" i="10"/>
  <c r="AK1040" i="10"/>
  <c r="AB1040" i="10"/>
  <c r="AA1040" i="10"/>
  <c r="X1040" i="10"/>
  <c r="Y1040" i="10" s="1"/>
  <c r="V1040" i="10"/>
  <c r="W1040" i="10" s="1"/>
  <c r="T1040" i="10"/>
  <c r="U1040" i="10" s="1"/>
  <c r="S1040" i="10"/>
  <c r="P1040" i="10"/>
  <c r="AO1040" i="10" s="1"/>
  <c r="AQ1040" i="10" s="1"/>
  <c r="O1040" i="10"/>
  <c r="N1040" i="10"/>
  <c r="AK1039" i="10"/>
  <c r="AB1039" i="10"/>
  <c r="AA1039" i="10"/>
  <c r="X1039" i="10"/>
  <c r="Y1039" i="10" s="1"/>
  <c r="V1039" i="10"/>
  <c r="W1039" i="10" s="1"/>
  <c r="T1039" i="10"/>
  <c r="U1039" i="10" s="1"/>
  <c r="S1039" i="10"/>
  <c r="P1039" i="10"/>
  <c r="AO1039" i="10" s="1"/>
  <c r="AQ1039" i="10" s="1"/>
  <c r="O1039" i="10"/>
  <c r="N1039" i="10"/>
  <c r="AK1038" i="10"/>
  <c r="AB1038" i="10"/>
  <c r="AA1038" i="10"/>
  <c r="X1038" i="10"/>
  <c r="Y1038" i="10" s="1"/>
  <c r="V1038" i="10"/>
  <c r="W1038" i="10" s="1"/>
  <c r="T1038" i="10"/>
  <c r="U1038" i="10" s="1"/>
  <c r="S1038" i="10"/>
  <c r="P1038" i="10"/>
  <c r="AO1038" i="10" s="1"/>
  <c r="AQ1038" i="10" s="1"/>
  <c r="O1038" i="10"/>
  <c r="N1038" i="10"/>
  <c r="AK1037" i="10"/>
  <c r="AB1037" i="10"/>
  <c r="AA1037" i="10"/>
  <c r="X1037" i="10"/>
  <c r="Y1037" i="10" s="1"/>
  <c r="V1037" i="10"/>
  <c r="W1037" i="10" s="1"/>
  <c r="T1037" i="10"/>
  <c r="U1037" i="10" s="1"/>
  <c r="S1037" i="10"/>
  <c r="P1037" i="10"/>
  <c r="AO1037" i="10" s="1"/>
  <c r="AQ1037" i="10" s="1"/>
  <c r="O1037" i="10"/>
  <c r="N1037" i="10"/>
  <c r="AK1036" i="10"/>
  <c r="AB1036" i="10"/>
  <c r="AA1036" i="10"/>
  <c r="X1036" i="10"/>
  <c r="Y1036" i="10" s="1"/>
  <c r="V1036" i="10"/>
  <c r="W1036" i="10" s="1"/>
  <c r="T1036" i="10"/>
  <c r="U1036" i="10" s="1"/>
  <c r="S1036" i="10"/>
  <c r="P1036" i="10"/>
  <c r="AO1036" i="10" s="1"/>
  <c r="AQ1036" i="10" s="1"/>
  <c r="O1036" i="10"/>
  <c r="N1036" i="10"/>
  <c r="AK1035" i="10"/>
  <c r="AB1035" i="10"/>
  <c r="AA1035" i="10"/>
  <c r="X1035" i="10"/>
  <c r="Y1035" i="10" s="1"/>
  <c r="V1035" i="10"/>
  <c r="W1035" i="10" s="1"/>
  <c r="T1035" i="10"/>
  <c r="U1035" i="10" s="1"/>
  <c r="S1035" i="10"/>
  <c r="P1035" i="10"/>
  <c r="AO1035" i="10" s="1"/>
  <c r="AQ1035" i="10" s="1"/>
  <c r="O1035" i="10"/>
  <c r="N1035" i="10"/>
  <c r="AK1034" i="10"/>
  <c r="AB1034" i="10"/>
  <c r="AA1034" i="10"/>
  <c r="X1034" i="10"/>
  <c r="Y1034" i="10" s="1"/>
  <c r="V1034" i="10"/>
  <c r="W1034" i="10" s="1"/>
  <c r="T1034" i="10"/>
  <c r="U1034" i="10" s="1"/>
  <c r="S1034" i="10"/>
  <c r="P1034" i="10"/>
  <c r="AO1034" i="10" s="1"/>
  <c r="AQ1034" i="10" s="1"/>
  <c r="O1034" i="10"/>
  <c r="N1034" i="10"/>
  <c r="AK1033" i="10"/>
  <c r="AB1033" i="10"/>
  <c r="AA1033" i="10"/>
  <c r="X1033" i="10"/>
  <c r="Y1033" i="10" s="1"/>
  <c r="V1033" i="10"/>
  <c r="W1033" i="10" s="1"/>
  <c r="T1033" i="10"/>
  <c r="U1033" i="10" s="1"/>
  <c r="S1033" i="10"/>
  <c r="P1033" i="10"/>
  <c r="AO1033" i="10" s="1"/>
  <c r="AQ1033" i="10" s="1"/>
  <c r="O1033" i="10"/>
  <c r="N1033" i="10"/>
  <c r="AK1032" i="10"/>
  <c r="AB1032" i="10"/>
  <c r="AA1032" i="10"/>
  <c r="X1032" i="10"/>
  <c r="Y1032" i="10" s="1"/>
  <c r="V1032" i="10"/>
  <c r="W1032" i="10" s="1"/>
  <c r="T1032" i="10"/>
  <c r="U1032" i="10" s="1"/>
  <c r="S1032" i="10"/>
  <c r="P1032" i="10"/>
  <c r="AO1032" i="10" s="1"/>
  <c r="AQ1032" i="10" s="1"/>
  <c r="O1032" i="10"/>
  <c r="N1032" i="10"/>
  <c r="AK1031" i="10"/>
  <c r="AB1031" i="10"/>
  <c r="AA1031" i="10"/>
  <c r="X1031" i="10"/>
  <c r="Y1031" i="10" s="1"/>
  <c r="V1031" i="10"/>
  <c r="W1031" i="10" s="1"/>
  <c r="T1031" i="10"/>
  <c r="U1031" i="10" s="1"/>
  <c r="S1031" i="10"/>
  <c r="P1031" i="10"/>
  <c r="AO1031" i="10" s="1"/>
  <c r="AQ1031" i="10" s="1"/>
  <c r="O1031" i="10"/>
  <c r="N1031" i="10"/>
  <c r="AK1030" i="10"/>
  <c r="AB1030" i="10"/>
  <c r="AA1030" i="10"/>
  <c r="X1030" i="10"/>
  <c r="Y1030" i="10" s="1"/>
  <c r="V1030" i="10"/>
  <c r="W1030" i="10" s="1"/>
  <c r="T1030" i="10"/>
  <c r="U1030" i="10" s="1"/>
  <c r="S1030" i="10"/>
  <c r="P1030" i="10"/>
  <c r="AO1030" i="10" s="1"/>
  <c r="AQ1030" i="10" s="1"/>
  <c r="O1030" i="10"/>
  <c r="N1030" i="10"/>
  <c r="AK1029" i="10"/>
  <c r="AB1029" i="10"/>
  <c r="AA1029" i="10"/>
  <c r="X1029" i="10"/>
  <c r="Y1029" i="10" s="1"/>
  <c r="V1029" i="10"/>
  <c r="W1029" i="10" s="1"/>
  <c r="T1029" i="10"/>
  <c r="U1029" i="10" s="1"/>
  <c r="S1029" i="10"/>
  <c r="P1029" i="10"/>
  <c r="AO1029" i="10" s="1"/>
  <c r="AQ1029" i="10" s="1"/>
  <c r="O1029" i="10"/>
  <c r="N1029" i="10"/>
  <c r="AK1028" i="10"/>
  <c r="AB1028" i="10"/>
  <c r="AA1028" i="10"/>
  <c r="X1028" i="10"/>
  <c r="Y1028" i="10" s="1"/>
  <c r="V1028" i="10"/>
  <c r="W1028" i="10" s="1"/>
  <c r="T1028" i="10"/>
  <c r="U1028" i="10" s="1"/>
  <c r="S1028" i="10"/>
  <c r="P1028" i="10"/>
  <c r="AO1028" i="10" s="1"/>
  <c r="AQ1028" i="10" s="1"/>
  <c r="O1028" i="10"/>
  <c r="N1028" i="10"/>
  <c r="AK1027" i="10"/>
  <c r="AB1027" i="10"/>
  <c r="AA1027" i="10"/>
  <c r="X1027" i="10"/>
  <c r="Y1027" i="10" s="1"/>
  <c r="V1027" i="10"/>
  <c r="W1027" i="10" s="1"/>
  <c r="T1027" i="10"/>
  <c r="U1027" i="10" s="1"/>
  <c r="S1027" i="10"/>
  <c r="P1027" i="10"/>
  <c r="AO1027" i="10" s="1"/>
  <c r="AQ1027" i="10" s="1"/>
  <c r="O1027" i="10"/>
  <c r="N1027" i="10"/>
  <c r="AK1026" i="10"/>
  <c r="AB1026" i="10"/>
  <c r="AA1026" i="10"/>
  <c r="X1026" i="10"/>
  <c r="Y1026" i="10" s="1"/>
  <c r="V1026" i="10"/>
  <c r="W1026" i="10" s="1"/>
  <c r="T1026" i="10"/>
  <c r="U1026" i="10" s="1"/>
  <c r="S1026" i="10"/>
  <c r="P1026" i="10"/>
  <c r="AO1026" i="10" s="1"/>
  <c r="AQ1026" i="10" s="1"/>
  <c r="O1026" i="10"/>
  <c r="N1026" i="10"/>
  <c r="AK1025" i="10"/>
  <c r="AB1025" i="10"/>
  <c r="AA1025" i="10"/>
  <c r="X1025" i="10"/>
  <c r="Y1025" i="10" s="1"/>
  <c r="V1025" i="10"/>
  <c r="W1025" i="10" s="1"/>
  <c r="T1025" i="10"/>
  <c r="U1025" i="10" s="1"/>
  <c r="S1025" i="10"/>
  <c r="P1025" i="10"/>
  <c r="AO1025" i="10" s="1"/>
  <c r="AQ1025" i="10" s="1"/>
  <c r="O1025" i="10"/>
  <c r="N1025" i="10"/>
  <c r="AK1024" i="10"/>
  <c r="AB1024" i="10"/>
  <c r="AA1024" i="10"/>
  <c r="X1024" i="10"/>
  <c r="Y1024" i="10" s="1"/>
  <c r="V1024" i="10"/>
  <c r="W1024" i="10" s="1"/>
  <c r="T1024" i="10"/>
  <c r="U1024" i="10" s="1"/>
  <c r="S1024" i="10"/>
  <c r="P1024" i="10"/>
  <c r="AO1024" i="10" s="1"/>
  <c r="AQ1024" i="10" s="1"/>
  <c r="O1024" i="10"/>
  <c r="N1024" i="10"/>
  <c r="AK1023" i="10"/>
  <c r="AB1023" i="10"/>
  <c r="AA1023" i="10"/>
  <c r="X1023" i="10"/>
  <c r="Y1023" i="10" s="1"/>
  <c r="V1023" i="10"/>
  <c r="W1023" i="10" s="1"/>
  <c r="T1023" i="10"/>
  <c r="U1023" i="10" s="1"/>
  <c r="S1023" i="10"/>
  <c r="P1023" i="10"/>
  <c r="AO1023" i="10" s="1"/>
  <c r="AQ1023" i="10" s="1"/>
  <c r="O1023" i="10"/>
  <c r="N1023" i="10"/>
  <c r="AK1022" i="10"/>
  <c r="AB1022" i="10"/>
  <c r="AA1022" i="10"/>
  <c r="X1022" i="10"/>
  <c r="Y1022" i="10" s="1"/>
  <c r="V1022" i="10"/>
  <c r="W1022" i="10" s="1"/>
  <c r="T1022" i="10"/>
  <c r="U1022" i="10" s="1"/>
  <c r="S1022" i="10"/>
  <c r="P1022" i="10"/>
  <c r="AO1022" i="10" s="1"/>
  <c r="AQ1022" i="10" s="1"/>
  <c r="O1022" i="10"/>
  <c r="N1022" i="10"/>
  <c r="AK1021" i="10"/>
  <c r="AB1021" i="10"/>
  <c r="AA1021" i="10"/>
  <c r="X1021" i="10"/>
  <c r="Y1021" i="10" s="1"/>
  <c r="V1021" i="10"/>
  <c r="W1021" i="10" s="1"/>
  <c r="T1021" i="10"/>
  <c r="U1021" i="10" s="1"/>
  <c r="S1021" i="10"/>
  <c r="P1021" i="10"/>
  <c r="AO1021" i="10" s="1"/>
  <c r="AQ1021" i="10" s="1"/>
  <c r="O1021" i="10"/>
  <c r="N1021" i="10"/>
  <c r="AK1020" i="10"/>
  <c r="AB1020" i="10"/>
  <c r="AA1020" i="10"/>
  <c r="X1020" i="10"/>
  <c r="Y1020" i="10" s="1"/>
  <c r="V1020" i="10"/>
  <c r="W1020" i="10" s="1"/>
  <c r="T1020" i="10"/>
  <c r="U1020" i="10" s="1"/>
  <c r="S1020" i="10"/>
  <c r="P1020" i="10"/>
  <c r="AO1020" i="10" s="1"/>
  <c r="AQ1020" i="10" s="1"/>
  <c r="O1020" i="10"/>
  <c r="N1020" i="10"/>
  <c r="AK1019" i="10"/>
  <c r="AB1019" i="10"/>
  <c r="AA1019" i="10"/>
  <c r="X1019" i="10"/>
  <c r="Y1019" i="10" s="1"/>
  <c r="V1019" i="10"/>
  <c r="W1019" i="10" s="1"/>
  <c r="T1019" i="10"/>
  <c r="U1019" i="10" s="1"/>
  <c r="S1019" i="10"/>
  <c r="P1019" i="10"/>
  <c r="AO1019" i="10" s="1"/>
  <c r="AQ1019" i="10" s="1"/>
  <c r="O1019" i="10"/>
  <c r="N1019" i="10"/>
  <c r="AK1018" i="10"/>
  <c r="AB1018" i="10"/>
  <c r="AA1018" i="10"/>
  <c r="X1018" i="10"/>
  <c r="Y1018" i="10" s="1"/>
  <c r="V1018" i="10"/>
  <c r="W1018" i="10" s="1"/>
  <c r="T1018" i="10"/>
  <c r="U1018" i="10" s="1"/>
  <c r="S1018" i="10"/>
  <c r="P1018" i="10"/>
  <c r="AO1018" i="10" s="1"/>
  <c r="AQ1018" i="10" s="1"/>
  <c r="O1018" i="10"/>
  <c r="N1018" i="10"/>
  <c r="AK1017" i="10"/>
  <c r="AB1017" i="10"/>
  <c r="AA1017" i="10"/>
  <c r="X1017" i="10"/>
  <c r="Y1017" i="10" s="1"/>
  <c r="V1017" i="10"/>
  <c r="W1017" i="10" s="1"/>
  <c r="T1017" i="10"/>
  <c r="U1017" i="10" s="1"/>
  <c r="S1017" i="10"/>
  <c r="P1017" i="10"/>
  <c r="AO1017" i="10" s="1"/>
  <c r="AQ1017" i="10" s="1"/>
  <c r="O1017" i="10"/>
  <c r="N1017" i="10"/>
  <c r="AK1016" i="10"/>
  <c r="AB1016" i="10"/>
  <c r="AA1016" i="10"/>
  <c r="X1016" i="10"/>
  <c r="Y1016" i="10" s="1"/>
  <c r="V1016" i="10"/>
  <c r="W1016" i="10" s="1"/>
  <c r="T1016" i="10"/>
  <c r="U1016" i="10" s="1"/>
  <c r="S1016" i="10"/>
  <c r="P1016" i="10"/>
  <c r="AO1016" i="10" s="1"/>
  <c r="AQ1016" i="10" s="1"/>
  <c r="O1016" i="10"/>
  <c r="N1016" i="10"/>
  <c r="AK1015" i="10"/>
  <c r="AB1015" i="10"/>
  <c r="AA1015" i="10"/>
  <c r="X1015" i="10"/>
  <c r="Y1015" i="10" s="1"/>
  <c r="V1015" i="10"/>
  <c r="W1015" i="10" s="1"/>
  <c r="T1015" i="10"/>
  <c r="U1015" i="10" s="1"/>
  <c r="S1015" i="10"/>
  <c r="P1015" i="10"/>
  <c r="AO1015" i="10" s="1"/>
  <c r="AQ1015" i="10" s="1"/>
  <c r="O1015" i="10"/>
  <c r="N1015" i="10"/>
  <c r="AK1014" i="10"/>
  <c r="AB1014" i="10"/>
  <c r="AA1014" i="10"/>
  <c r="X1014" i="10"/>
  <c r="Y1014" i="10" s="1"/>
  <c r="V1014" i="10"/>
  <c r="W1014" i="10" s="1"/>
  <c r="T1014" i="10"/>
  <c r="U1014" i="10" s="1"/>
  <c r="S1014" i="10"/>
  <c r="P1014" i="10"/>
  <c r="AO1014" i="10" s="1"/>
  <c r="AQ1014" i="10" s="1"/>
  <c r="O1014" i="10"/>
  <c r="N1014" i="10"/>
  <c r="AK1013" i="10"/>
  <c r="AB1013" i="10"/>
  <c r="AA1013" i="10"/>
  <c r="X1013" i="10"/>
  <c r="Y1013" i="10" s="1"/>
  <c r="V1013" i="10"/>
  <c r="W1013" i="10" s="1"/>
  <c r="T1013" i="10"/>
  <c r="U1013" i="10" s="1"/>
  <c r="S1013" i="10"/>
  <c r="P1013" i="10"/>
  <c r="AO1013" i="10" s="1"/>
  <c r="AQ1013" i="10" s="1"/>
  <c r="O1013" i="10"/>
  <c r="N1013" i="10"/>
  <c r="AK1012" i="10"/>
  <c r="AB1012" i="10"/>
  <c r="AA1012" i="10"/>
  <c r="X1012" i="10"/>
  <c r="Y1012" i="10" s="1"/>
  <c r="V1012" i="10"/>
  <c r="W1012" i="10" s="1"/>
  <c r="T1012" i="10"/>
  <c r="U1012" i="10" s="1"/>
  <c r="S1012" i="10"/>
  <c r="P1012" i="10"/>
  <c r="AO1012" i="10" s="1"/>
  <c r="AQ1012" i="10" s="1"/>
  <c r="O1012" i="10"/>
  <c r="N1012" i="10"/>
  <c r="AK1011" i="10"/>
  <c r="AB1011" i="10"/>
  <c r="AA1011" i="10"/>
  <c r="X1011" i="10"/>
  <c r="Y1011" i="10" s="1"/>
  <c r="V1011" i="10"/>
  <c r="W1011" i="10" s="1"/>
  <c r="T1011" i="10"/>
  <c r="U1011" i="10" s="1"/>
  <c r="S1011" i="10"/>
  <c r="P1011" i="10"/>
  <c r="AO1011" i="10" s="1"/>
  <c r="AQ1011" i="10" s="1"/>
  <c r="O1011" i="10"/>
  <c r="N1011" i="10"/>
  <c r="AK1010" i="10"/>
  <c r="AB1010" i="10"/>
  <c r="AA1010" i="10"/>
  <c r="X1010" i="10"/>
  <c r="Y1010" i="10" s="1"/>
  <c r="V1010" i="10"/>
  <c r="W1010" i="10" s="1"/>
  <c r="T1010" i="10"/>
  <c r="U1010" i="10" s="1"/>
  <c r="S1010" i="10"/>
  <c r="P1010" i="10"/>
  <c r="AO1010" i="10" s="1"/>
  <c r="AQ1010" i="10" s="1"/>
  <c r="O1010" i="10"/>
  <c r="N1010" i="10"/>
  <c r="AK1009" i="10"/>
  <c r="AB1009" i="10"/>
  <c r="AA1009" i="10"/>
  <c r="X1009" i="10"/>
  <c r="Y1009" i="10" s="1"/>
  <c r="V1009" i="10"/>
  <c r="W1009" i="10" s="1"/>
  <c r="T1009" i="10"/>
  <c r="U1009" i="10" s="1"/>
  <c r="S1009" i="10"/>
  <c r="P1009" i="10"/>
  <c r="AO1009" i="10" s="1"/>
  <c r="AQ1009" i="10" s="1"/>
  <c r="O1009" i="10"/>
  <c r="N1009" i="10"/>
  <c r="AK1008" i="10"/>
  <c r="AB1008" i="10"/>
  <c r="AA1008" i="10"/>
  <c r="X1008" i="10"/>
  <c r="Y1008" i="10" s="1"/>
  <c r="V1008" i="10"/>
  <c r="W1008" i="10" s="1"/>
  <c r="T1008" i="10"/>
  <c r="U1008" i="10" s="1"/>
  <c r="S1008" i="10"/>
  <c r="P1008" i="10"/>
  <c r="AO1008" i="10" s="1"/>
  <c r="AQ1008" i="10" s="1"/>
  <c r="O1008" i="10"/>
  <c r="N1008" i="10"/>
  <c r="AO1007" i="10"/>
  <c r="AQ1007" i="10" s="1"/>
  <c r="AK1007" i="10"/>
  <c r="AB1007" i="10"/>
  <c r="AA1007" i="10"/>
  <c r="X1007" i="10"/>
  <c r="Y1007" i="10" s="1"/>
  <c r="V1007" i="10"/>
  <c r="W1007" i="10" s="1"/>
  <c r="T1007" i="10"/>
  <c r="U1007" i="10" s="1"/>
  <c r="S1007" i="10"/>
  <c r="P1007" i="10"/>
  <c r="O1007" i="10"/>
  <c r="N1007" i="10"/>
  <c r="AK1006" i="10"/>
  <c r="AB1006" i="10"/>
  <c r="AA1006" i="10"/>
  <c r="X1006" i="10"/>
  <c r="Y1006" i="10" s="1"/>
  <c r="V1006" i="10"/>
  <c r="W1006" i="10" s="1"/>
  <c r="T1006" i="10"/>
  <c r="U1006" i="10" s="1"/>
  <c r="S1006" i="10"/>
  <c r="P1006" i="10"/>
  <c r="AO1006" i="10" s="1"/>
  <c r="AQ1006" i="10" s="1"/>
  <c r="O1006" i="10"/>
  <c r="N1006" i="10"/>
  <c r="AK1005" i="10"/>
  <c r="AB1005" i="10"/>
  <c r="AA1005" i="10"/>
  <c r="X1005" i="10"/>
  <c r="Y1005" i="10" s="1"/>
  <c r="V1005" i="10"/>
  <c r="W1005" i="10" s="1"/>
  <c r="T1005" i="10"/>
  <c r="U1005" i="10" s="1"/>
  <c r="S1005" i="10"/>
  <c r="P1005" i="10"/>
  <c r="AO1005" i="10" s="1"/>
  <c r="AQ1005" i="10" s="1"/>
  <c r="O1005" i="10"/>
  <c r="N1005" i="10"/>
  <c r="AK1004" i="10"/>
  <c r="AB1004" i="10"/>
  <c r="AA1004" i="10"/>
  <c r="X1004" i="10"/>
  <c r="Y1004" i="10" s="1"/>
  <c r="V1004" i="10"/>
  <c r="W1004" i="10" s="1"/>
  <c r="T1004" i="10"/>
  <c r="U1004" i="10" s="1"/>
  <c r="S1004" i="10"/>
  <c r="P1004" i="10"/>
  <c r="AO1004" i="10" s="1"/>
  <c r="AQ1004" i="10" s="1"/>
  <c r="O1004" i="10"/>
  <c r="N1004" i="10"/>
  <c r="AK1003" i="10"/>
  <c r="AB1003" i="10"/>
  <c r="AA1003" i="10"/>
  <c r="X1003" i="10"/>
  <c r="Y1003" i="10" s="1"/>
  <c r="V1003" i="10"/>
  <c r="W1003" i="10" s="1"/>
  <c r="T1003" i="10"/>
  <c r="U1003" i="10" s="1"/>
  <c r="S1003" i="10"/>
  <c r="P1003" i="10"/>
  <c r="AO1003" i="10" s="1"/>
  <c r="AQ1003" i="10" s="1"/>
  <c r="O1003" i="10"/>
  <c r="N1003" i="10"/>
  <c r="AK1002" i="10"/>
  <c r="AB1002" i="10"/>
  <c r="AA1002" i="10"/>
  <c r="X1002" i="10"/>
  <c r="Y1002" i="10" s="1"/>
  <c r="V1002" i="10"/>
  <c r="W1002" i="10" s="1"/>
  <c r="T1002" i="10"/>
  <c r="U1002" i="10" s="1"/>
  <c r="S1002" i="10"/>
  <c r="P1002" i="10"/>
  <c r="AO1002" i="10" s="1"/>
  <c r="AQ1002" i="10" s="1"/>
  <c r="O1002" i="10"/>
  <c r="N1002" i="10"/>
  <c r="AK1001" i="10"/>
  <c r="AB1001" i="10"/>
  <c r="AA1001" i="10"/>
  <c r="X1001" i="10"/>
  <c r="Y1001" i="10" s="1"/>
  <c r="V1001" i="10"/>
  <c r="W1001" i="10" s="1"/>
  <c r="T1001" i="10"/>
  <c r="U1001" i="10" s="1"/>
  <c r="S1001" i="10"/>
  <c r="P1001" i="10"/>
  <c r="AO1001" i="10" s="1"/>
  <c r="AQ1001" i="10" s="1"/>
  <c r="O1001" i="10"/>
  <c r="N1001" i="10"/>
  <c r="AK1000" i="10"/>
  <c r="AB1000" i="10"/>
  <c r="AA1000" i="10"/>
  <c r="X1000" i="10"/>
  <c r="Y1000" i="10" s="1"/>
  <c r="V1000" i="10"/>
  <c r="W1000" i="10" s="1"/>
  <c r="T1000" i="10"/>
  <c r="U1000" i="10" s="1"/>
  <c r="S1000" i="10"/>
  <c r="P1000" i="10"/>
  <c r="AO1000" i="10" s="1"/>
  <c r="AQ1000" i="10" s="1"/>
  <c r="O1000" i="10"/>
  <c r="N1000" i="10"/>
  <c r="AK999" i="10"/>
  <c r="AB999" i="10"/>
  <c r="AA999" i="10"/>
  <c r="X999" i="10"/>
  <c r="Y999" i="10" s="1"/>
  <c r="V999" i="10"/>
  <c r="W999" i="10" s="1"/>
  <c r="T999" i="10"/>
  <c r="U999" i="10" s="1"/>
  <c r="S999" i="10"/>
  <c r="P999" i="10"/>
  <c r="AO999" i="10" s="1"/>
  <c r="AQ999" i="10" s="1"/>
  <c r="O999" i="10"/>
  <c r="N999" i="10"/>
  <c r="AK998" i="10"/>
  <c r="AB998" i="10"/>
  <c r="AA998" i="10"/>
  <c r="X998" i="10"/>
  <c r="Y998" i="10" s="1"/>
  <c r="V998" i="10"/>
  <c r="W998" i="10" s="1"/>
  <c r="T998" i="10"/>
  <c r="U998" i="10" s="1"/>
  <c r="S998" i="10"/>
  <c r="P998" i="10"/>
  <c r="AO998" i="10" s="1"/>
  <c r="AQ998" i="10" s="1"/>
  <c r="O998" i="10"/>
  <c r="N998" i="10"/>
  <c r="AK997" i="10"/>
  <c r="AB997" i="10"/>
  <c r="AA997" i="10"/>
  <c r="X997" i="10"/>
  <c r="Y997" i="10" s="1"/>
  <c r="V997" i="10"/>
  <c r="W997" i="10" s="1"/>
  <c r="T997" i="10"/>
  <c r="U997" i="10" s="1"/>
  <c r="S997" i="10"/>
  <c r="P997" i="10"/>
  <c r="AO997" i="10" s="1"/>
  <c r="AQ997" i="10" s="1"/>
  <c r="O997" i="10"/>
  <c r="N997" i="10"/>
  <c r="AK996" i="10"/>
  <c r="AB996" i="10"/>
  <c r="AA996" i="10"/>
  <c r="X996" i="10"/>
  <c r="Y996" i="10" s="1"/>
  <c r="V996" i="10"/>
  <c r="W996" i="10" s="1"/>
  <c r="T996" i="10"/>
  <c r="U996" i="10" s="1"/>
  <c r="S996" i="10"/>
  <c r="P996" i="10"/>
  <c r="AO996" i="10" s="1"/>
  <c r="AQ996" i="10" s="1"/>
  <c r="O996" i="10"/>
  <c r="N996" i="10"/>
  <c r="AK995" i="10"/>
  <c r="AB995" i="10"/>
  <c r="AA995" i="10"/>
  <c r="X995" i="10"/>
  <c r="Y995" i="10" s="1"/>
  <c r="V995" i="10"/>
  <c r="W995" i="10" s="1"/>
  <c r="T995" i="10"/>
  <c r="U995" i="10" s="1"/>
  <c r="S995" i="10"/>
  <c r="P995" i="10"/>
  <c r="AO995" i="10" s="1"/>
  <c r="AQ995" i="10" s="1"/>
  <c r="O995" i="10"/>
  <c r="N995" i="10"/>
  <c r="AK994" i="10"/>
  <c r="AB994" i="10"/>
  <c r="AA994" i="10"/>
  <c r="X994" i="10"/>
  <c r="Y994" i="10" s="1"/>
  <c r="V994" i="10"/>
  <c r="W994" i="10" s="1"/>
  <c r="T994" i="10"/>
  <c r="U994" i="10" s="1"/>
  <c r="S994" i="10"/>
  <c r="P994" i="10"/>
  <c r="AO994" i="10" s="1"/>
  <c r="AQ994" i="10" s="1"/>
  <c r="O994" i="10"/>
  <c r="N994" i="10"/>
  <c r="AK993" i="10"/>
  <c r="AB993" i="10"/>
  <c r="AA993" i="10"/>
  <c r="X993" i="10"/>
  <c r="Y993" i="10" s="1"/>
  <c r="V993" i="10"/>
  <c r="W993" i="10" s="1"/>
  <c r="T993" i="10"/>
  <c r="U993" i="10" s="1"/>
  <c r="S993" i="10"/>
  <c r="P993" i="10"/>
  <c r="AO993" i="10" s="1"/>
  <c r="AQ993" i="10" s="1"/>
  <c r="O993" i="10"/>
  <c r="N993" i="10"/>
  <c r="AK992" i="10"/>
  <c r="AB992" i="10"/>
  <c r="AA992" i="10"/>
  <c r="X992" i="10"/>
  <c r="Y992" i="10" s="1"/>
  <c r="V992" i="10"/>
  <c r="W992" i="10" s="1"/>
  <c r="T992" i="10"/>
  <c r="U992" i="10" s="1"/>
  <c r="S992" i="10"/>
  <c r="P992" i="10"/>
  <c r="AO992" i="10" s="1"/>
  <c r="AQ992" i="10" s="1"/>
  <c r="O992" i="10"/>
  <c r="N992" i="10"/>
  <c r="AK991" i="10"/>
  <c r="AB991" i="10"/>
  <c r="AA991" i="10"/>
  <c r="X991" i="10"/>
  <c r="Y991" i="10" s="1"/>
  <c r="V991" i="10"/>
  <c r="W991" i="10" s="1"/>
  <c r="T991" i="10"/>
  <c r="U991" i="10" s="1"/>
  <c r="S991" i="10"/>
  <c r="P991" i="10"/>
  <c r="AO991" i="10" s="1"/>
  <c r="AQ991" i="10" s="1"/>
  <c r="O991" i="10"/>
  <c r="N991" i="10"/>
  <c r="AK990" i="10"/>
  <c r="AB990" i="10"/>
  <c r="AA990" i="10"/>
  <c r="X990" i="10"/>
  <c r="Y990" i="10" s="1"/>
  <c r="V990" i="10"/>
  <c r="W990" i="10" s="1"/>
  <c r="T990" i="10"/>
  <c r="U990" i="10" s="1"/>
  <c r="S990" i="10"/>
  <c r="P990" i="10"/>
  <c r="AO990" i="10" s="1"/>
  <c r="AQ990" i="10" s="1"/>
  <c r="O990" i="10"/>
  <c r="N990" i="10"/>
  <c r="AK989" i="10"/>
  <c r="AB989" i="10"/>
  <c r="AA989" i="10"/>
  <c r="X989" i="10"/>
  <c r="Y989" i="10" s="1"/>
  <c r="V989" i="10"/>
  <c r="W989" i="10" s="1"/>
  <c r="T989" i="10"/>
  <c r="U989" i="10" s="1"/>
  <c r="S989" i="10"/>
  <c r="P989" i="10"/>
  <c r="AO989" i="10" s="1"/>
  <c r="AQ989" i="10" s="1"/>
  <c r="O989" i="10"/>
  <c r="N989" i="10"/>
  <c r="AK988" i="10"/>
  <c r="AB988" i="10"/>
  <c r="AA988" i="10"/>
  <c r="X988" i="10"/>
  <c r="Y988" i="10" s="1"/>
  <c r="V988" i="10"/>
  <c r="W988" i="10" s="1"/>
  <c r="T988" i="10"/>
  <c r="U988" i="10" s="1"/>
  <c r="S988" i="10"/>
  <c r="P988" i="10"/>
  <c r="AO988" i="10" s="1"/>
  <c r="AQ988" i="10" s="1"/>
  <c r="O988" i="10"/>
  <c r="N988" i="10"/>
  <c r="AK987" i="10"/>
  <c r="AB987" i="10"/>
  <c r="AA987" i="10"/>
  <c r="X987" i="10"/>
  <c r="Y987" i="10" s="1"/>
  <c r="V987" i="10"/>
  <c r="W987" i="10" s="1"/>
  <c r="T987" i="10"/>
  <c r="U987" i="10" s="1"/>
  <c r="S987" i="10"/>
  <c r="P987" i="10"/>
  <c r="AO987" i="10" s="1"/>
  <c r="AQ987" i="10" s="1"/>
  <c r="O987" i="10"/>
  <c r="N987" i="10"/>
  <c r="AK986" i="10"/>
  <c r="AB986" i="10"/>
  <c r="AA986" i="10"/>
  <c r="X986" i="10"/>
  <c r="Y986" i="10" s="1"/>
  <c r="V986" i="10"/>
  <c r="W986" i="10" s="1"/>
  <c r="T986" i="10"/>
  <c r="U986" i="10" s="1"/>
  <c r="S986" i="10"/>
  <c r="P986" i="10"/>
  <c r="AO986" i="10" s="1"/>
  <c r="AQ986" i="10" s="1"/>
  <c r="O986" i="10"/>
  <c r="N986" i="10"/>
  <c r="AK985" i="10"/>
  <c r="AB985" i="10"/>
  <c r="AA985" i="10"/>
  <c r="X985" i="10"/>
  <c r="Y985" i="10" s="1"/>
  <c r="V985" i="10"/>
  <c r="W985" i="10" s="1"/>
  <c r="T985" i="10"/>
  <c r="U985" i="10" s="1"/>
  <c r="S985" i="10"/>
  <c r="P985" i="10"/>
  <c r="AO985" i="10" s="1"/>
  <c r="AQ985" i="10" s="1"/>
  <c r="O985" i="10"/>
  <c r="N985" i="10"/>
  <c r="AK984" i="10"/>
  <c r="AB984" i="10"/>
  <c r="AA984" i="10"/>
  <c r="X984" i="10"/>
  <c r="Y984" i="10" s="1"/>
  <c r="V984" i="10"/>
  <c r="W984" i="10" s="1"/>
  <c r="T984" i="10"/>
  <c r="U984" i="10" s="1"/>
  <c r="S984" i="10"/>
  <c r="P984" i="10"/>
  <c r="AO984" i="10" s="1"/>
  <c r="AQ984" i="10" s="1"/>
  <c r="O984" i="10"/>
  <c r="N984" i="10"/>
  <c r="AK983" i="10"/>
  <c r="AB983" i="10"/>
  <c r="AA983" i="10"/>
  <c r="X983" i="10"/>
  <c r="Y983" i="10" s="1"/>
  <c r="V983" i="10"/>
  <c r="W983" i="10" s="1"/>
  <c r="T983" i="10"/>
  <c r="U983" i="10" s="1"/>
  <c r="S983" i="10"/>
  <c r="P983" i="10"/>
  <c r="AO983" i="10" s="1"/>
  <c r="AQ983" i="10" s="1"/>
  <c r="O983" i="10"/>
  <c r="N983" i="10"/>
  <c r="AK982" i="10"/>
  <c r="AB982" i="10"/>
  <c r="AA982" i="10"/>
  <c r="X982" i="10"/>
  <c r="Y982" i="10" s="1"/>
  <c r="V982" i="10"/>
  <c r="W982" i="10" s="1"/>
  <c r="T982" i="10"/>
  <c r="U982" i="10" s="1"/>
  <c r="S982" i="10"/>
  <c r="P982" i="10"/>
  <c r="AO982" i="10" s="1"/>
  <c r="AQ982" i="10" s="1"/>
  <c r="O982" i="10"/>
  <c r="N982" i="10"/>
  <c r="AK981" i="10"/>
  <c r="AB981" i="10"/>
  <c r="AA981" i="10"/>
  <c r="X981" i="10"/>
  <c r="Y981" i="10" s="1"/>
  <c r="V981" i="10"/>
  <c r="W981" i="10" s="1"/>
  <c r="T981" i="10"/>
  <c r="U981" i="10" s="1"/>
  <c r="S981" i="10"/>
  <c r="P981" i="10"/>
  <c r="AO981" i="10" s="1"/>
  <c r="AQ981" i="10" s="1"/>
  <c r="O981" i="10"/>
  <c r="N981" i="10"/>
  <c r="AK980" i="10"/>
  <c r="AB980" i="10"/>
  <c r="AA980" i="10"/>
  <c r="X980" i="10"/>
  <c r="Y980" i="10" s="1"/>
  <c r="V980" i="10"/>
  <c r="W980" i="10" s="1"/>
  <c r="T980" i="10"/>
  <c r="U980" i="10" s="1"/>
  <c r="S980" i="10"/>
  <c r="P980" i="10"/>
  <c r="AO980" i="10" s="1"/>
  <c r="AQ980" i="10" s="1"/>
  <c r="O980" i="10"/>
  <c r="N980" i="10"/>
  <c r="AK979" i="10"/>
  <c r="AB979" i="10"/>
  <c r="AA979" i="10"/>
  <c r="X979" i="10"/>
  <c r="Y979" i="10" s="1"/>
  <c r="V979" i="10"/>
  <c r="W979" i="10" s="1"/>
  <c r="T979" i="10"/>
  <c r="U979" i="10" s="1"/>
  <c r="S979" i="10"/>
  <c r="P979" i="10"/>
  <c r="AO979" i="10" s="1"/>
  <c r="AQ979" i="10" s="1"/>
  <c r="O979" i="10"/>
  <c r="N979" i="10"/>
  <c r="AK978" i="10"/>
  <c r="AB978" i="10"/>
  <c r="AA978" i="10"/>
  <c r="X978" i="10"/>
  <c r="Y978" i="10" s="1"/>
  <c r="V978" i="10"/>
  <c r="W978" i="10" s="1"/>
  <c r="T978" i="10"/>
  <c r="U978" i="10" s="1"/>
  <c r="S978" i="10"/>
  <c r="P978" i="10"/>
  <c r="AO978" i="10" s="1"/>
  <c r="AQ978" i="10" s="1"/>
  <c r="O978" i="10"/>
  <c r="N978" i="10"/>
  <c r="AK977" i="10"/>
  <c r="AB977" i="10"/>
  <c r="AA977" i="10"/>
  <c r="X977" i="10"/>
  <c r="Y977" i="10" s="1"/>
  <c r="V977" i="10"/>
  <c r="W977" i="10" s="1"/>
  <c r="T977" i="10"/>
  <c r="U977" i="10" s="1"/>
  <c r="S977" i="10"/>
  <c r="P977" i="10"/>
  <c r="AO977" i="10" s="1"/>
  <c r="AQ977" i="10" s="1"/>
  <c r="O977" i="10"/>
  <c r="N977" i="10"/>
  <c r="AK976" i="10"/>
  <c r="AB976" i="10"/>
  <c r="AA976" i="10"/>
  <c r="X976" i="10"/>
  <c r="Y976" i="10" s="1"/>
  <c r="V976" i="10"/>
  <c r="W976" i="10" s="1"/>
  <c r="T976" i="10"/>
  <c r="U976" i="10" s="1"/>
  <c r="S976" i="10"/>
  <c r="P976" i="10"/>
  <c r="AO976" i="10" s="1"/>
  <c r="AQ976" i="10" s="1"/>
  <c r="O976" i="10"/>
  <c r="N976" i="10"/>
  <c r="AK975" i="10"/>
  <c r="AB975" i="10"/>
  <c r="AA975" i="10"/>
  <c r="X975" i="10"/>
  <c r="Y975" i="10" s="1"/>
  <c r="V975" i="10"/>
  <c r="W975" i="10" s="1"/>
  <c r="T975" i="10"/>
  <c r="U975" i="10" s="1"/>
  <c r="S975" i="10"/>
  <c r="P975" i="10"/>
  <c r="AO975" i="10" s="1"/>
  <c r="AQ975" i="10" s="1"/>
  <c r="O975" i="10"/>
  <c r="N975" i="10"/>
  <c r="AK974" i="10"/>
  <c r="AB974" i="10"/>
  <c r="AA974" i="10"/>
  <c r="X974" i="10"/>
  <c r="Y974" i="10" s="1"/>
  <c r="V974" i="10"/>
  <c r="W974" i="10" s="1"/>
  <c r="T974" i="10"/>
  <c r="U974" i="10" s="1"/>
  <c r="S974" i="10"/>
  <c r="P974" i="10"/>
  <c r="AO974" i="10" s="1"/>
  <c r="AQ974" i="10" s="1"/>
  <c r="O974" i="10"/>
  <c r="N974" i="10"/>
  <c r="AK973" i="10"/>
  <c r="AL973" i="10" s="1"/>
  <c r="AB973" i="10"/>
  <c r="AA973" i="10"/>
  <c r="X973" i="10"/>
  <c r="Y973" i="10" s="1"/>
  <c r="V973" i="10"/>
  <c r="W973" i="10" s="1"/>
  <c r="T973" i="10"/>
  <c r="U973" i="10" s="1"/>
  <c r="S973" i="10"/>
  <c r="P973" i="10"/>
  <c r="AO973" i="10" s="1"/>
  <c r="AQ973" i="10" s="1"/>
  <c r="O973" i="10"/>
  <c r="N973" i="10"/>
  <c r="AK972" i="10"/>
  <c r="AB972" i="10"/>
  <c r="AA972" i="10"/>
  <c r="X972" i="10"/>
  <c r="Y972" i="10" s="1"/>
  <c r="V972" i="10"/>
  <c r="W972" i="10" s="1"/>
  <c r="T972" i="10"/>
  <c r="U972" i="10" s="1"/>
  <c r="S972" i="10"/>
  <c r="P972" i="10"/>
  <c r="AO972" i="10" s="1"/>
  <c r="AQ972" i="10" s="1"/>
  <c r="O972" i="10"/>
  <c r="N972" i="10"/>
  <c r="AK971" i="10"/>
  <c r="AB971" i="10"/>
  <c r="AA971" i="10"/>
  <c r="X971" i="10"/>
  <c r="Y971" i="10" s="1"/>
  <c r="V971" i="10"/>
  <c r="W971" i="10" s="1"/>
  <c r="T971" i="10"/>
  <c r="U971" i="10" s="1"/>
  <c r="S971" i="10"/>
  <c r="P971" i="10"/>
  <c r="AO971" i="10" s="1"/>
  <c r="AQ971" i="10" s="1"/>
  <c r="O971" i="10"/>
  <c r="N971" i="10"/>
  <c r="AK970" i="10"/>
  <c r="AB970" i="10"/>
  <c r="AA970" i="10"/>
  <c r="X970" i="10"/>
  <c r="Y970" i="10" s="1"/>
  <c r="V970" i="10"/>
  <c r="W970" i="10" s="1"/>
  <c r="T970" i="10"/>
  <c r="U970" i="10" s="1"/>
  <c r="S970" i="10"/>
  <c r="P970" i="10"/>
  <c r="AO970" i="10" s="1"/>
  <c r="AQ970" i="10" s="1"/>
  <c r="O970" i="10"/>
  <c r="N970" i="10"/>
  <c r="AK969" i="10"/>
  <c r="AB969" i="10"/>
  <c r="AA969" i="10"/>
  <c r="X969" i="10"/>
  <c r="Y969" i="10" s="1"/>
  <c r="V969" i="10"/>
  <c r="W969" i="10" s="1"/>
  <c r="T969" i="10"/>
  <c r="U969" i="10" s="1"/>
  <c r="S969" i="10"/>
  <c r="P969" i="10"/>
  <c r="AO969" i="10" s="1"/>
  <c r="AQ969" i="10" s="1"/>
  <c r="O969" i="10"/>
  <c r="N969" i="10"/>
  <c r="AK968" i="10"/>
  <c r="AB968" i="10"/>
  <c r="AA968" i="10"/>
  <c r="X968" i="10"/>
  <c r="Y968" i="10" s="1"/>
  <c r="V968" i="10"/>
  <c r="W968" i="10" s="1"/>
  <c r="T968" i="10"/>
  <c r="U968" i="10" s="1"/>
  <c r="S968" i="10"/>
  <c r="P968" i="10"/>
  <c r="AO968" i="10" s="1"/>
  <c r="AQ968" i="10" s="1"/>
  <c r="O968" i="10"/>
  <c r="N968" i="10"/>
  <c r="AK967" i="10"/>
  <c r="AB967" i="10"/>
  <c r="AA967" i="10"/>
  <c r="X967" i="10"/>
  <c r="Y967" i="10" s="1"/>
  <c r="V967" i="10"/>
  <c r="W967" i="10" s="1"/>
  <c r="T967" i="10"/>
  <c r="U967" i="10" s="1"/>
  <c r="S967" i="10"/>
  <c r="P967" i="10"/>
  <c r="AO967" i="10" s="1"/>
  <c r="AQ967" i="10" s="1"/>
  <c r="O967" i="10"/>
  <c r="N967" i="10"/>
  <c r="AK966" i="10"/>
  <c r="AB966" i="10"/>
  <c r="AA966" i="10"/>
  <c r="X966" i="10"/>
  <c r="Y966" i="10" s="1"/>
  <c r="V966" i="10"/>
  <c r="W966" i="10" s="1"/>
  <c r="T966" i="10"/>
  <c r="U966" i="10" s="1"/>
  <c r="S966" i="10"/>
  <c r="P966" i="10"/>
  <c r="AO966" i="10" s="1"/>
  <c r="AQ966" i="10" s="1"/>
  <c r="O966" i="10"/>
  <c r="N966" i="10"/>
  <c r="AK965" i="10"/>
  <c r="AB965" i="10"/>
  <c r="AA965" i="10"/>
  <c r="X965" i="10"/>
  <c r="Y965" i="10" s="1"/>
  <c r="V965" i="10"/>
  <c r="W965" i="10" s="1"/>
  <c r="T965" i="10"/>
  <c r="U965" i="10" s="1"/>
  <c r="S965" i="10"/>
  <c r="P965" i="10"/>
  <c r="AO965" i="10" s="1"/>
  <c r="AQ965" i="10" s="1"/>
  <c r="O965" i="10"/>
  <c r="N965" i="10"/>
  <c r="AK964" i="10"/>
  <c r="AB964" i="10"/>
  <c r="AA964" i="10"/>
  <c r="X964" i="10"/>
  <c r="Y964" i="10" s="1"/>
  <c r="V964" i="10"/>
  <c r="W964" i="10" s="1"/>
  <c r="T964" i="10"/>
  <c r="U964" i="10" s="1"/>
  <c r="S964" i="10"/>
  <c r="P964" i="10"/>
  <c r="AO964" i="10" s="1"/>
  <c r="AQ964" i="10" s="1"/>
  <c r="O964" i="10"/>
  <c r="N964" i="10"/>
  <c r="AK963" i="10"/>
  <c r="AB963" i="10"/>
  <c r="AA963" i="10"/>
  <c r="X963" i="10"/>
  <c r="Y963" i="10" s="1"/>
  <c r="V963" i="10"/>
  <c r="W963" i="10" s="1"/>
  <c r="T963" i="10"/>
  <c r="U963" i="10" s="1"/>
  <c r="S963" i="10"/>
  <c r="P963" i="10"/>
  <c r="AO963" i="10" s="1"/>
  <c r="AQ963" i="10" s="1"/>
  <c r="O963" i="10"/>
  <c r="N963" i="10"/>
  <c r="AK962" i="10"/>
  <c r="AB962" i="10"/>
  <c r="AA962" i="10"/>
  <c r="X962" i="10"/>
  <c r="Y962" i="10" s="1"/>
  <c r="V962" i="10"/>
  <c r="W962" i="10" s="1"/>
  <c r="T962" i="10"/>
  <c r="U962" i="10" s="1"/>
  <c r="S962" i="10"/>
  <c r="P962" i="10"/>
  <c r="AO962" i="10" s="1"/>
  <c r="AQ962" i="10" s="1"/>
  <c r="O962" i="10"/>
  <c r="N962" i="10"/>
  <c r="AK961" i="10"/>
  <c r="AB961" i="10"/>
  <c r="AA961" i="10"/>
  <c r="X961" i="10"/>
  <c r="Y961" i="10" s="1"/>
  <c r="V961" i="10"/>
  <c r="W961" i="10" s="1"/>
  <c r="T961" i="10"/>
  <c r="U961" i="10" s="1"/>
  <c r="S961" i="10"/>
  <c r="P961" i="10"/>
  <c r="AO961" i="10" s="1"/>
  <c r="AQ961" i="10" s="1"/>
  <c r="O961" i="10"/>
  <c r="N961" i="10"/>
  <c r="AK960" i="10"/>
  <c r="AB960" i="10"/>
  <c r="AA960" i="10"/>
  <c r="X960" i="10"/>
  <c r="Y960" i="10" s="1"/>
  <c r="V960" i="10"/>
  <c r="W960" i="10" s="1"/>
  <c r="T960" i="10"/>
  <c r="U960" i="10" s="1"/>
  <c r="S960" i="10"/>
  <c r="P960" i="10"/>
  <c r="AO960" i="10" s="1"/>
  <c r="AQ960" i="10" s="1"/>
  <c r="O960" i="10"/>
  <c r="N960" i="10"/>
  <c r="AK959" i="10"/>
  <c r="AB959" i="10"/>
  <c r="AA959" i="10"/>
  <c r="X959" i="10"/>
  <c r="Y959" i="10" s="1"/>
  <c r="V959" i="10"/>
  <c r="W959" i="10" s="1"/>
  <c r="T959" i="10"/>
  <c r="U959" i="10" s="1"/>
  <c r="S959" i="10"/>
  <c r="P959" i="10"/>
  <c r="AO959" i="10" s="1"/>
  <c r="AQ959" i="10" s="1"/>
  <c r="O959" i="10"/>
  <c r="N959" i="10"/>
  <c r="AK958" i="10"/>
  <c r="AB958" i="10"/>
  <c r="AA958" i="10"/>
  <c r="X958" i="10"/>
  <c r="Y958" i="10" s="1"/>
  <c r="V958" i="10"/>
  <c r="W958" i="10" s="1"/>
  <c r="T958" i="10"/>
  <c r="U958" i="10" s="1"/>
  <c r="S958" i="10"/>
  <c r="P958" i="10"/>
  <c r="AO958" i="10" s="1"/>
  <c r="AQ958" i="10" s="1"/>
  <c r="O958" i="10"/>
  <c r="N958" i="10"/>
  <c r="AK957" i="10"/>
  <c r="AB957" i="10"/>
  <c r="AA957" i="10"/>
  <c r="X957" i="10"/>
  <c r="Y957" i="10" s="1"/>
  <c r="V957" i="10"/>
  <c r="W957" i="10" s="1"/>
  <c r="T957" i="10"/>
  <c r="U957" i="10" s="1"/>
  <c r="S957" i="10"/>
  <c r="P957" i="10"/>
  <c r="AO957" i="10" s="1"/>
  <c r="AQ957" i="10" s="1"/>
  <c r="O957" i="10"/>
  <c r="N957" i="10"/>
  <c r="AK956" i="10"/>
  <c r="AB956" i="10"/>
  <c r="AA956" i="10"/>
  <c r="X956" i="10"/>
  <c r="Y956" i="10" s="1"/>
  <c r="V956" i="10"/>
  <c r="W956" i="10" s="1"/>
  <c r="T956" i="10"/>
  <c r="U956" i="10" s="1"/>
  <c r="S956" i="10"/>
  <c r="P956" i="10"/>
  <c r="AO956" i="10" s="1"/>
  <c r="AQ956" i="10" s="1"/>
  <c r="O956" i="10"/>
  <c r="N956" i="10"/>
  <c r="AK955" i="10"/>
  <c r="AB955" i="10"/>
  <c r="AA955" i="10"/>
  <c r="X955" i="10"/>
  <c r="Y955" i="10" s="1"/>
  <c r="V955" i="10"/>
  <c r="W955" i="10" s="1"/>
  <c r="T955" i="10"/>
  <c r="U955" i="10" s="1"/>
  <c r="S955" i="10"/>
  <c r="P955" i="10"/>
  <c r="AO955" i="10" s="1"/>
  <c r="AQ955" i="10" s="1"/>
  <c r="O955" i="10"/>
  <c r="N955" i="10"/>
  <c r="AK954" i="10"/>
  <c r="AB954" i="10"/>
  <c r="AA954" i="10"/>
  <c r="X954" i="10"/>
  <c r="Y954" i="10" s="1"/>
  <c r="V954" i="10"/>
  <c r="W954" i="10" s="1"/>
  <c r="T954" i="10"/>
  <c r="U954" i="10" s="1"/>
  <c r="S954" i="10"/>
  <c r="P954" i="10"/>
  <c r="AO954" i="10" s="1"/>
  <c r="AQ954" i="10" s="1"/>
  <c r="O954" i="10"/>
  <c r="N954" i="10"/>
  <c r="AK953" i="10"/>
  <c r="AB953" i="10"/>
  <c r="AA953" i="10"/>
  <c r="X953" i="10"/>
  <c r="Y953" i="10" s="1"/>
  <c r="V953" i="10"/>
  <c r="W953" i="10" s="1"/>
  <c r="T953" i="10"/>
  <c r="U953" i="10" s="1"/>
  <c r="S953" i="10"/>
  <c r="P953" i="10"/>
  <c r="AO953" i="10" s="1"/>
  <c r="AQ953" i="10" s="1"/>
  <c r="O953" i="10"/>
  <c r="N953" i="10"/>
  <c r="AK952" i="10"/>
  <c r="AB952" i="10"/>
  <c r="AA952" i="10"/>
  <c r="X952" i="10"/>
  <c r="Y952" i="10" s="1"/>
  <c r="V952" i="10"/>
  <c r="W952" i="10" s="1"/>
  <c r="T952" i="10"/>
  <c r="U952" i="10" s="1"/>
  <c r="S952" i="10"/>
  <c r="P952" i="10"/>
  <c r="AO952" i="10" s="1"/>
  <c r="AQ952" i="10" s="1"/>
  <c r="O952" i="10"/>
  <c r="N952" i="10"/>
  <c r="AK951" i="10"/>
  <c r="AB951" i="10"/>
  <c r="AA951" i="10"/>
  <c r="X951" i="10"/>
  <c r="Y951" i="10" s="1"/>
  <c r="V951" i="10"/>
  <c r="W951" i="10" s="1"/>
  <c r="T951" i="10"/>
  <c r="U951" i="10" s="1"/>
  <c r="S951" i="10"/>
  <c r="P951" i="10"/>
  <c r="AO951" i="10" s="1"/>
  <c r="AQ951" i="10" s="1"/>
  <c r="O951" i="10"/>
  <c r="N951" i="10"/>
  <c r="AK950" i="10"/>
  <c r="AB950" i="10"/>
  <c r="AA950" i="10"/>
  <c r="X950" i="10"/>
  <c r="Y950" i="10" s="1"/>
  <c r="V950" i="10"/>
  <c r="W950" i="10" s="1"/>
  <c r="T950" i="10"/>
  <c r="U950" i="10" s="1"/>
  <c r="S950" i="10"/>
  <c r="P950" i="10"/>
  <c r="AO950" i="10" s="1"/>
  <c r="AQ950" i="10" s="1"/>
  <c r="O950" i="10"/>
  <c r="N950" i="10"/>
  <c r="AK949" i="10"/>
  <c r="AB949" i="10"/>
  <c r="AA949" i="10"/>
  <c r="X949" i="10"/>
  <c r="Y949" i="10" s="1"/>
  <c r="V949" i="10"/>
  <c r="W949" i="10" s="1"/>
  <c r="T949" i="10"/>
  <c r="U949" i="10" s="1"/>
  <c r="S949" i="10"/>
  <c r="P949" i="10"/>
  <c r="AO949" i="10" s="1"/>
  <c r="AQ949" i="10" s="1"/>
  <c r="O949" i="10"/>
  <c r="N949" i="10"/>
  <c r="AK948" i="10"/>
  <c r="AB948" i="10"/>
  <c r="AA948" i="10"/>
  <c r="X948" i="10"/>
  <c r="Y948" i="10" s="1"/>
  <c r="V948" i="10"/>
  <c r="W948" i="10" s="1"/>
  <c r="T948" i="10"/>
  <c r="U948" i="10" s="1"/>
  <c r="S948" i="10"/>
  <c r="P948" i="10"/>
  <c r="AO948" i="10" s="1"/>
  <c r="AQ948" i="10" s="1"/>
  <c r="O948" i="10"/>
  <c r="N948" i="10"/>
  <c r="AK947" i="10"/>
  <c r="AB947" i="10"/>
  <c r="AA947" i="10"/>
  <c r="X947" i="10"/>
  <c r="Y947" i="10" s="1"/>
  <c r="V947" i="10"/>
  <c r="W947" i="10" s="1"/>
  <c r="T947" i="10"/>
  <c r="U947" i="10" s="1"/>
  <c r="S947" i="10"/>
  <c r="P947" i="10"/>
  <c r="AO947" i="10" s="1"/>
  <c r="AQ947" i="10" s="1"/>
  <c r="O947" i="10"/>
  <c r="N947" i="10"/>
  <c r="AK946" i="10"/>
  <c r="AB946" i="10"/>
  <c r="AA946" i="10"/>
  <c r="X946" i="10"/>
  <c r="Y946" i="10" s="1"/>
  <c r="V946" i="10"/>
  <c r="W946" i="10" s="1"/>
  <c r="T946" i="10"/>
  <c r="U946" i="10" s="1"/>
  <c r="S946" i="10"/>
  <c r="P946" i="10"/>
  <c r="AO946" i="10" s="1"/>
  <c r="AQ946" i="10" s="1"/>
  <c r="O946" i="10"/>
  <c r="N946" i="10"/>
  <c r="AK945" i="10"/>
  <c r="AB945" i="10"/>
  <c r="AA945" i="10"/>
  <c r="X945" i="10"/>
  <c r="Y945" i="10" s="1"/>
  <c r="V945" i="10"/>
  <c r="W945" i="10" s="1"/>
  <c r="T945" i="10"/>
  <c r="U945" i="10" s="1"/>
  <c r="S945" i="10"/>
  <c r="P945" i="10"/>
  <c r="AO945" i="10" s="1"/>
  <c r="AQ945" i="10" s="1"/>
  <c r="O945" i="10"/>
  <c r="N945" i="10"/>
  <c r="AK944" i="10"/>
  <c r="AB944" i="10"/>
  <c r="AA944" i="10"/>
  <c r="X944" i="10"/>
  <c r="Y944" i="10" s="1"/>
  <c r="V944" i="10"/>
  <c r="W944" i="10" s="1"/>
  <c r="T944" i="10"/>
  <c r="U944" i="10" s="1"/>
  <c r="S944" i="10"/>
  <c r="P944" i="10"/>
  <c r="AO944" i="10" s="1"/>
  <c r="AQ944" i="10" s="1"/>
  <c r="O944" i="10"/>
  <c r="N944" i="10"/>
  <c r="AO943" i="10"/>
  <c r="AQ943" i="10" s="1"/>
  <c r="AK943" i="10"/>
  <c r="AL943" i="10" s="1"/>
  <c r="AI943" i="10"/>
  <c r="AC943" i="10"/>
  <c r="AB943" i="10"/>
  <c r="AA943" i="10"/>
  <c r="Z943" i="10"/>
  <c r="AN943" i="10" s="1"/>
  <c r="X943" i="10"/>
  <c r="Y943" i="10" s="1"/>
  <c r="V943" i="10"/>
  <c r="W943" i="10" s="1"/>
  <c r="T943" i="10"/>
  <c r="U943" i="10" s="1"/>
  <c r="S943" i="10"/>
  <c r="P943" i="10"/>
  <c r="O943" i="10"/>
  <c r="N943" i="10"/>
  <c r="AK942" i="10"/>
  <c r="AB942" i="10"/>
  <c r="AA942" i="10"/>
  <c r="X942" i="10"/>
  <c r="Y942" i="10" s="1"/>
  <c r="V942" i="10"/>
  <c r="W942" i="10" s="1"/>
  <c r="T942" i="10"/>
  <c r="U942" i="10" s="1"/>
  <c r="S942" i="10"/>
  <c r="P942" i="10"/>
  <c r="AO942" i="10" s="1"/>
  <c r="AQ942" i="10" s="1"/>
  <c r="O942" i="10"/>
  <c r="N942" i="10"/>
  <c r="AK941" i="10"/>
  <c r="AB941" i="10"/>
  <c r="AA941" i="10"/>
  <c r="X941" i="10"/>
  <c r="Y941" i="10" s="1"/>
  <c r="V941" i="10"/>
  <c r="W941" i="10" s="1"/>
  <c r="T941" i="10"/>
  <c r="U941" i="10" s="1"/>
  <c r="S941" i="10"/>
  <c r="P941" i="10"/>
  <c r="AO941" i="10" s="1"/>
  <c r="AQ941" i="10" s="1"/>
  <c r="O941" i="10"/>
  <c r="N941" i="10"/>
  <c r="AK940" i="10"/>
  <c r="AB940" i="10"/>
  <c r="AA940" i="10"/>
  <c r="X940" i="10"/>
  <c r="Y940" i="10" s="1"/>
  <c r="V940" i="10"/>
  <c r="W940" i="10" s="1"/>
  <c r="T940" i="10"/>
  <c r="U940" i="10" s="1"/>
  <c r="S940" i="10"/>
  <c r="P940" i="10"/>
  <c r="AO940" i="10" s="1"/>
  <c r="AQ940" i="10" s="1"/>
  <c r="O940" i="10"/>
  <c r="N940" i="10"/>
  <c r="AK939" i="10"/>
  <c r="AB939" i="10"/>
  <c r="AA939" i="10"/>
  <c r="X939" i="10"/>
  <c r="Y939" i="10" s="1"/>
  <c r="V939" i="10"/>
  <c r="W939" i="10" s="1"/>
  <c r="T939" i="10"/>
  <c r="U939" i="10" s="1"/>
  <c r="S939" i="10"/>
  <c r="P939" i="10"/>
  <c r="AO939" i="10" s="1"/>
  <c r="AQ939" i="10" s="1"/>
  <c r="O939" i="10"/>
  <c r="N939" i="10"/>
  <c r="AK938" i="10"/>
  <c r="AB938" i="10"/>
  <c r="AA938" i="10"/>
  <c r="X938" i="10"/>
  <c r="Y938" i="10" s="1"/>
  <c r="V938" i="10"/>
  <c r="W938" i="10" s="1"/>
  <c r="T938" i="10"/>
  <c r="U938" i="10" s="1"/>
  <c r="S938" i="10"/>
  <c r="P938" i="10"/>
  <c r="AO938" i="10" s="1"/>
  <c r="AQ938" i="10" s="1"/>
  <c r="O938" i="10"/>
  <c r="N938" i="10"/>
  <c r="AK937" i="10"/>
  <c r="AB937" i="10"/>
  <c r="AA937" i="10"/>
  <c r="X937" i="10"/>
  <c r="Y937" i="10" s="1"/>
  <c r="V937" i="10"/>
  <c r="W937" i="10" s="1"/>
  <c r="T937" i="10"/>
  <c r="U937" i="10" s="1"/>
  <c r="S937" i="10"/>
  <c r="P937" i="10"/>
  <c r="AO937" i="10" s="1"/>
  <c r="AQ937" i="10" s="1"/>
  <c r="O937" i="10"/>
  <c r="N937" i="10"/>
  <c r="AK936" i="10"/>
  <c r="AB936" i="10"/>
  <c r="AA936" i="10"/>
  <c r="X936" i="10"/>
  <c r="Y936" i="10" s="1"/>
  <c r="V936" i="10"/>
  <c r="W936" i="10" s="1"/>
  <c r="T936" i="10"/>
  <c r="U936" i="10" s="1"/>
  <c r="S936" i="10"/>
  <c r="P936" i="10"/>
  <c r="AO936" i="10" s="1"/>
  <c r="AQ936" i="10" s="1"/>
  <c r="O936" i="10"/>
  <c r="N936" i="10"/>
  <c r="AK935" i="10"/>
  <c r="AB935" i="10"/>
  <c r="AA935" i="10"/>
  <c r="X935" i="10"/>
  <c r="Y935" i="10" s="1"/>
  <c r="V935" i="10"/>
  <c r="W935" i="10" s="1"/>
  <c r="T935" i="10"/>
  <c r="U935" i="10" s="1"/>
  <c r="S935" i="10"/>
  <c r="P935" i="10"/>
  <c r="AO935" i="10" s="1"/>
  <c r="AQ935" i="10" s="1"/>
  <c r="O935" i="10"/>
  <c r="N935" i="10"/>
  <c r="AK934" i="10"/>
  <c r="AB934" i="10"/>
  <c r="AA934" i="10"/>
  <c r="X934" i="10"/>
  <c r="Y934" i="10" s="1"/>
  <c r="V934" i="10"/>
  <c r="W934" i="10" s="1"/>
  <c r="T934" i="10"/>
  <c r="U934" i="10" s="1"/>
  <c r="S934" i="10"/>
  <c r="P934" i="10"/>
  <c r="AO934" i="10" s="1"/>
  <c r="AQ934" i="10" s="1"/>
  <c r="O934" i="10"/>
  <c r="N934" i="10"/>
  <c r="AK933" i="10"/>
  <c r="AB933" i="10"/>
  <c r="AA933" i="10"/>
  <c r="X933" i="10"/>
  <c r="Y933" i="10" s="1"/>
  <c r="V933" i="10"/>
  <c r="W933" i="10" s="1"/>
  <c r="T933" i="10"/>
  <c r="U933" i="10" s="1"/>
  <c r="S933" i="10"/>
  <c r="P933" i="10"/>
  <c r="AO933" i="10" s="1"/>
  <c r="AQ933" i="10" s="1"/>
  <c r="O933" i="10"/>
  <c r="N933" i="10"/>
  <c r="AK932" i="10"/>
  <c r="AB932" i="10"/>
  <c r="AA932" i="10"/>
  <c r="X932" i="10"/>
  <c r="Y932" i="10" s="1"/>
  <c r="V932" i="10"/>
  <c r="W932" i="10" s="1"/>
  <c r="T932" i="10"/>
  <c r="U932" i="10" s="1"/>
  <c r="S932" i="10"/>
  <c r="P932" i="10"/>
  <c r="AO932" i="10" s="1"/>
  <c r="AQ932" i="10" s="1"/>
  <c r="O932" i="10"/>
  <c r="N932" i="10"/>
  <c r="AK931" i="10"/>
  <c r="AB931" i="10"/>
  <c r="AA931" i="10"/>
  <c r="X931" i="10"/>
  <c r="Y931" i="10" s="1"/>
  <c r="V931" i="10"/>
  <c r="W931" i="10" s="1"/>
  <c r="T931" i="10"/>
  <c r="U931" i="10" s="1"/>
  <c r="S931" i="10"/>
  <c r="P931" i="10"/>
  <c r="AO931" i="10" s="1"/>
  <c r="AQ931" i="10" s="1"/>
  <c r="O931" i="10"/>
  <c r="N931" i="10"/>
  <c r="AK930" i="10"/>
  <c r="AB930" i="10"/>
  <c r="AA930" i="10"/>
  <c r="X930" i="10"/>
  <c r="Y930" i="10" s="1"/>
  <c r="V930" i="10"/>
  <c r="W930" i="10" s="1"/>
  <c r="T930" i="10"/>
  <c r="U930" i="10" s="1"/>
  <c r="S930" i="10"/>
  <c r="P930" i="10"/>
  <c r="AO930" i="10" s="1"/>
  <c r="AQ930" i="10" s="1"/>
  <c r="O930" i="10"/>
  <c r="N930" i="10"/>
  <c r="AK929" i="10"/>
  <c r="AB929" i="10"/>
  <c r="AA929" i="10"/>
  <c r="X929" i="10"/>
  <c r="Y929" i="10" s="1"/>
  <c r="V929" i="10"/>
  <c r="W929" i="10" s="1"/>
  <c r="T929" i="10"/>
  <c r="U929" i="10" s="1"/>
  <c r="S929" i="10"/>
  <c r="P929" i="10"/>
  <c r="AO929" i="10" s="1"/>
  <c r="AQ929" i="10" s="1"/>
  <c r="O929" i="10"/>
  <c r="N929" i="10"/>
  <c r="AK928" i="10"/>
  <c r="AB928" i="10"/>
  <c r="AA928" i="10"/>
  <c r="X928" i="10"/>
  <c r="Y928" i="10" s="1"/>
  <c r="V928" i="10"/>
  <c r="W928" i="10" s="1"/>
  <c r="T928" i="10"/>
  <c r="U928" i="10" s="1"/>
  <c r="S928" i="10"/>
  <c r="P928" i="10"/>
  <c r="AO928" i="10" s="1"/>
  <c r="AQ928" i="10" s="1"/>
  <c r="O928" i="10"/>
  <c r="N928" i="10"/>
  <c r="AK927" i="10"/>
  <c r="AB927" i="10"/>
  <c r="AA927" i="10"/>
  <c r="X927" i="10"/>
  <c r="Y927" i="10" s="1"/>
  <c r="V927" i="10"/>
  <c r="W927" i="10" s="1"/>
  <c r="T927" i="10"/>
  <c r="U927" i="10" s="1"/>
  <c r="S927" i="10"/>
  <c r="P927" i="10"/>
  <c r="AO927" i="10" s="1"/>
  <c r="AQ927" i="10" s="1"/>
  <c r="O927" i="10"/>
  <c r="N927" i="10"/>
  <c r="AK926" i="10"/>
  <c r="AB926" i="10"/>
  <c r="AA926" i="10"/>
  <c r="X926" i="10"/>
  <c r="Y926" i="10" s="1"/>
  <c r="V926" i="10"/>
  <c r="W926" i="10" s="1"/>
  <c r="T926" i="10"/>
  <c r="U926" i="10" s="1"/>
  <c r="S926" i="10"/>
  <c r="P926" i="10"/>
  <c r="AO926" i="10" s="1"/>
  <c r="AQ926" i="10" s="1"/>
  <c r="O926" i="10"/>
  <c r="N926" i="10"/>
  <c r="AK925" i="10"/>
  <c r="AB925" i="10"/>
  <c r="AA925" i="10"/>
  <c r="X925" i="10"/>
  <c r="Y925" i="10" s="1"/>
  <c r="V925" i="10"/>
  <c r="W925" i="10" s="1"/>
  <c r="T925" i="10"/>
  <c r="U925" i="10" s="1"/>
  <c r="S925" i="10"/>
  <c r="P925" i="10"/>
  <c r="AO925" i="10" s="1"/>
  <c r="AQ925" i="10" s="1"/>
  <c r="O925" i="10"/>
  <c r="N925" i="10"/>
  <c r="AK924" i="10"/>
  <c r="AB924" i="10"/>
  <c r="AA924" i="10"/>
  <c r="X924" i="10"/>
  <c r="Y924" i="10" s="1"/>
  <c r="V924" i="10"/>
  <c r="W924" i="10" s="1"/>
  <c r="T924" i="10"/>
  <c r="U924" i="10" s="1"/>
  <c r="S924" i="10"/>
  <c r="P924" i="10"/>
  <c r="AO924" i="10" s="1"/>
  <c r="AQ924" i="10" s="1"/>
  <c r="O924" i="10"/>
  <c r="N924" i="10"/>
  <c r="AK923" i="10"/>
  <c r="AB923" i="10"/>
  <c r="AA923" i="10"/>
  <c r="X923" i="10"/>
  <c r="Y923" i="10" s="1"/>
  <c r="V923" i="10"/>
  <c r="W923" i="10" s="1"/>
  <c r="T923" i="10"/>
  <c r="U923" i="10" s="1"/>
  <c r="S923" i="10"/>
  <c r="P923" i="10"/>
  <c r="AO923" i="10" s="1"/>
  <c r="AQ923" i="10" s="1"/>
  <c r="O923" i="10"/>
  <c r="N923" i="10"/>
  <c r="AK922" i="10"/>
  <c r="AB922" i="10"/>
  <c r="AA922" i="10"/>
  <c r="X922" i="10"/>
  <c r="Y922" i="10" s="1"/>
  <c r="V922" i="10"/>
  <c r="W922" i="10" s="1"/>
  <c r="T922" i="10"/>
  <c r="U922" i="10" s="1"/>
  <c r="S922" i="10"/>
  <c r="P922" i="10"/>
  <c r="AO922" i="10" s="1"/>
  <c r="AQ922" i="10" s="1"/>
  <c r="O922" i="10"/>
  <c r="N922" i="10"/>
  <c r="AK921" i="10"/>
  <c r="AB921" i="10"/>
  <c r="AA921" i="10"/>
  <c r="X921" i="10"/>
  <c r="Y921" i="10" s="1"/>
  <c r="V921" i="10"/>
  <c r="W921" i="10" s="1"/>
  <c r="T921" i="10"/>
  <c r="U921" i="10" s="1"/>
  <c r="S921" i="10"/>
  <c r="P921" i="10"/>
  <c r="AO921" i="10" s="1"/>
  <c r="AQ921" i="10" s="1"/>
  <c r="O921" i="10"/>
  <c r="N921" i="10"/>
  <c r="AK920" i="10"/>
  <c r="AB920" i="10"/>
  <c r="AA920" i="10"/>
  <c r="X920" i="10"/>
  <c r="Y920" i="10" s="1"/>
  <c r="V920" i="10"/>
  <c r="W920" i="10" s="1"/>
  <c r="T920" i="10"/>
  <c r="U920" i="10" s="1"/>
  <c r="S920" i="10"/>
  <c r="P920" i="10"/>
  <c r="AO920" i="10" s="1"/>
  <c r="AQ920" i="10" s="1"/>
  <c r="O920" i="10"/>
  <c r="N920" i="10"/>
  <c r="AK919" i="10"/>
  <c r="AB919" i="10"/>
  <c r="AA919" i="10"/>
  <c r="X919" i="10"/>
  <c r="Y919" i="10" s="1"/>
  <c r="V919" i="10"/>
  <c r="W919" i="10" s="1"/>
  <c r="T919" i="10"/>
  <c r="U919" i="10" s="1"/>
  <c r="S919" i="10"/>
  <c r="P919" i="10"/>
  <c r="AO919" i="10" s="1"/>
  <c r="AQ919" i="10" s="1"/>
  <c r="O919" i="10"/>
  <c r="N919" i="10"/>
  <c r="AK918" i="10"/>
  <c r="AB918" i="10"/>
  <c r="AA918" i="10"/>
  <c r="X918" i="10"/>
  <c r="Y918" i="10" s="1"/>
  <c r="V918" i="10"/>
  <c r="W918" i="10" s="1"/>
  <c r="T918" i="10"/>
  <c r="U918" i="10" s="1"/>
  <c r="S918" i="10"/>
  <c r="P918" i="10"/>
  <c r="AO918" i="10" s="1"/>
  <c r="AQ918" i="10" s="1"/>
  <c r="O918" i="10"/>
  <c r="N918" i="10"/>
  <c r="AK917" i="10"/>
  <c r="AB917" i="10"/>
  <c r="AA917" i="10"/>
  <c r="X917" i="10"/>
  <c r="Y917" i="10" s="1"/>
  <c r="V917" i="10"/>
  <c r="W917" i="10" s="1"/>
  <c r="T917" i="10"/>
  <c r="U917" i="10" s="1"/>
  <c r="S917" i="10"/>
  <c r="P917" i="10"/>
  <c r="AO917" i="10" s="1"/>
  <c r="AQ917" i="10" s="1"/>
  <c r="O917" i="10"/>
  <c r="N917" i="10"/>
  <c r="AK916" i="10"/>
  <c r="AB916" i="10"/>
  <c r="AA916" i="10"/>
  <c r="X916" i="10"/>
  <c r="Y916" i="10" s="1"/>
  <c r="V916" i="10"/>
  <c r="W916" i="10" s="1"/>
  <c r="T916" i="10"/>
  <c r="U916" i="10" s="1"/>
  <c r="S916" i="10"/>
  <c r="P916" i="10"/>
  <c r="AO916" i="10" s="1"/>
  <c r="AQ916" i="10" s="1"/>
  <c r="O916" i="10"/>
  <c r="N916" i="10"/>
  <c r="AK915" i="10"/>
  <c r="AB915" i="10"/>
  <c r="AA915" i="10"/>
  <c r="X915" i="10"/>
  <c r="Y915" i="10" s="1"/>
  <c r="V915" i="10"/>
  <c r="W915" i="10" s="1"/>
  <c r="T915" i="10"/>
  <c r="U915" i="10" s="1"/>
  <c r="S915" i="10"/>
  <c r="P915" i="10"/>
  <c r="AO915" i="10" s="1"/>
  <c r="AQ915" i="10" s="1"/>
  <c r="O915" i="10"/>
  <c r="N915" i="10"/>
  <c r="AK914" i="10"/>
  <c r="AB914" i="10"/>
  <c r="AA914" i="10"/>
  <c r="X914" i="10"/>
  <c r="Y914" i="10" s="1"/>
  <c r="V914" i="10"/>
  <c r="W914" i="10" s="1"/>
  <c r="T914" i="10"/>
  <c r="U914" i="10" s="1"/>
  <c r="S914" i="10"/>
  <c r="P914" i="10"/>
  <c r="AO914" i="10" s="1"/>
  <c r="AQ914" i="10" s="1"/>
  <c r="O914" i="10"/>
  <c r="N914" i="10"/>
  <c r="AK913" i="10"/>
  <c r="AB913" i="10"/>
  <c r="AA913" i="10"/>
  <c r="X913" i="10"/>
  <c r="Y913" i="10" s="1"/>
  <c r="V913" i="10"/>
  <c r="W913" i="10" s="1"/>
  <c r="T913" i="10"/>
  <c r="U913" i="10" s="1"/>
  <c r="S913" i="10"/>
  <c r="P913" i="10"/>
  <c r="AO913" i="10" s="1"/>
  <c r="AQ913" i="10" s="1"/>
  <c r="O913" i="10"/>
  <c r="N913" i="10"/>
  <c r="AK912" i="10"/>
  <c r="AB912" i="10"/>
  <c r="AA912" i="10"/>
  <c r="X912" i="10"/>
  <c r="Y912" i="10" s="1"/>
  <c r="V912" i="10"/>
  <c r="W912" i="10" s="1"/>
  <c r="T912" i="10"/>
  <c r="U912" i="10" s="1"/>
  <c r="S912" i="10"/>
  <c r="P912" i="10"/>
  <c r="AO912" i="10" s="1"/>
  <c r="AQ912" i="10" s="1"/>
  <c r="O912" i="10"/>
  <c r="N912" i="10"/>
  <c r="AK911" i="10"/>
  <c r="AB911" i="10"/>
  <c r="AA911" i="10"/>
  <c r="X911" i="10"/>
  <c r="Y911" i="10" s="1"/>
  <c r="V911" i="10"/>
  <c r="W911" i="10" s="1"/>
  <c r="T911" i="10"/>
  <c r="U911" i="10" s="1"/>
  <c r="S911" i="10"/>
  <c r="P911" i="10"/>
  <c r="AO911" i="10" s="1"/>
  <c r="AQ911" i="10" s="1"/>
  <c r="O911" i="10"/>
  <c r="N911" i="10"/>
  <c r="AK910" i="10"/>
  <c r="AB910" i="10"/>
  <c r="AA910" i="10"/>
  <c r="X910" i="10"/>
  <c r="Y910" i="10" s="1"/>
  <c r="V910" i="10"/>
  <c r="W910" i="10" s="1"/>
  <c r="T910" i="10"/>
  <c r="U910" i="10" s="1"/>
  <c r="S910" i="10"/>
  <c r="P910" i="10"/>
  <c r="AO910" i="10" s="1"/>
  <c r="AQ910" i="10" s="1"/>
  <c r="O910" i="10"/>
  <c r="N910" i="10"/>
  <c r="AK909" i="10"/>
  <c r="AB909" i="10"/>
  <c r="AA909" i="10"/>
  <c r="X909" i="10"/>
  <c r="Y909" i="10" s="1"/>
  <c r="V909" i="10"/>
  <c r="W909" i="10" s="1"/>
  <c r="T909" i="10"/>
  <c r="U909" i="10" s="1"/>
  <c r="S909" i="10"/>
  <c r="P909" i="10"/>
  <c r="AO909" i="10" s="1"/>
  <c r="AQ909" i="10" s="1"/>
  <c r="O909" i="10"/>
  <c r="N909" i="10"/>
  <c r="AK908" i="10"/>
  <c r="AB908" i="10"/>
  <c r="AA908" i="10"/>
  <c r="X908" i="10"/>
  <c r="Y908" i="10" s="1"/>
  <c r="V908" i="10"/>
  <c r="W908" i="10" s="1"/>
  <c r="T908" i="10"/>
  <c r="U908" i="10" s="1"/>
  <c r="S908" i="10"/>
  <c r="P908" i="10"/>
  <c r="AO908" i="10" s="1"/>
  <c r="AQ908" i="10" s="1"/>
  <c r="O908" i="10"/>
  <c r="N908" i="10"/>
  <c r="AK907" i="10"/>
  <c r="AB907" i="10"/>
  <c r="AA907" i="10"/>
  <c r="X907" i="10"/>
  <c r="Y907" i="10" s="1"/>
  <c r="V907" i="10"/>
  <c r="W907" i="10" s="1"/>
  <c r="T907" i="10"/>
  <c r="U907" i="10" s="1"/>
  <c r="S907" i="10"/>
  <c r="P907" i="10"/>
  <c r="AO907" i="10" s="1"/>
  <c r="AQ907" i="10" s="1"/>
  <c r="O907" i="10"/>
  <c r="N907" i="10"/>
  <c r="AK906" i="10"/>
  <c r="AB906" i="10"/>
  <c r="AA906" i="10"/>
  <c r="X906" i="10"/>
  <c r="Y906" i="10" s="1"/>
  <c r="V906" i="10"/>
  <c r="W906" i="10" s="1"/>
  <c r="T906" i="10"/>
  <c r="U906" i="10" s="1"/>
  <c r="S906" i="10"/>
  <c r="P906" i="10"/>
  <c r="AO906" i="10" s="1"/>
  <c r="AQ906" i="10" s="1"/>
  <c r="O906" i="10"/>
  <c r="N906" i="10"/>
  <c r="AK905" i="10"/>
  <c r="AB905" i="10"/>
  <c r="AA905" i="10"/>
  <c r="X905" i="10"/>
  <c r="Y905" i="10" s="1"/>
  <c r="V905" i="10"/>
  <c r="W905" i="10" s="1"/>
  <c r="T905" i="10"/>
  <c r="U905" i="10" s="1"/>
  <c r="S905" i="10"/>
  <c r="P905" i="10"/>
  <c r="AO905" i="10" s="1"/>
  <c r="AQ905" i="10" s="1"/>
  <c r="O905" i="10"/>
  <c r="N905" i="10"/>
  <c r="AK904" i="10"/>
  <c r="AB904" i="10"/>
  <c r="AA904" i="10"/>
  <c r="X904" i="10"/>
  <c r="Y904" i="10" s="1"/>
  <c r="V904" i="10"/>
  <c r="W904" i="10" s="1"/>
  <c r="T904" i="10"/>
  <c r="U904" i="10" s="1"/>
  <c r="S904" i="10"/>
  <c r="P904" i="10"/>
  <c r="AO904" i="10" s="1"/>
  <c r="AQ904" i="10" s="1"/>
  <c r="O904" i="10"/>
  <c r="N904" i="10"/>
  <c r="AK903" i="10"/>
  <c r="AB903" i="10"/>
  <c r="AA903" i="10"/>
  <c r="X903" i="10"/>
  <c r="Y903" i="10" s="1"/>
  <c r="V903" i="10"/>
  <c r="W903" i="10" s="1"/>
  <c r="T903" i="10"/>
  <c r="U903" i="10" s="1"/>
  <c r="S903" i="10"/>
  <c r="P903" i="10"/>
  <c r="AO903" i="10" s="1"/>
  <c r="AQ903" i="10" s="1"/>
  <c r="O903" i="10"/>
  <c r="N903" i="10"/>
  <c r="AK902" i="10"/>
  <c r="AB902" i="10"/>
  <c r="AA902" i="10"/>
  <c r="X902" i="10"/>
  <c r="Y902" i="10" s="1"/>
  <c r="V902" i="10"/>
  <c r="W902" i="10" s="1"/>
  <c r="T902" i="10"/>
  <c r="U902" i="10" s="1"/>
  <c r="S902" i="10"/>
  <c r="P902" i="10"/>
  <c r="AO902" i="10" s="1"/>
  <c r="AQ902" i="10" s="1"/>
  <c r="O902" i="10"/>
  <c r="N902" i="10"/>
  <c r="AK901" i="10"/>
  <c r="AB901" i="10"/>
  <c r="AA901" i="10"/>
  <c r="X901" i="10"/>
  <c r="Y901" i="10" s="1"/>
  <c r="V901" i="10"/>
  <c r="W901" i="10" s="1"/>
  <c r="T901" i="10"/>
  <c r="U901" i="10" s="1"/>
  <c r="S901" i="10"/>
  <c r="P901" i="10"/>
  <c r="AO901" i="10" s="1"/>
  <c r="AQ901" i="10" s="1"/>
  <c r="O901" i="10"/>
  <c r="N901" i="10"/>
  <c r="AK900" i="10"/>
  <c r="AB900" i="10"/>
  <c r="AA900" i="10"/>
  <c r="X900" i="10"/>
  <c r="Y900" i="10" s="1"/>
  <c r="V900" i="10"/>
  <c r="W900" i="10" s="1"/>
  <c r="T900" i="10"/>
  <c r="U900" i="10" s="1"/>
  <c r="S900" i="10"/>
  <c r="P900" i="10"/>
  <c r="AO900" i="10" s="1"/>
  <c r="AQ900" i="10" s="1"/>
  <c r="O900" i="10"/>
  <c r="N900" i="10"/>
  <c r="AK899" i="10"/>
  <c r="AB899" i="10"/>
  <c r="AA899" i="10"/>
  <c r="X899" i="10"/>
  <c r="Y899" i="10" s="1"/>
  <c r="V899" i="10"/>
  <c r="W899" i="10" s="1"/>
  <c r="T899" i="10"/>
  <c r="U899" i="10" s="1"/>
  <c r="S899" i="10"/>
  <c r="P899" i="10"/>
  <c r="AO899" i="10" s="1"/>
  <c r="AQ899" i="10" s="1"/>
  <c r="O899" i="10"/>
  <c r="N899" i="10"/>
  <c r="AK898" i="10"/>
  <c r="AB898" i="10"/>
  <c r="AA898" i="10"/>
  <c r="X898" i="10"/>
  <c r="Y898" i="10" s="1"/>
  <c r="V898" i="10"/>
  <c r="W898" i="10" s="1"/>
  <c r="T898" i="10"/>
  <c r="U898" i="10" s="1"/>
  <c r="S898" i="10"/>
  <c r="P898" i="10"/>
  <c r="AO898" i="10" s="1"/>
  <c r="AQ898" i="10" s="1"/>
  <c r="O898" i="10"/>
  <c r="N898" i="10"/>
  <c r="AK897" i="10"/>
  <c r="AB897" i="10"/>
  <c r="AA897" i="10"/>
  <c r="X897" i="10"/>
  <c r="Y897" i="10" s="1"/>
  <c r="V897" i="10"/>
  <c r="W897" i="10" s="1"/>
  <c r="T897" i="10"/>
  <c r="U897" i="10" s="1"/>
  <c r="S897" i="10"/>
  <c r="P897" i="10"/>
  <c r="AO897" i="10" s="1"/>
  <c r="AQ897" i="10" s="1"/>
  <c r="O897" i="10"/>
  <c r="N897" i="10"/>
  <c r="AK896" i="10"/>
  <c r="AB896" i="10"/>
  <c r="AA896" i="10"/>
  <c r="X896" i="10"/>
  <c r="Y896" i="10" s="1"/>
  <c r="V896" i="10"/>
  <c r="W896" i="10" s="1"/>
  <c r="T896" i="10"/>
  <c r="U896" i="10" s="1"/>
  <c r="S896" i="10"/>
  <c r="P896" i="10"/>
  <c r="AO896" i="10" s="1"/>
  <c r="AQ896" i="10" s="1"/>
  <c r="O896" i="10"/>
  <c r="N896" i="10"/>
  <c r="AK895" i="10"/>
  <c r="AB895" i="10"/>
  <c r="AA895" i="10"/>
  <c r="X895" i="10"/>
  <c r="Y895" i="10" s="1"/>
  <c r="V895" i="10"/>
  <c r="W895" i="10" s="1"/>
  <c r="T895" i="10"/>
  <c r="U895" i="10" s="1"/>
  <c r="S895" i="10"/>
  <c r="P895" i="10"/>
  <c r="AO895" i="10" s="1"/>
  <c r="AQ895" i="10" s="1"/>
  <c r="O895" i="10"/>
  <c r="N895" i="10"/>
  <c r="AK894" i="10"/>
  <c r="AB894" i="10"/>
  <c r="AA894" i="10"/>
  <c r="X894" i="10"/>
  <c r="Y894" i="10" s="1"/>
  <c r="V894" i="10"/>
  <c r="W894" i="10" s="1"/>
  <c r="T894" i="10"/>
  <c r="U894" i="10" s="1"/>
  <c r="S894" i="10"/>
  <c r="P894" i="10"/>
  <c r="AO894" i="10" s="1"/>
  <c r="AQ894" i="10" s="1"/>
  <c r="O894" i="10"/>
  <c r="N894" i="10"/>
  <c r="AK893" i="10"/>
  <c r="AB893" i="10"/>
  <c r="AA893" i="10"/>
  <c r="X893" i="10"/>
  <c r="Y893" i="10" s="1"/>
  <c r="V893" i="10"/>
  <c r="W893" i="10" s="1"/>
  <c r="T893" i="10"/>
  <c r="U893" i="10" s="1"/>
  <c r="S893" i="10"/>
  <c r="P893" i="10"/>
  <c r="AO893" i="10" s="1"/>
  <c r="AQ893" i="10" s="1"/>
  <c r="O893" i="10"/>
  <c r="N893" i="10"/>
  <c r="AK892" i="10"/>
  <c r="AB892" i="10"/>
  <c r="AA892" i="10"/>
  <c r="X892" i="10"/>
  <c r="Y892" i="10" s="1"/>
  <c r="V892" i="10"/>
  <c r="W892" i="10" s="1"/>
  <c r="T892" i="10"/>
  <c r="U892" i="10" s="1"/>
  <c r="S892" i="10"/>
  <c r="P892" i="10"/>
  <c r="AO892" i="10" s="1"/>
  <c r="AQ892" i="10" s="1"/>
  <c r="O892" i="10"/>
  <c r="N892" i="10"/>
  <c r="AK891" i="10"/>
  <c r="AB891" i="10"/>
  <c r="AA891" i="10"/>
  <c r="X891" i="10"/>
  <c r="Y891" i="10" s="1"/>
  <c r="V891" i="10"/>
  <c r="W891" i="10" s="1"/>
  <c r="T891" i="10"/>
  <c r="U891" i="10" s="1"/>
  <c r="S891" i="10"/>
  <c r="P891" i="10"/>
  <c r="AO891" i="10" s="1"/>
  <c r="AQ891" i="10" s="1"/>
  <c r="O891" i="10"/>
  <c r="N891" i="10"/>
  <c r="AK890" i="10"/>
  <c r="AB890" i="10"/>
  <c r="AA890" i="10"/>
  <c r="X890" i="10"/>
  <c r="Y890" i="10" s="1"/>
  <c r="V890" i="10"/>
  <c r="W890" i="10" s="1"/>
  <c r="T890" i="10"/>
  <c r="U890" i="10" s="1"/>
  <c r="S890" i="10"/>
  <c r="P890" i="10"/>
  <c r="AO890" i="10" s="1"/>
  <c r="AQ890" i="10" s="1"/>
  <c r="O890" i="10"/>
  <c r="N890" i="10"/>
  <c r="AK889" i="10"/>
  <c r="AB889" i="10"/>
  <c r="AA889" i="10"/>
  <c r="X889" i="10"/>
  <c r="Y889" i="10" s="1"/>
  <c r="V889" i="10"/>
  <c r="W889" i="10" s="1"/>
  <c r="T889" i="10"/>
  <c r="U889" i="10" s="1"/>
  <c r="S889" i="10"/>
  <c r="P889" i="10"/>
  <c r="AO889" i="10" s="1"/>
  <c r="AQ889" i="10" s="1"/>
  <c r="O889" i="10"/>
  <c r="N889" i="10"/>
  <c r="AK888" i="10"/>
  <c r="AB888" i="10"/>
  <c r="AA888" i="10"/>
  <c r="X888" i="10"/>
  <c r="Y888" i="10" s="1"/>
  <c r="V888" i="10"/>
  <c r="W888" i="10" s="1"/>
  <c r="T888" i="10"/>
  <c r="U888" i="10" s="1"/>
  <c r="S888" i="10"/>
  <c r="P888" i="10"/>
  <c r="AO888" i="10" s="1"/>
  <c r="AQ888" i="10" s="1"/>
  <c r="O888" i="10"/>
  <c r="N888" i="10"/>
  <c r="AK887" i="10"/>
  <c r="AB887" i="10"/>
  <c r="AA887" i="10"/>
  <c r="X887" i="10"/>
  <c r="Y887" i="10" s="1"/>
  <c r="V887" i="10"/>
  <c r="W887" i="10" s="1"/>
  <c r="T887" i="10"/>
  <c r="U887" i="10" s="1"/>
  <c r="S887" i="10"/>
  <c r="P887" i="10"/>
  <c r="AO887" i="10" s="1"/>
  <c r="AQ887" i="10" s="1"/>
  <c r="O887" i="10"/>
  <c r="N887" i="10"/>
  <c r="AK886" i="10"/>
  <c r="AB886" i="10"/>
  <c r="AA886" i="10"/>
  <c r="X886" i="10"/>
  <c r="Y886" i="10" s="1"/>
  <c r="V886" i="10"/>
  <c r="W886" i="10" s="1"/>
  <c r="T886" i="10"/>
  <c r="U886" i="10" s="1"/>
  <c r="S886" i="10"/>
  <c r="P886" i="10"/>
  <c r="AO886" i="10" s="1"/>
  <c r="AQ886" i="10" s="1"/>
  <c r="O886" i="10"/>
  <c r="N886" i="10"/>
  <c r="AK885" i="10"/>
  <c r="AB885" i="10"/>
  <c r="AA885" i="10"/>
  <c r="X885" i="10"/>
  <c r="Y885" i="10" s="1"/>
  <c r="V885" i="10"/>
  <c r="W885" i="10" s="1"/>
  <c r="T885" i="10"/>
  <c r="U885" i="10" s="1"/>
  <c r="S885" i="10"/>
  <c r="P885" i="10"/>
  <c r="AO885" i="10" s="1"/>
  <c r="AQ885" i="10" s="1"/>
  <c r="O885" i="10"/>
  <c r="N885" i="10"/>
  <c r="AK884" i="10"/>
  <c r="AB884" i="10"/>
  <c r="AA884" i="10"/>
  <c r="X884" i="10"/>
  <c r="Y884" i="10" s="1"/>
  <c r="V884" i="10"/>
  <c r="W884" i="10" s="1"/>
  <c r="T884" i="10"/>
  <c r="U884" i="10" s="1"/>
  <c r="S884" i="10"/>
  <c r="P884" i="10"/>
  <c r="AO884" i="10" s="1"/>
  <c r="AQ884" i="10" s="1"/>
  <c r="O884" i="10"/>
  <c r="N884" i="10"/>
  <c r="AK883" i="10"/>
  <c r="AB883" i="10"/>
  <c r="AA883" i="10"/>
  <c r="X883" i="10"/>
  <c r="Y883" i="10" s="1"/>
  <c r="V883" i="10"/>
  <c r="W883" i="10" s="1"/>
  <c r="T883" i="10"/>
  <c r="U883" i="10" s="1"/>
  <c r="S883" i="10"/>
  <c r="P883" i="10"/>
  <c r="AO883" i="10" s="1"/>
  <c r="AQ883" i="10" s="1"/>
  <c r="O883" i="10"/>
  <c r="N883" i="10"/>
  <c r="AK882" i="10"/>
  <c r="AB882" i="10"/>
  <c r="AA882" i="10"/>
  <c r="X882" i="10"/>
  <c r="Y882" i="10" s="1"/>
  <c r="V882" i="10"/>
  <c r="W882" i="10" s="1"/>
  <c r="T882" i="10"/>
  <c r="U882" i="10" s="1"/>
  <c r="S882" i="10"/>
  <c r="P882" i="10"/>
  <c r="AO882" i="10" s="1"/>
  <c r="AQ882" i="10" s="1"/>
  <c r="O882" i="10"/>
  <c r="N882" i="10"/>
  <c r="AK881" i="10"/>
  <c r="AB881" i="10"/>
  <c r="AA881" i="10"/>
  <c r="X881" i="10"/>
  <c r="Y881" i="10" s="1"/>
  <c r="V881" i="10"/>
  <c r="W881" i="10" s="1"/>
  <c r="T881" i="10"/>
  <c r="U881" i="10" s="1"/>
  <c r="S881" i="10"/>
  <c r="P881" i="10"/>
  <c r="AO881" i="10" s="1"/>
  <c r="AQ881" i="10" s="1"/>
  <c r="O881" i="10"/>
  <c r="N881" i="10"/>
  <c r="AK880" i="10"/>
  <c r="AB880" i="10"/>
  <c r="AA880" i="10"/>
  <c r="X880" i="10"/>
  <c r="Y880" i="10" s="1"/>
  <c r="V880" i="10"/>
  <c r="W880" i="10" s="1"/>
  <c r="T880" i="10"/>
  <c r="U880" i="10" s="1"/>
  <c r="S880" i="10"/>
  <c r="P880" i="10"/>
  <c r="AO880" i="10" s="1"/>
  <c r="AQ880" i="10" s="1"/>
  <c r="O880" i="10"/>
  <c r="N880" i="10"/>
  <c r="AK879" i="10"/>
  <c r="AB879" i="10"/>
  <c r="AA879" i="10"/>
  <c r="X879" i="10"/>
  <c r="Y879" i="10" s="1"/>
  <c r="V879" i="10"/>
  <c r="W879" i="10" s="1"/>
  <c r="T879" i="10"/>
  <c r="U879" i="10" s="1"/>
  <c r="S879" i="10"/>
  <c r="P879" i="10"/>
  <c r="AO879" i="10" s="1"/>
  <c r="AQ879" i="10" s="1"/>
  <c r="O879" i="10"/>
  <c r="N879" i="10"/>
  <c r="AO878" i="10"/>
  <c r="AQ878" i="10" s="1"/>
  <c r="AK878" i="10"/>
  <c r="AL878" i="10" s="1"/>
  <c r="AI878" i="10"/>
  <c r="AC878" i="10"/>
  <c r="AB878" i="10"/>
  <c r="AA878" i="10"/>
  <c r="X878" i="10"/>
  <c r="Y878" i="10" s="1"/>
  <c r="V878" i="10"/>
  <c r="W878" i="10" s="1"/>
  <c r="T878" i="10"/>
  <c r="U878" i="10" s="1"/>
  <c r="S878" i="10"/>
  <c r="P878" i="10"/>
  <c r="O878" i="10"/>
  <c r="N878" i="10"/>
  <c r="Z878" i="10" s="1"/>
  <c r="AN878" i="10" s="1"/>
  <c r="AK877" i="10"/>
  <c r="AB877" i="10"/>
  <c r="AA877" i="10"/>
  <c r="X877" i="10"/>
  <c r="Y877" i="10" s="1"/>
  <c r="V877" i="10"/>
  <c r="W877" i="10" s="1"/>
  <c r="T877" i="10"/>
  <c r="U877" i="10" s="1"/>
  <c r="S877" i="10"/>
  <c r="P877" i="10"/>
  <c r="AO877" i="10" s="1"/>
  <c r="AQ877" i="10" s="1"/>
  <c r="O877" i="10"/>
  <c r="N877" i="10"/>
  <c r="AK876" i="10"/>
  <c r="AB876" i="10"/>
  <c r="AA876" i="10"/>
  <c r="X876" i="10"/>
  <c r="Y876" i="10" s="1"/>
  <c r="V876" i="10"/>
  <c r="W876" i="10" s="1"/>
  <c r="T876" i="10"/>
  <c r="U876" i="10" s="1"/>
  <c r="S876" i="10"/>
  <c r="P876" i="10"/>
  <c r="AO876" i="10" s="1"/>
  <c r="AQ876" i="10" s="1"/>
  <c r="O876" i="10"/>
  <c r="N876" i="10"/>
  <c r="AK875" i="10"/>
  <c r="AB875" i="10"/>
  <c r="AA875" i="10"/>
  <c r="X875" i="10"/>
  <c r="Y875" i="10" s="1"/>
  <c r="V875" i="10"/>
  <c r="W875" i="10" s="1"/>
  <c r="T875" i="10"/>
  <c r="U875" i="10" s="1"/>
  <c r="S875" i="10"/>
  <c r="P875" i="10"/>
  <c r="AO875" i="10" s="1"/>
  <c r="AQ875" i="10" s="1"/>
  <c r="O875" i="10"/>
  <c r="N875" i="10"/>
  <c r="AK874" i="10"/>
  <c r="AB874" i="10"/>
  <c r="AA874" i="10"/>
  <c r="X874" i="10"/>
  <c r="Y874" i="10" s="1"/>
  <c r="V874" i="10"/>
  <c r="W874" i="10" s="1"/>
  <c r="T874" i="10"/>
  <c r="U874" i="10" s="1"/>
  <c r="S874" i="10"/>
  <c r="P874" i="10"/>
  <c r="AO874" i="10" s="1"/>
  <c r="AQ874" i="10" s="1"/>
  <c r="O874" i="10"/>
  <c r="N874" i="10"/>
  <c r="AK873" i="10"/>
  <c r="AB873" i="10"/>
  <c r="AA873" i="10"/>
  <c r="X873" i="10"/>
  <c r="Y873" i="10" s="1"/>
  <c r="V873" i="10"/>
  <c r="W873" i="10" s="1"/>
  <c r="T873" i="10"/>
  <c r="U873" i="10" s="1"/>
  <c r="S873" i="10"/>
  <c r="P873" i="10"/>
  <c r="AO873" i="10" s="1"/>
  <c r="AQ873" i="10" s="1"/>
  <c r="O873" i="10"/>
  <c r="N873" i="10"/>
  <c r="AK872" i="10"/>
  <c r="AB872" i="10"/>
  <c r="AA872" i="10"/>
  <c r="X872" i="10"/>
  <c r="Y872" i="10" s="1"/>
  <c r="V872" i="10"/>
  <c r="W872" i="10" s="1"/>
  <c r="T872" i="10"/>
  <c r="U872" i="10" s="1"/>
  <c r="S872" i="10"/>
  <c r="P872" i="10"/>
  <c r="AO872" i="10" s="1"/>
  <c r="AQ872" i="10" s="1"/>
  <c r="O872" i="10"/>
  <c r="N872" i="10"/>
  <c r="AK871" i="10"/>
  <c r="AB871" i="10"/>
  <c r="AA871" i="10"/>
  <c r="X871" i="10"/>
  <c r="Y871" i="10" s="1"/>
  <c r="V871" i="10"/>
  <c r="W871" i="10" s="1"/>
  <c r="T871" i="10"/>
  <c r="U871" i="10" s="1"/>
  <c r="S871" i="10"/>
  <c r="P871" i="10"/>
  <c r="AO871" i="10" s="1"/>
  <c r="AQ871" i="10" s="1"/>
  <c r="O871" i="10"/>
  <c r="N871" i="10"/>
  <c r="AK870" i="10"/>
  <c r="AB870" i="10"/>
  <c r="AA870" i="10"/>
  <c r="X870" i="10"/>
  <c r="Y870" i="10" s="1"/>
  <c r="V870" i="10"/>
  <c r="W870" i="10" s="1"/>
  <c r="T870" i="10"/>
  <c r="U870" i="10" s="1"/>
  <c r="S870" i="10"/>
  <c r="P870" i="10"/>
  <c r="AO870" i="10" s="1"/>
  <c r="AQ870" i="10" s="1"/>
  <c r="O870" i="10"/>
  <c r="N870" i="10"/>
  <c r="AK869" i="10"/>
  <c r="AB869" i="10"/>
  <c r="AA869" i="10"/>
  <c r="X869" i="10"/>
  <c r="Y869" i="10" s="1"/>
  <c r="V869" i="10"/>
  <c r="W869" i="10" s="1"/>
  <c r="T869" i="10"/>
  <c r="U869" i="10" s="1"/>
  <c r="S869" i="10"/>
  <c r="P869" i="10"/>
  <c r="AO869" i="10" s="1"/>
  <c r="AQ869" i="10" s="1"/>
  <c r="O869" i="10"/>
  <c r="N869" i="10"/>
  <c r="AK868" i="10"/>
  <c r="AB868" i="10"/>
  <c r="AA868" i="10"/>
  <c r="X868" i="10"/>
  <c r="Y868" i="10" s="1"/>
  <c r="V868" i="10"/>
  <c r="W868" i="10" s="1"/>
  <c r="T868" i="10"/>
  <c r="U868" i="10" s="1"/>
  <c r="S868" i="10"/>
  <c r="P868" i="10"/>
  <c r="AO868" i="10" s="1"/>
  <c r="AQ868" i="10" s="1"/>
  <c r="O868" i="10"/>
  <c r="N868" i="10"/>
  <c r="AK867" i="10"/>
  <c r="AB867" i="10"/>
  <c r="AA867" i="10"/>
  <c r="X867" i="10"/>
  <c r="Y867" i="10" s="1"/>
  <c r="V867" i="10"/>
  <c r="W867" i="10" s="1"/>
  <c r="T867" i="10"/>
  <c r="U867" i="10" s="1"/>
  <c r="S867" i="10"/>
  <c r="P867" i="10"/>
  <c r="AO867" i="10" s="1"/>
  <c r="AQ867" i="10" s="1"/>
  <c r="O867" i="10"/>
  <c r="N867" i="10"/>
  <c r="AK866" i="10"/>
  <c r="AB866" i="10"/>
  <c r="AA866" i="10"/>
  <c r="X866" i="10"/>
  <c r="Y866" i="10" s="1"/>
  <c r="V866" i="10"/>
  <c r="W866" i="10" s="1"/>
  <c r="T866" i="10"/>
  <c r="U866" i="10" s="1"/>
  <c r="S866" i="10"/>
  <c r="P866" i="10"/>
  <c r="AO866" i="10" s="1"/>
  <c r="AQ866" i="10" s="1"/>
  <c r="O866" i="10"/>
  <c r="N866" i="10"/>
  <c r="AK865" i="10"/>
  <c r="AB865" i="10"/>
  <c r="AA865" i="10"/>
  <c r="X865" i="10"/>
  <c r="Y865" i="10" s="1"/>
  <c r="V865" i="10"/>
  <c r="W865" i="10" s="1"/>
  <c r="T865" i="10"/>
  <c r="U865" i="10" s="1"/>
  <c r="S865" i="10"/>
  <c r="P865" i="10"/>
  <c r="AO865" i="10" s="1"/>
  <c r="AQ865" i="10" s="1"/>
  <c r="O865" i="10"/>
  <c r="N865" i="10"/>
  <c r="AK864" i="10"/>
  <c r="AB864" i="10"/>
  <c r="AA864" i="10"/>
  <c r="X864" i="10"/>
  <c r="Y864" i="10" s="1"/>
  <c r="V864" i="10"/>
  <c r="W864" i="10" s="1"/>
  <c r="T864" i="10"/>
  <c r="U864" i="10" s="1"/>
  <c r="S864" i="10"/>
  <c r="P864" i="10"/>
  <c r="AO864" i="10" s="1"/>
  <c r="AQ864" i="10" s="1"/>
  <c r="O864" i="10"/>
  <c r="N864" i="10"/>
  <c r="AK863" i="10"/>
  <c r="AB863" i="10"/>
  <c r="AA863" i="10"/>
  <c r="X863" i="10"/>
  <c r="Y863" i="10" s="1"/>
  <c r="V863" i="10"/>
  <c r="W863" i="10" s="1"/>
  <c r="T863" i="10"/>
  <c r="U863" i="10" s="1"/>
  <c r="S863" i="10"/>
  <c r="P863" i="10"/>
  <c r="AO863" i="10" s="1"/>
  <c r="AQ863" i="10" s="1"/>
  <c r="O863" i="10"/>
  <c r="N863" i="10"/>
  <c r="AK862" i="10"/>
  <c r="AB862" i="10"/>
  <c r="AA862" i="10"/>
  <c r="X862" i="10"/>
  <c r="Y862" i="10" s="1"/>
  <c r="V862" i="10"/>
  <c r="W862" i="10" s="1"/>
  <c r="T862" i="10"/>
  <c r="U862" i="10" s="1"/>
  <c r="S862" i="10"/>
  <c r="P862" i="10"/>
  <c r="AO862" i="10" s="1"/>
  <c r="AQ862" i="10" s="1"/>
  <c r="O862" i="10"/>
  <c r="N862" i="10"/>
  <c r="AK861" i="10"/>
  <c r="AB861" i="10"/>
  <c r="AA861" i="10"/>
  <c r="X861" i="10"/>
  <c r="Y861" i="10" s="1"/>
  <c r="V861" i="10"/>
  <c r="W861" i="10" s="1"/>
  <c r="T861" i="10"/>
  <c r="U861" i="10" s="1"/>
  <c r="S861" i="10"/>
  <c r="P861" i="10"/>
  <c r="AO861" i="10" s="1"/>
  <c r="AQ861" i="10" s="1"/>
  <c r="O861" i="10"/>
  <c r="N861" i="10"/>
  <c r="AK860" i="10"/>
  <c r="AB860" i="10"/>
  <c r="AA860" i="10"/>
  <c r="X860" i="10"/>
  <c r="Y860" i="10" s="1"/>
  <c r="V860" i="10"/>
  <c r="W860" i="10" s="1"/>
  <c r="T860" i="10"/>
  <c r="U860" i="10" s="1"/>
  <c r="S860" i="10"/>
  <c r="P860" i="10"/>
  <c r="AO860" i="10" s="1"/>
  <c r="AQ860" i="10" s="1"/>
  <c r="O860" i="10"/>
  <c r="N860" i="10"/>
  <c r="AK859" i="10"/>
  <c r="AB859" i="10"/>
  <c r="AA859" i="10"/>
  <c r="X859" i="10"/>
  <c r="Y859" i="10" s="1"/>
  <c r="V859" i="10"/>
  <c r="W859" i="10" s="1"/>
  <c r="T859" i="10"/>
  <c r="U859" i="10" s="1"/>
  <c r="S859" i="10"/>
  <c r="P859" i="10"/>
  <c r="AO859" i="10" s="1"/>
  <c r="AQ859" i="10" s="1"/>
  <c r="O859" i="10"/>
  <c r="N859" i="10"/>
  <c r="AK858" i="10"/>
  <c r="AB858" i="10"/>
  <c r="AA858" i="10"/>
  <c r="X858" i="10"/>
  <c r="Y858" i="10" s="1"/>
  <c r="V858" i="10"/>
  <c r="W858" i="10" s="1"/>
  <c r="T858" i="10"/>
  <c r="U858" i="10" s="1"/>
  <c r="S858" i="10"/>
  <c r="P858" i="10"/>
  <c r="AO858" i="10" s="1"/>
  <c r="AQ858" i="10" s="1"/>
  <c r="O858" i="10"/>
  <c r="N858" i="10"/>
  <c r="AK857" i="10"/>
  <c r="AB857" i="10"/>
  <c r="AA857" i="10"/>
  <c r="X857" i="10"/>
  <c r="Y857" i="10" s="1"/>
  <c r="V857" i="10"/>
  <c r="W857" i="10" s="1"/>
  <c r="T857" i="10"/>
  <c r="U857" i="10" s="1"/>
  <c r="S857" i="10"/>
  <c r="P857" i="10"/>
  <c r="AO857" i="10" s="1"/>
  <c r="AQ857" i="10" s="1"/>
  <c r="O857" i="10"/>
  <c r="N857" i="10"/>
  <c r="AK856" i="10"/>
  <c r="AB856" i="10"/>
  <c r="AA856" i="10"/>
  <c r="X856" i="10"/>
  <c r="Y856" i="10" s="1"/>
  <c r="V856" i="10"/>
  <c r="W856" i="10" s="1"/>
  <c r="T856" i="10"/>
  <c r="U856" i="10" s="1"/>
  <c r="S856" i="10"/>
  <c r="P856" i="10"/>
  <c r="AO856" i="10" s="1"/>
  <c r="AQ856" i="10" s="1"/>
  <c r="O856" i="10"/>
  <c r="N856" i="10"/>
  <c r="AK855" i="10"/>
  <c r="AB855" i="10"/>
  <c r="AA855" i="10"/>
  <c r="X855" i="10"/>
  <c r="Y855" i="10" s="1"/>
  <c r="V855" i="10"/>
  <c r="W855" i="10" s="1"/>
  <c r="T855" i="10"/>
  <c r="U855" i="10" s="1"/>
  <c r="S855" i="10"/>
  <c r="P855" i="10"/>
  <c r="AO855" i="10" s="1"/>
  <c r="AQ855" i="10" s="1"/>
  <c r="O855" i="10"/>
  <c r="N855" i="10"/>
  <c r="AK854" i="10"/>
  <c r="AB854" i="10"/>
  <c r="AA854" i="10"/>
  <c r="X854" i="10"/>
  <c r="Y854" i="10" s="1"/>
  <c r="V854" i="10"/>
  <c r="W854" i="10" s="1"/>
  <c r="T854" i="10"/>
  <c r="U854" i="10" s="1"/>
  <c r="S854" i="10"/>
  <c r="P854" i="10"/>
  <c r="AO854" i="10" s="1"/>
  <c r="AQ854" i="10" s="1"/>
  <c r="O854" i="10"/>
  <c r="N854" i="10"/>
  <c r="AK853" i="10"/>
  <c r="AB853" i="10"/>
  <c r="AA853" i="10"/>
  <c r="X853" i="10"/>
  <c r="Y853" i="10" s="1"/>
  <c r="V853" i="10"/>
  <c r="W853" i="10" s="1"/>
  <c r="T853" i="10"/>
  <c r="U853" i="10" s="1"/>
  <c r="S853" i="10"/>
  <c r="P853" i="10"/>
  <c r="AO853" i="10" s="1"/>
  <c r="AQ853" i="10" s="1"/>
  <c r="O853" i="10"/>
  <c r="N853" i="10"/>
  <c r="AK852" i="10"/>
  <c r="AB852" i="10"/>
  <c r="AA852" i="10"/>
  <c r="X852" i="10"/>
  <c r="Y852" i="10" s="1"/>
  <c r="V852" i="10"/>
  <c r="W852" i="10" s="1"/>
  <c r="T852" i="10"/>
  <c r="U852" i="10" s="1"/>
  <c r="S852" i="10"/>
  <c r="P852" i="10"/>
  <c r="AO852" i="10" s="1"/>
  <c r="AQ852" i="10" s="1"/>
  <c r="O852" i="10"/>
  <c r="N852" i="10"/>
  <c r="AK851" i="10"/>
  <c r="AB851" i="10"/>
  <c r="AA851" i="10"/>
  <c r="X851" i="10"/>
  <c r="Y851" i="10" s="1"/>
  <c r="V851" i="10"/>
  <c r="W851" i="10" s="1"/>
  <c r="T851" i="10"/>
  <c r="U851" i="10" s="1"/>
  <c r="S851" i="10"/>
  <c r="P851" i="10"/>
  <c r="AO851" i="10" s="1"/>
  <c r="AQ851" i="10" s="1"/>
  <c r="O851" i="10"/>
  <c r="N851" i="10"/>
  <c r="AK850" i="10"/>
  <c r="AB850" i="10"/>
  <c r="AA850" i="10"/>
  <c r="X850" i="10"/>
  <c r="Y850" i="10" s="1"/>
  <c r="V850" i="10"/>
  <c r="W850" i="10" s="1"/>
  <c r="T850" i="10"/>
  <c r="U850" i="10" s="1"/>
  <c r="S850" i="10"/>
  <c r="P850" i="10"/>
  <c r="AO850" i="10" s="1"/>
  <c r="AQ850" i="10" s="1"/>
  <c r="O850" i="10"/>
  <c r="N850" i="10"/>
  <c r="AK849" i="10"/>
  <c r="AB849" i="10"/>
  <c r="AA849" i="10"/>
  <c r="X849" i="10"/>
  <c r="Y849" i="10" s="1"/>
  <c r="V849" i="10"/>
  <c r="W849" i="10" s="1"/>
  <c r="T849" i="10"/>
  <c r="U849" i="10" s="1"/>
  <c r="S849" i="10"/>
  <c r="P849" i="10"/>
  <c r="AO849" i="10" s="1"/>
  <c r="AQ849" i="10" s="1"/>
  <c r="O849" i="10"/>
  <c r="N849" i="10"/>
  <c r="AK848" i="10"/>
  <c r="AB848" i="10"/>
  <c r="AA848" i="10"/>
  <c r="X848" i="10"/>
  <c r="Y848" i="10" s="1"/>
  <c r="V848" i="10"/>
  <c r="W848" i="10" s="1"/>
  <c r="T848" i="10"/>
  <c r="U848" i="10" s="1"/>
  <c r="S848" i="10"/>
  <c r="P848" i="10"/>
  <c r="AO848" i="10" s="1"/>
  <c r="AQ848" i="10" s="1"/>
  <c r="O848" i="10"/>
  <c r="N848" i="10"/>
  <c r="AK847" i="10"/>
  <c r="AB847" i="10"/>
  <c r="AA847" i="10"/>
  <c r="X847" i="10"/>
  <c r="Y847" i="10" s="1"/>
  <c r="V847" i="10"/>
  <c r="W847" i="10" s="1"/>
  <c r="T847" i="10"/>
  <c r="U847" i="10" s="1"/>
  <c r="S847" i="10"/>
  <c r="P847" i="10"/>
  <c r="AO847" i="10" s="1"/>
  <c r="AQ847" i="10" s="1"/>
  <c r="O847" i="10"/>
  <c r="N847" i="10"/>
  <c r="AK846" i="10"/>
  <c r="AB846" i="10"/>
  <c r="AA846" i="10"/>
  <c r="X846" i="10"/>
  <c r="Y846" i="10" s="1"/>
  <c r="V846" i="10"/>
  <c r="W846" i="10" s="1"/>
  <c r="T846" i="10"/>
  <c r="U846" i="10" s="1"/>
  <c r="S846" i="10"/>
  <c r="P846" i="10"/>
  <c r="AO846" i="10" s="1"/>
  <c r="AQ846" i="10" s="1"/>
  <c r="O846" i="10"/>
  <c r="N846" i="10"/>
  <c r="AK845" i="10"/>
  <c r="AB845" i="10"/>
  <c r="AA845" i="10"/>
  <c r="X845" i="10"/>
  <c r="Y845" i="10" s="1"/>
  <c r="V845" i="10"/>
  <c r="W845" i="10" s="1"/>
  <c r="T845" i="10"/>
  <c r="U845" i="10" s="1"/>
  <c r="S845" i="10"/>
  <c r="P845" i="10"/>
  <c r="AO845" i="10" s="1"/>
  <c r="AQ845" i="10" s="1"/>
  <c r="O845" i="10"/>
  <c r="N845" i="10"/>
  <c r="AK844" i="10"/>
  <c r="AB844" i="10"/>
  <c r="AA844" i="10"/>
  <c r="X844" i="10"/>
  <c r="Y844" i="10" s="1"/>
  <c r="V844" i="10"/>
  <c r="W844" i="10" s="1"/>
  <c r="T844" i="10"/>
  <c r="U844" i="10" s="1"/>
  <c r="S844" i="10"/>
  <c r="P844" i="10"/>
  <c r="AO844" i="10" s="1"/>
  <c r="AQ844" i="10" s="1"/>
  <c r="O844" i="10"/>
  <c r="N844" i="10"/>
  <c r="AK843" i="10"/>
  <c r="AB843" i="10"/>
  <c r="AA843" i="10"/>
  <c r="X843" i="10"/>
  <c r="Y843" i="10" s="1"/>
  <c r="V843" i="10"/>
  <c r="W843" i="10" s="1"/>
  <c r="T843" i="10"/>
  <c r="U843" i="10" s="1"/>
  <c r="S843" i="10"/>
  <c r="P843" i="10"/>
  <c r="AO843" i="10" s="1"/>
  <c r="AQ843" i="10" s="1"/>
  <c r="O843" i="10"/>
  <c r="N843" i="10"/>
  <c r="AK842" i="10"/>
  <c r="AB842" i="10"/>
  <c r="AA842" i="10"/>
  <c r="X842" i="10"/>
  <c r="Y842" i="10" s="1"/>
  <c r="V842" i="10"/>
  <c r="W842" i="10" s="1"/>
  <c r="T842" i="10"/>
  <c r="U842" i="10" s="1"/>
  <c r="S842" i="10"/>
  <c r="P842" i="10"/>
  <c r="AO842" i="10" s="1"/>
  <c r="AQ842" i="10" s="1"/>
  <c r="O842" i="10"/>
  <c r="N842" i="10"/>
  <c r="AK841" i="10"/>
  <c r="AB841" i="10"/>
  <c r="AA841" i="10"/>
  <c r="X841" i="10"/>
  <c r="Y841" i="10" s="1"/>
  <c r="V841" i="10"/>
  <c r="W841" i="10" s="1"/>
  <c r="T841" i="10"/>
  <c r="U841" i="10" s="1"/>
  <c r="S841" i="10"/>
  <c r="P841" i="10"/>
  <c r="AO841" i="10" s="1"/>
  <c r="AQ841" i="10" s="1"/>
  <c r="O841" i="10"/>
  <c r="N841" i="10"/>
  <c r="AK840" i="10"/>
  <c r="AB840" i="10"/>
  <c r="AA840" i="10"/>
  <c r="X840" i="10"/>
  <c r="Y840" i="10" s="1"/>
  <c r="V840" i="10"/>
  <c r="W840" i="10" s="1"/>
  <c r="T840" i="10"/>
  <c r="U840" i="10" s="1"/>
  <c r="S840" i="10"/>
  <c r="P840" i="10"/>
  <c r="AO840" i="10" s="1"/>
  <c r="AQ840" i="10" s="1"/>
  <c r="O840" i="10"/>
  <c r="N840" i="10"/>
  <c r="AK839" i="10"/>
  <c r="AB839" i="10"/>
  <c r="AA839" i="10"/>
  <c r="X839" i="10"/>
  <c r="Y839" i="10" s="1"/>
  <c r="V839" i="10"/>
  <c r="W839" i="10" s="1"/>
  <c r="T839" i="10"/>
  <c r="U839" i="10" s="1"/>
  <c r="S839" i="10"/>
  <c r="P839" i="10"/>
  <c r="AO839" i="10" s="1"/>
  <c r="AQ839" i="10" s="1"/>
  <c r="O839" i="10"/>
  <c r="N839" i="10"/>
  <c r="AK838" i="10"/>
  <c r="AB838" i="10"/>
  <c r="AA838" i="10"/>
  <c r="X838" i="10"/>
  <c r="Y838" i="10" s="1"/>
  <c r="V838" i="10"/>
  <c r="W838" i="10" s="1"/>
  <c r="T838" i="10"/>
  <c r="U838" i="10" s="1"/>
  <c r="S838" i="10"/>
  <c r="P838" i="10"/>
  <c r="AO838" i="10" s="1"/>
  <c r="AQ838" i="10" s="1"/>
  <c r="O838" i="10"/>
  <c r="N838" i="10"/>
  <c r="AK837" i="10"/>
  <c r="AB837" i="10"/>
  <c r="AA837" i="10"/>
  <c r="Z837" i="10"/>
  <c r="AN837" i="10" s="1"/>
  <c r="X837" i="10"/>
  <c r="Y837" i="10" s="1"/>
  <c r="V837" i="10"/>
  <c r="W837" i="10" s="1"/>
  <c r="T837" i="10"/>
  <c r="U837" i="10" s="1"/>
  <c r="S837" i="10"/>
  <c r="P837" i="10"/>
  <c r="AO837" i="10" s="1"/>
  <c r="AQ837" i="10" s="1"/>
  <c r="O837" i="10"/>
  <c r="N837" i="10"/>
  <c r="AK836" i="10"/>
  <c r="AB836" i="10"/>
  <c r="AA836" i="10"/>
  <c r="X836" i="10"/>
  <c r="Y836" i="10" s="1"/>
  <c r="V836" i="10"/>
  <c r="W836" i="10" s="1"/>
  <c r="T836" i="10"/>
  <c r="U836" i="10" s="1"/>
  <c r="S836" i="10"/>
  <c r="P836" i="10"/>
  <c r="AO836" i="10" s="1"/>
  <c r="AQ836" i="10" s="1"/>
  <c r="O836" i="10"/>
  <c r="N836" i="10"/>
  <c r="AK835" i="10"/>
  <c r="AB835" i="10"/>
  <c r="AA835" i="10"/>
  <c r="X835" i="10"/>
  <c r="Y835" i="10" s="1"/>
  <c r="V835" i="10"/>
  <c r="W835" i="10" s="1"/>
  <c r="T835" i="10"/>
  <c r="U835" i="10" s="1"/>
  <c r="S835" i="10"/>
  <c r="P835" i="10"/>
  <c r="AO835" i="10" s="1"/>
  <c r="AQ835" i="10" s="1"/>
  <c r="O835" i="10"/>
  <c r="N835" i="10"/>
  <c r="AK834" i="10"/>
  <c r="AB834" i="10"/>
  <c r="AA834" i="10"/>
  <c r="X834" i="10"/>
  <c r="Y834" i="10" s="1"/>
  <c r="V834" i="10"/>
  <c r="W834" i="10" s="1"/>
  <c r="T834" i="10"/>
  <c r="U834" i="10" s="1"/>
  <c r="S834" i="10"/>
  <c r="P834" i="10"/>
  <c r="AO834" i="10" s="1"/>
  <c r="AQ834" i="10" s="1"/>
  <c r="O834" i="10"/>
  <c r="N834" i="10"/>
  <c r="AK833" i="10"/>
  <c r="AB833" i="10"/>
  <c r="AA833" i="10"/>
  <c r="X833" i="10"/>
  <c r="Y833" i="10" s="1"/>
  <c r="V833" i="10"/>
  <c r="W833" i="10" s="1"/>
  <c r="T833" i="10"/>
  <c r="U833" i="10" s="1"/>
  <c r="S833" i="10"/>
  <c r="P833" i="10"/>
  <c r="AO833" i="10" s="1"/>
  <c r="AQ833" i="10" s="1"/>
  <c r="O833" i="10"/>
  <c r="N833" i="10"/>
  <c r="AK832" i="10"/>
  <c r="AB832" i="10"/>
  <c r="AA832" i="10"/>
  <c r="X832" i="10"/>
  <c r="Y832" i="10" s="1"/>
  <c r="V832" i="10"/>
  <c r="W832" i="10" s="1"/>
  <c r="T832" i="10"/>
  <c r="U832" i="10" s="1"/>
  <c r="S832" i="10"/>
  <c r="P832" i="10"/>
  <c r="AO832" i="10" s="1"/>
  <c r="AQ832" i="10" s="1"/>
  <c r="O832" i="10"/>
  <c r="N832" i="10"/>
  <c r="AK831" i="10"/>
  <c r="AB831" i="10"/>
  <c r="AA831" i="10"/>
  <c r="X831" i="10"/>
  <c r="Y831" i="10" s="1"/>
  <c r="V831" i="10"/>
  <c r="W831" i="10" s="1"/>
  <c r="T831" i="10"/>
  <c r="U831" i="10" s="1"/>
  <c r="S831" i="10"/>
  <c r="P831" i="10"/>
  <c r="AO831" i="10" s="1"/>
  <c r="AQ831" i="10" s="1"/>
  <c r="O831" i="10"/>
  <c r="N831" i="10"/>
  <c r="AK830" i="10"/>
  <c r="AB830" i="10"/>
  <c r="AA830" i="10"/>
  <c r="X830" i="10"/>
  <c r="Y830" i="10" s="1"/>
  <c r="V830" i="10"/>
  <c r="W830" i="10" s="1"/>
  <c r="T830" i="10"/>
  <c r="U830" i="10" s="1"/>
  <c r="S830" i="10"/>
  <c r="P830" i="10"/>
  <c r="AO830" i="10" s="1"/>
  <c r="AQ830" i="10" s="1"/>
  <c r="O830" i="10"/>
  <c r="N830" i="10"/>
  <c r="AK829" i="10"/>
  <c r="AB829" i="10"/>
  <c r="AA829" i="10"/>
  <c r="X829" i="10"/>
  <c r="Y829" i="10" s="1"/>
  <c r="V829" i="10"/>
  <c r="W829" i="10" s="1"/>
  <c r="T829" i="10"/>
  <c r="U829" i="10" s="1"/>
  <c r="S829" i="10"/>
  <c r="P829" i="10"/>
  <c r="AO829" i="10" s="1"/>
  <c r="AQ829" i="10" s="1"/>
  <c r="O829" i="10"/>
  <c r="N829" i="10"/>
  <c r="AK828" i="10"/>
  <c r="AB828" i="10"/>
  <c r="AA828" i="10"/>
  <c r="X828" i="10"/>
  <c r="Y828" i="10" s="1"/>
  <c r="V828" i="10"/>
  <c r="W828" i="10" s="1"/>
  <c r="T828" i="10"/>
  <c r="U828" i="10" s="1"/>
  <c r="S828" i="10"/>
  <c r="P828" i="10"/>
  <c r="AO828" i="10" s="1"/>
  <c r="AQ828" i="10" s="1"/>
  <c r="O828" i="10"/>
  <c r="N828" i="10"/>
  <c r="AK827" i="10"/>
  <c r="AB827" i="10"/>
  <c r="AA827" i="10"/>
  <c r="X827" i="10"/>
  <c r="Y827" i="10" s="1"/>
  <c r="V827" i="10"/>
  <c r="W827" i="10" s="1"/>
  <c r="T827" i="10"/>
  <c r="U827" i="10" s="1"/>
  <c r="S827" i="10"/>
  <c r="P827" i="10"/>
  <c r="AO827" i="10" s="1"/>
  <c r="AQ827" i="10" s="1"/>
  <c r="O827" i="10"/>
  <c r="N827" i="10"/>
  <c r="AK826" i="10"/>
  <c r="AB826" i="10"/>
  <c r="AA826" i="10"/>
  <c r="X826" i="10"/>
  <c r="Y826" i="10" s="1"/>
  <c r="V826" i="10"/>
  <c r="W826" i="10" s="1"/>
  <c r="T826" i="10"/>
  <c r="U826" i="10" s="1"/>
  <c r="S826" i="10"/>
  <c r="P826" i="10"/>
  <c r="AO826" i="10" s="1"/>
  <c r="AQ826" i="10" s="1"/>
  <c r="O826" i="10"/>
  <c r="N826" i="10"/>
  <c r="AK825" i="10"/>
  <c r="AB825" i="10"/>
  <c r="AA825" i="10"/>
  <c r="X825" i="10"/>
  <c r="Y825" i="10" s="1"/>
  <c r="V825" i="10"/>
  <c r="W825" i="10" s="1"/>
  <c r="T825" i="10"/>
  <c r="U825" i="10" s="1"/>
  <c r="S825" i="10"/>
  <c r="P825" i="10"/>
  <c r="AO825" i="10" s="1"/>
  <c r="AQ825" i="10" s="1"/>
  <c r="O825" i="10"/>
  <c r="N825" i="10"/>
  <c r="AK824" i="10"/>
  <c r="AB824" i="10"/>
  <c r="AA824" i="10"/>
  <c r="X824" i="10"/>
  <c r="Y824" i="10" s="1"/>
  <c r="V824" i="10"/>
  <c r="W824" i="10" s="1"/>
  <c r="T824" i="10"/>
  <c r="U824" i="10" s="1"/>
  <c r="S824" i="10"/>
  <c r="P824" i="10"/>
  <c r="AO824" i="10" s="1"/>
  <c r="AQ824" i="10" s="1"/>
  <c r="O824" i="10"/>
  <c r="N824" i="10"/>
  <c r="AK823" i="10"/>
  <c r="AB823" i="10"/>
  <c r="AA823" i="10"/>
  <c r="X823" i="10"/>
  <c r="Y823" i="10" s="1"/>
  <c r="V823" i="10"/>
  <c r="W823" i="10" s="1"/>
  <c r="T823" i="10"/>
  <c r="U823" i="10" s="1"/>
  <c r="S823" i="10"/>
  <c r="P823" i="10"/>
  <c r="AO823" i="10" s="1"/>
  <c r="AQ823" i="10" s="1"/>
  <c r="O823" i="10"/>
  <c r="N823" i="10"/>
  <c r="AK822" i="10"/>
  <c r="AB822" i="10"/>
  <c r="AA822" i="10"/>
  <c r="X822" i="10"/>
  <c r="Y822" i="10" s="1"/>
  <c r="V822" i="10"/>
  <c r="W822" i="10" s="1"/>
  <c r="T822" i="10"/>
  <c r="U822" i="10" s="1"/>
  <c r="S822" i="10"/>
  <c r="P822" i="10"/>
  <c r="AO822" i="10" s="1"/>
  <c r="AQ822" i="10" s="1"/>
  <c r="O822" i="10"/>
  <c r="N822" i="10"/>
  <c r="AK821" i="10"/>
  <c r="AB821" i="10"/>
  <c r="AA821" i="10"/>
  <c r="X821" i="10"/>
  <c r="Y821" i="10" s="1"/>
  <c r="V821" i="10"/>
  <c r="W821" i="10" s="1"/>
  <c r="T821" i="10"/>
  <c r="U821" i="10" s="1"/>
  <c r="S821" i="10"/>
  <c r="P821" i="10"/>
  <c r="AO821" i="10" s="1"/>
  <c r="AQ821" i="10" s="1"/>
  <c r="O821" i="10"/>
  <c r="N821" i="10"/>
  <c r="AK820" i="10"/>
  <c r="AB820" i="10"/>
  <c r="AA820" i="10"/>
  <c r="X820" i="10"/>
  <c r="Y820" i="10" s="1"/>
  <c r="V820" i="10"/>
  <c r="W820" i="10" s="1"/>
  <c r="T820" i="10"/>
  <c r="U820" i="10" s="1"/>
  <c r="S820" i="10"/>
  <c r="P820" i="10"/>
  <c r="AO820" i="10" s="1"/>
  <c r="AQ820" i="10" s="1"/>
  <c r="O820" i="10"/>
  <c r="N820" i="10"/>
  <c r="AK819" i="10"/>
  <c r="AB819" i="10"/>
  <c r="AA819" i="10"/>
  <c r="X819" i="10"/>
  <c r="Y819" i="10" s="1"/>
  <c r="V819" i="10"/>
  <c r="W819" i="10" s="1"/>
  <c r="T819" i="10"/>
  <c r="U819" i="10" s="1"/>
  <c r="S819" i="10"/>
  <c r="P819" i="10"/>
  <c r="AO819" i="10" s="1"/>
  <c r="AQ819" i="10" s="1"/>
  <c r="O819" i="10"/>
  <c r="N819" i="10"/>
  <c r="AK818" i="10"/>
  <c r="AB818" i="10"/>
  <c r="AA818" i="10"/>
  <c r="X818" i="10"/>
  <c r="Y818" i="10" s="1"/>
  <c r="V818" i="10"/>
  <c r="W818" i="10" s="1"/>
  <c r="T818" i="10"/>
  <c r="U818" i="10" s="1"/>
  <c r="S818" i="10"/>
  <c r="P818" i="10"/>
  <c r="AO818" i="10" s="1"/>
  <c r="AQ818" i="10" s="1"/>
  <c r="O818" i="10"/>
  <c r="N818" i="10"/>
  <c r="AK817" i="10"/>
  <c r="AB817" i="10"/>
  <c r="AA817" i="10"/>
  <c r="X817" i="10"/>
  <c r="Y817" i="10" s="1"/>
  <c r="V817" i="10"/>
  <c r="W817" i="10" s="1"/>
  <c r="T817" i="10"/>
  <c r="U817" i="10" s="1"/>
  <c r="S817" i="10"/>
  <c r="P817" i="10"/>
  <c r="AO817" i="10" s="1"/>
  <c r="AQ817" i="10" s="1"/>
  <c r="O817" i="10"/>
  <c r="N817" i="10"/>
  <c r="AK816" i="10"/>
  <c r="AB816" i="10"/>
  <c r="AA816" i="10"/>
  <c r="X816" i="10"/>
  <c r="Y816" i="10" s="1"/>
  <c r="V816" i="10"/>
  <c r="W816" i="10" s="1"/>
  <c r="T816" i="10"/>
  <c r="U816" i="10" s="1"/>
  <c r="S816" i="10"/>
  <c r="P816" i="10"/>
  <c r="AO816" i="10" s="1"/>
  <c r="AQ816" i="10" s="1"/>
  <c r="O816" i="10"/>
  <c r="N816" i="10"/>
  <c r="AK815" i="10"/>
  <c r="AB815" i="10"/>
  <c r="AA815" i="10"/>
  <c r="X815" i="10"/>
  <c r="Y815" i="10" s="1"/>
  <c r="V815" i="10"/>
  <c r="W815" i="10" s="1"/>
  <c r="T815" i="10"/>
  <c r="U815" i="10" s="1"/>
  <c r="S815" i="10"/>
  <c r="P815" i="10"/>
  <c r="AO815" i="10" s="1"/>
  <c r="AQ815" i="10" s="1"/>
  <c r="O815" i="10"/>
  <c r="N815" i="10"/>
  <c r="AK814" i="10"/>
  <c r="AB814" i="10"/>
  <c r="AA814" i="10"/>
  <c r="X814" i="10"/>
  <c r="Y814" i="10" s="1"/>
  <c r="V814" i="10"/>
  <c r="W814" i="10" s="1"/>
  <c r="T814" i="10"/>
  <c r="U814" i="10" s="1"/>
  <c r="S814" i="10"/>
  <c r="P814" i="10"/>
  <c r="AO814" i="10" s="1"/>
  <c r="AQ814" i="10" s="1"/>
  <c r="O814" i="10"/>
  <c r="N814" i="10"/>
  <c r="AO813" i="10"/>
  <c r="AQ813" i="10" s="1"/>
  <c r="AK813" i="10"/>
  <c r="AL813" i="10" s="1"/>
  <c r="AB813" i="10"/>
  <c r="AA813" i="10"/>
  <c r="X813" i="10"/>
  <c r="Y813" i="10" s="1"/>
  <c r="V813" i="10"/>
  <c r="W813" i="10" s="1"/>
  <c r="T813" i="10"/>
  <c r="U813" i="10" s="1"/>
  <c r="S813" i="10"/>
  <c r="P813" i="10"/>
  <c r="O813" i="10"/>
  <c r="N813" i="10"/>
  <c r="AK812" i="10"/>
  <c r="AB812" i="10"/>
  <c r="AA812" i="10"/>
  <c r="X812" i="10"/>
  <c r="Y812" i="10" s="1"/>
  <c r="V812" i="10"/>
  <c r="W812" i="10" s="1"/>
  <c r="T812" i="10"/>
  <c r="U812" i="10" s="1"/>
  <c r="S812" i="10"/>
  <c r="P812" i="10"/>
  <c r="AO812" i="10" s="1"/>
  <c r="AQ812" i="10" s="1"/>
  <c r="O812" i="10"/>
  <c r="N812" i="10"/>
  <c r="AK811" i="10"/>
  <c r="AB811" i="10"/>
  <c r="AA811" i="10"/>
  <c r="X811" i="10"/>
  <c r="Y811" i="10" s="1"/>
  <c r="V811" i="10"/>
  <c r="W811" i="10" s="1"/>
  <c r="T811" i="10"/>
  <c r="U811" i="10" s="1"/>
  <c r="S811" i="10"/>
  <c r="P811" i="10"/>
  <c r="AO811" i="10" s="1"/>
  <c r="AQ811" i="10" s="1"/>
  <c r="O811" i="10"/>
  <c r="N811" i="10"/>
  <c r="AK810" i="10"/>
  <c r="AB810" i="10"/>
  <c r="AA810" i="10"/>
  <c r="X810" i="10"/>
  <c r="Y810" i="10" s="1"/>
  <c r="V810" i="10"/>
  <c r="W810" i="10" s="1"/>
  <c r="T810" i="10"/>
  <c r="U810" i="10" s="1"/>
  <c r="S810" i="10"/>
  <c r="P810" i="10"/>
  <c r="AO810" i="10" s="1"/>
  <c r="AQ810" i="10" s="1"/>
  <c r="O810" i="10"/>
  <c r="N810" i="10"/>
  <c r="AK809" i="10"/>
  <c r="AB809" i="10"/>
  <c r="AA809" i="10"/>
  <c r="X809" i="10"/>
  <c r="Y809" i="10" s="1"/>
  <c r="V809" i="10"/>
  <c r="W809" i="10" s="1"/>
  <c r="T809" i="10"/>
  <c r="U809" i="10" s="1"/>
  <c r="S809" i="10"/>
  <c r="P809" i="10"/>
  <c r="AO809" i="10" s="1"/>
  <c r="AQ809" i="10" s="1"/>
  <c r="O809" i="10"/>
  <c r="N809" i="10"/>
  <c r="AK808" i="10"/>
  <c r="AB808" i="10"/>
  <c r="AA808" i="10"/>
  <c r="X808" i="10"/>
  <c r="Y808" i="10" s="1"/>
  <c r="V808" i="10"/>
  <c r="W808" i="10" s="1"/>
  <c r="T808" i="10"/>
  <c r="U808" i="10" s="1"/>
  <c r="S808" i="10"/>
  <c r="P808" i="10"/>
  <c r="AO808" i="10" s="1"/>
  <c r="AQ808" i="10" s="1"/>
  <c r="O808" i="10"/>
  <c r="N808" i="10"/>
  <c r="AK807" i="10"/>
  <c r="AB807" i="10"/>
  <c r="AA807" i="10"/>
  <c r="X807" i="10"/>
  <c r="Y807" i="10" s="1"/>
  <c r="V807" i="10"/>
  <c r="W807" i="10" s="1"/>
  <c r="T807" i="10"/>
  <c r="U807" i="10" s="1"/>
  <c r="S807" i="10"/>
  <c r="P807" i="10"/>
  <c r="AO807" i="10" s="1"/>
  <c r="AQ807" i="10" s="1"/>
  <c r="O807" i="10"/>
  <c r="N807" i="10"/>
  <c r="AK806" i="10"/>
  <c r="AB806" i="10"/>
  <c r="AA806" i="10"/>
  <c r="X806" i="10"/>
  <c r="Y806" i="10" s="1"/>
  <c r="V806" i="10"/>
  <c r="W806" i="10" s="1"/>
  <c r="T806" i="10"/>
  <c r="U806" i="10" s="1"/>
  <c r="S806" i="10"/>
  <c r="P806" i="10"/>
  <c r="AO806" i="10" s="1"/>
  <c r="AQ806" i="10" s="1"/>
  <c r="O806" i="10"/>
  <c r="N806" i="10"/>
  <c r="AK805" i="10"/>
  <c r="AB805" i="10"/>
  <c r="AA805" i="10"/>
  <c r="X805" i="10"/>
  <c r="Y805" i="10" s="1"/>
  <c r="V805" i="10"/>
  <c r="W805" i="10" s="1"/>
  <c r="T805" i="10"/>
  <c r="U805" i="10" s="1"/>
  <c r="S805" i="10"/>
  <c r="P805" i="10"/>
  <c r="AO805" i="10" s="1"/>
  <c r="AQ805" i="10" s="1"/>
  <c r="O805" i="10"/>
  <c r="N805" i="10"/>
  <c r="AK804" i="10"/>
  <c r="AB804" i="10"/>
  <c r="AA804" i="10"/>
  <c r="X804" i="10"/>
  <c r="Y804" i="10" s="1"/>
  <c r="V804" i="10"/>
  <c r="W804" i="10" s="1"/>
  <c r="T804" i="10"/>
  <c r="U804" i="10" s="1"/>
  <c r="S804" i="10"/>
  <c r="P804" i="10"/>
  <c r="AO804" i="10" s="1"/>
  <c r="AQ804" i="10" s="1"/>
  <c r="O804" i="10"/>
  <c r="N804" i="10"/>
  <c r="AK803" i="10"/>
  <c r="AB803" i="10"/>
  <c r="AA803" i="10"/>
  <c r="X803" i="10"/>
  <c r="Y803" i="10" s="1"/>
  <c r="V803" i="10"/>
  <c r="W803" i="10" s="1"/>
  <c r="T803" i="10"/>
  <c r="U803" i="10" s="1"/>
  <c r="S803" i="10"/>
  <c r="P803" i="10"/>
  <c r="AO803" i="10" s="1"/>
  <c r="AQ803" i="10" s="1"/>
  <c r="O803" i="10"/>
  <c r="N803" i="10"/>
  <c r="AK802" i="10"/>
  <c r="AB802" i="10"/>
  <c r="AA802" i="10"/>
  <c r="X802" i="10"/>
  <c r="Y802" i="10" s="1"/>
  <c r="V802" i="10"/>
  <c r="W802" i="10" s="1"/>
  <c r="T802" i="10"/>
  <c r="U802" i="10" s="1"/>
  <c r="S802" i="10"/>
  <c r="P802" i="10"/>
  <c r="AO802" i="10" s="1"/>
  <c r="AQ802" i="10" s="1"/>
  <c r="O802" i="10"/>
  <c r="N802" i="10"/>
  <c r="AK801" i="10"/>
  <c r="AB801" i="10"/>
  <c r="AA801" i="10"/>
  <c r="X801" i="10"/>
  <c r="Y801" i="10" s="1"/>
  <c r="V801" i="10"/>
  <c r="W801" i="10" s="1"/>
  <c r="T801" i="10"/>
  <c r="U801" i="10" s="1"/>
  <c r="S801" i="10"/>
  <c r="P801" i="10"/>
  <c r="AO801" i="10" s="1"/>
  <c r="AQ801" i="10" s="1"/>
  <c r="O801" i="10"/>
  <c r="N801" i="10"/>
  <c r="AK800" i="10"/>
  <c r="AB800" i="10"/>
  <c r="AA800" i="10"/>
  <c r="X800" i="10"/>
  <c r="Y800" i="10" s="1"/>
  <c r="V800" i="10"/>
  <c r="W800" i="10" s="1"/>
  <c r="T800" i="10"/>
  <c r="U800" i="10" s="1"/>
  <c r="S800" i="10"/>
  <c r="P800" i="10"/>
  <c r="AO800" i="10" s="1"/>
  <c r="AQ800" i="10" s="1"/>
  <c r="O800" i="10"/>
  <c r="N800" i="10"/>
  <c r="AK799" i="10"/>
  <c r="AB799" i="10"/>
  <c r="AA799" i="10"/>
  <c r="X799" i="10"/>
  <c r="Y799" i="10" s="1"/>
  <c r="V799" i="10"/>
  <c r="W799" i="10" s="1"/>
  <c r="T799" i="10"/>
  <c r="U799" i="10" s="1"/>
  <c r="S799" i="10"/>
  <c r="P799" i="10"/>
  <c r="AO799" i="10" s="1"/>
  <c r="AQ799" i="10" s="1"/>
  <c r="O799" i="10"/>
  <c r="N799" i="10"/>
  <c r="AK798" i="10"/>
  <c r="AB798" i="10"/>
  <c r="AA798" i="10"/>
  <c r="X798" i="10"/>
  <c r="Y798" i="10" s="1"/>
  <c r="V798" i="10"/>
  <c r="W798" i="10" s="1"/>
  <c r="T798" i="10"/>
  <c r="U798" i="10" s="1"/>
  <c r="S798" i="10"/>
  <c r="P798" i="10"/>
  <c r="AO798" i="10" s="1"/>
  <c r="AQ798" i="10" s="1"/>
  <c r="O798" i="10"/>
  <c r="N798" i="10"/>
  <c r="AK797" i="10"/>
  <c r="AB797" i="10"/>
  <c r="AA797" i="10"/>
  <c r="X797" i="10"/>
  <c r="Y797" i="10" s="1"/>
  <c r="V797" i="10"/>
  <c r="W797" i="10" s="1"/>
  <c r="T797" i="10"/>
  <c r="U797" i="10" s="1"/>
  <c r="S797" i="10"/>
  <c r="P797" i="10"/>
  <c r="AO797" i="10" s="1"/>
  <c r="AQ797" i="10" s="1"/>
  <c r="O797" i="10"/>
  <c r="N797" i="10"/>
  <c r="AK796" i="10"/>
  <c r="AB796" i="10"/>
  <c r="AA796" i="10"/>
  <c r="X796" i="10"/>
  <c r="Y796" i="10" s="1"/>
  <c r="V796" i="10"/>
  <c r="W796" i="10" s="1"/>
  <c r="T796" i="10"/>
  <c r="U796" i="10" s="1"/>
  <c r="S796" i="10"/>
  <c r="P796" i="10"/>
  <c r="AO796" i="10" s="1"/>
  <c r="AQ796" i="10" s="1"/>
  <c r="O796" i="10"/>
  <c r="N796" i="10"/>
  <c r="AK795" i="10"/>
  <c r="AB795" i="10"/>
  <c r="AA795" i="10"/>
  <c r="X795" i="10"/>
  <c r="Y795" i="10" s="1"/>
  <c r="V795" i="10"/>
  <c r="W795" i="10" s="1"/>
  <c r="T795" i="10"/>
  <c r="U795" i="10" s="1"/>
  <c r="S795" i="10"/>
  <c r="P795" i="10"/>
  <c r="AO795" i="10" s="1"/>
  <c r="AQ795" i="10" s="1"/>
  <c r="O795" i="10"/>
  <c r="N795" i="10"/>
  <c r="AK794" i="10"/>
  <c r="AB794" i="10"/>
  <c r="AA794" i="10"/>
  <c r="X794" i="10"/>
  <c r="Y794" i="10" s="1"/>
  <c r="V794" i="10"/>
  <c r="W794" i="10" s="1"/>
  <c r="T794" i="10"/>
  <c r="U794" i="10" s="1"/>
  <c r="S794" i="10"/>
  <c r="P794" i="10"/>
  <c r="AO794" i="10" s="1"/>
  <c r="AQ794" i="10" s="1"/>
  <c r="O794" i="10"/>
  <c r="N794" i="10"/>
  <c r="AK793" i="10"/>
  <c r="AB793" i="10"/>
  <c r="AA793" i="10"/>
  <c r="X793" i="10"/>
  <c r="Y793" i="10" s="1"/>
  <c r="V793" i="10"/>
  <c r="W793" i="10" s="1"/>
  <c r="T793" i="10"/>
  <c r="U793" i="10" s="1"/>
  <c r="S793" i="10"/>
  <c r="P793" i="10"/>
  <c r="AO793" i="10" s="1"/>
  <c r="AQ793" i="10" s="1"/>
  <c r="O793" i="10"/>
  <c r="N793" i="10"/>
  <c r="AK792" i="10"/>
  <c r="AB792" i="10"/>
  <c r="AA792" i="10"/>
  <c r="X792" i="10"/>
  <c r="Y792" i="10" s="1"/>
  <c r="V792" i="10"/>
  <c r="W792" i="10" s="1"/>
  <c r="T792" i="10"/>
  <c r="U792" i="10" s="1"/>
  <c r="S792" i="10"/>
  <c r="P792" i="10"/>
  <c r="AO792" i="10" s="1"/>
  <c r="AQ792" i="10" s="1"/>
  <c r="O792" i="10"/>
  <c r="N792" i="10"/>
  <c r="AK791" i="10"/>
  <c r="AB791" i="10"/>
  <c r="AA791" i="10"/>
  <c r="X791" i="10"/>
  <c r="Y791" i="10" s="1"/>
  <c r="V791" i="10"/>
  <c r="W791" i="10" s="1"/>
  <c r="T791" i="10"/>
  <c r="U791" i="10" s="1"/>
  <c r="S791" i="10"/>
  <c r="P791" i="10"/>
  <c r="AO791" i="10" s="1"/>
  <c r="AQ791" i="10" s="1"/>
  <c r="O791" i="10"/>
  <c r="N791" i="10"/>
  <c r="AK790" i="10"/>
  <c r="AB790" i="10"/>
  <c r="AA790" i="10"/>
  <c r="X790" i="10"/>
  <c r="Y790" i="10" s="1"/>
  <c r="V790" i="10"/>
  <c r="W790" i="10" s="1"/>
  <c r="T790" i="10"/>
  <c r="U790" i="10" s="1"/>
  <c r="S790" i="10"/>
  <c r="P790" i="10"/>
  <c r="AO790" i="10" s="1"/>
  <c r="AQ790" i="10" s="1"/>
  <c r="O790" i="10"/>
  <c r="N790" i="10"/>
  <c r="AK789" i="10"/>
  <c r="AB789" i="10"/>
  <c r="AA789" i="10"/>
  <c r="X789" i="10"/>
  <c r="Y789" i="10" s="1"/>
  <c r="V789" i="10"/>
  <c r="W789" i="10" s="1"/>
  <c r="T789" i="10"/>
  <c r="U789" i="10" s="1"/>
  <c r="S789" i="10"/>
  <c r="P789" i="10"/>
  <c r="AO789" i="10" s="1"/>
  <c r="AQ789" i="10" s="1"/>
  <c r="O789" i="10"/>
  <c r="N789" i="10"/>
  <c r="AK788" i="10"/>
  <c r="AB788" i="10"/>
  <c r="AA788" i="10"/>
  <c r="X788" i="10"/>
  <c r="Y788" i="10" s="1"/>
  <c r="V788" i="10"/>
  <c r="W788" i="10" s="1"/>
  <c r="T788" i="10"/>
  <c r="U788" i="10" s="1"/>
  <c r="S788" i="10"/>
  <c r="P788" i="10"/>
  <c r="AO788" i="10" s="1"/>
  <c r="AQ788" i="10" s="1"/>
  <c r="O788" i="10"/>
  <c r="N788" i="10"/>
  <c r="AK787" i="10"/>
  <c r="AB787" i="10"/>
  <c r="AA787" i="10"/>
  <c r="X787" i="10"/>
  <c r="Y787" i="10" s="1"/>
  <c r="V787" i="10"/>
  <c r="W787" i="10" s="1"/>
  <c r="T787" i="10"/>
  <c r="U787" i="10" s="1"/>
  <c r="S787" i="10"/>
  <c r="P787" i="10"/>
  <c r="AO787" i="10" s="1"/>
  <c r="AQ787" i="10" s="1"/>
  <c r="O787" i="10"/>
  <c r="N787" i="10"/>
  <c r="AK786" i="10"/>
  <c r="AB786" i="10"/>
  <c r="AA786" i="10"/>
  <c r="X786" i="10"/>
  <c r="Y786" i="10" s="1"/>
  <c r="V786" i="10"/>
  <c r="W786" i="10" s="1"/>
  <c r="T786" i="10"/>
  <c r="U786" i="10" s="1"/>
  <c r="S786" i="10"/>
  <c r="P786" i="10"/>
  <c r="AO786" i="10" s="1"/>
  <c r="AQ786" i="10" s="1"/>
  <c r="O786" i="10"/>
  <c r="N786" i="10"/>
  <c r="AK785" i="10"/>
  <c r="AB785" i="10"/>
  <c r="AA785" i="10"/>
  <c r="X785" i="10"/>
  <c r="Y785" i="10" s="1"/>
  <c r="V785" i="10"/>
  <c r="W785" i="10" s="1"/>
  <c r="T785" i="10"/>
  <c r="U785" i="10" s="1"/>
  <c r="S785" i="10"/>
  <c r="P785" i="10"/>
  <c r="AO785" i="10" s="1"/>
  <c r="AQ785" i="10" s="1"/>
  <c r="O785" i="10"/>
  <c r="N785" i="10"/>
  <c r="AK784" i="10"/>
  <c r="AB784" i="10"/>
  <c r="AA784" i="10"/>
  <c r="X784" i="10"/>
  <c r="Y784" i="10" s="1"/>
  <c r="V784" i="10"/>
  <c r="W784" i="10" s="1"/>
  <c r="T784" i="10"/>
  <c r="U784" i="10" s="1"/>
  <c r="S784" i="10"/>
  <c r="P784" i="10"/>
  <c r="AO784" i="10" s="1"/>
  <c r="AQ784" i="10" s="1"/>
  <c r="O784" i="10"/>
  <c r="N784" i="10"/>
  <c r="AK783" i="10"/>
  <c r="AB783" i="10"/>
  <c r="AA783" i="10"/>
  <c r="X783" i="10"/>
  <c r="Y783" i="10" s="1"/>
  <c r="V783" i="10"/>
  <c r="W783" i="10" s="1"/>
  <c r="T783" i="10"/>
  <c r="U783" i="10" s="1"/>
  <c r="S783" i="10"/>
  <c r="P783" i="10"/>
  <c r="AO783" i="10" s="1"/>
  <c r="AQ783" i="10" s="1"/>
  <c r="O783" i="10"/>
  <c r="N783" i="10"/>
  <c r="AK782" i="10"/>
  <c r="AB782" i="10"/>
  <c r="AA782" i="10"/>
  <c r="X782" i="10"/>
  <c r="Y782" i="10" s="1"/>
  <c r="V782" i="10"/>
  <c r="W782" i="10" s="1"/>
  <c r="T782" i="10"/>
  <c r="U782" i="10" s="1"/>
  <c r="S782" i="10"/>
  <c r="P782" i="10"/>
  <c r="AO782" i="10" s="1"/>
  <c r="AQ782" i="10" s="1"/>
  <c r="O782" i="10"/>
  <c r="N782" i="10"/>
  <c r="AK781" i="10"/>
  <c r="AB781" i="10"/>
  <c r="AA781" i="10"/>
  <c r="X781" i="10"/>
  <c r="Y781" i="10" s="1"/>
  <c r="V781" i="10"/>
  <c r="W781" i="10" s="1"/>
  <c r="T781" i="10"/>
  <c r="U781" i="10" s="1"/>
  <c r="S781" i="10"/>
  <c r="P781" i="10"/>
  <c r="AO781" i="10" s="1"/>
  <c r="AQ781" i="10" s="1"/>
  <c r="O781" i="10"/>
  <c r="N781" i="10"/>
  <c r="AK780" i="10"/>
  <c r="AB780" i="10"/>
  <c r="AA780" i="10"/>
  <c r="X780" i="10"/>
  <c r="Y780" i="10" s="1"/>
  <c r="V780" i="10"/>
  <c r="W780" i="10" s="1"/>
  <c r="T780" i="10"/>
  <c r="U780" i="10" s="1"/>
  <c r="S780" i="10"/>
  <c r="P780" i="10"/>
  <c r="AO780" i="10" s="1"/>
  <c r="AQ780" i="10" s="1"/>
  <c r="O780" i="10"/>
  <c r="N780" i="10"/>
  <c r="AK779" i="10"/>
  <c r="AB779" i="10"/>
  <c r="AA779" i="10"/>
  <c r="X779" i="10"/>
  <c r="Y779" i="10" s="1"/>
  <c r="V779" i="10"/>
  <c r="W779" i="10" s="1"/>
  <c r="T779" i="10"/>
  <c r="U779" i="10" s="1"/>
  <c r="S779" i="10"/>
  <c r="P779" i="10"/>
  <c r="AO779" i="10" s="1"/>
  <c r="AQ779" i="10" s="1"/>
  <c r="O779" i="10"/>
  <c r="N779" i="10"/>
  <c r="AK778" i="10"/>
  <c r="AB778" i="10"/>
  <c r="AA778" i="10"/>
  <c r="X778" i="10"/>
  <c r="Y778" i="10" s="1"/>
  <c r="V778" i="10"/>
  <c r="W778" i="10" s="1"/>
  <c r="T778" i="10"/>
  <c r="U778" i="10" s="1"/>
  <c r="S778" i="10"/>
  <c r="P778" i="10"/>
  <c r="AO778" i="10" s="1"/>
  <c r="AQ778" i="10" s="1"/>
  <c r="O778" i="10"/>
  <c r="N778" i="10"/>
  <c r="AK777" i="10"/>
  <c r="AB777" i="10"/>
  <c r="AA777" i="10"/>
  <c r="X777" i="10"/>
  <c r="Y777" i="10" s="1"/>
  <c r="V777" i="10"/>
  <c r="W777" i="10" s="1"/>
  <c r="T777" i="10"/>
  <c r="U777" i="10" s="1"/>
  <c r="S777" i="10"/>
  <c r="P777" i="10"/>
  <c r="AO777" i="10" s="1"/>
  <c r="AQ777" i="10" s="1"/>
  <c r="O777" i="10"/>
  <c r="N777" i="10"/>
  <c r="AK776" i="10"/>
  <c r="AB776" i="10"/>
  <c r="AA776" i="10"/>
  <c r="X776" i="10"/>
  <c r="Y776" i="10" s="1"/>
  <c r="V776" i="10"/>
  <c r="W776" i="10" s="1"/>
  <c r="T776" i="10"/>
  <c r="U776" i="10" s="1"/>
  <c r="S776" i="10"/>
  <c r="P776" i="10"/>
  <c r="AO776" i="10" s="1"/>
  <c r="AQ776" i="10" s="1"/>
  <c r="O776" i="10"/>
  <c r="N776" i="10"/>
  <c r="AK775" i="10"/>
  <c r="AB775" i="10"/>
  <c r="AA775" i="10"/>
  <c r="X775" i="10"/>
  <c r="Y775" i="10" s="1"/>
  <c r="V775" i="10"/>
  <c r="W775" i="10" s="1"/>
  <c r="T775" i="10"/>
  <c r="U775" i="10" s="1"/>
  <c r="S775" i="10"/>
  <c r="P775" i="10"/>
  <c r="AO775" i="10" s="1"/>
  <c r="AQ775" i="10" s="1"/>
  <c r="O775" i="10"/>
  <c r="N775" i="10"/>
  <c r="AK774" i="10"/>
  <c r="AB774" i="10"/>
  <c r="AA774" i="10"/>
  <c r="X774" i="10"/>
  <c r="Y774" i="10" s="1"/>
  <c r="V774" i="10"/>
  <c r="W774" i="10" s="1"/>
  <c r="T774" i="10"/>
  <c r="U774" i="10" s="1"/>
  <c r="S774" i="10"/>
  <c r="P774" i="10"/>
  <c r="AO774" i="10" s="1"/>
  <c r="AQ774" i="10" s="1"/>
  <c r="O774" i="10"/>
  <c r="N774" i="10"/>
  <c r="AK773" i="10"/>
  <c r="AB773" i="10"/>
  <c r="AA773" i="10"/>
  <c r="X773" i="10"/>
  <c r="Y773" i="10" s="1"/>
  <c r="V773" i="10"/>
  <c r="W773" i="10" s="1"/>
  <c r="T773" i="10"/>
  <c r="U773" i="10" s="1"/>
  <c r="S773" i="10"/>
  <c r="P773" i="10"/>
  <c r="AO773" i="10" s="1"/>
  <c r="AQ773" i="10" s="1"/>
  <c r="O773" i="10"/>
  <c r="N773" i="10"/>
  <c r="AK772" i="10"/>
  <c r="AB772" i="10"/>
  <c r="AA772" i="10"/>
  <c r="X772" i="10"/>
  <c r="Y772" i="10" s="1"/>
  <c r="V772" i="10"/>
  <c r="W772" i="10" s="1"/>
  <c r="T772" i="10"/>
  <c r="U772" i="10" s="1"/>
  <c r="S772" i="10"/>
  <c r="P772" i="10"/>
  <c r="AO772" i="10" s="1"/>
  <c r="AQ772" i="10" s="1"/>
  <c r="O772" i="10"/>
  <c r="N772" i="10"/>
  <c r="AK771" i="10"/>
  <c r="AB771" i="10"/>
  <c r="AA771" i="10"/>
  <c r="X771" i="10"/>
  <c r="Y771" i="10" s="1"/>
  <c r="V771" i="10"/>
  <c r="W771" i="10" s="1"/>
  <c r="T771" i="10"/>
  <c r="U771" i="10" s="1"/>
  <c r="S771" i="10"/>
  <c r="P771" i="10"/>
  <c r="AO771" i="10" s="1"/>
  <c r="AQ771" i="10" s="1"/>
  <c r="O771" i="10"/>
  <c r="N771" i="10"/>
  <c r="AK770" i="10"/>
  <c r="AB770" i="10"/>
  <c r="AA770" i="10"/>
  <c r="X770" i="10"/>
  <c r="Y770" i="10" s="1"/>
  <c r="V770" i="10"/>
  <c r="W770" i="10" s="1"/>
  <c r="T770" i="10"/>
  <c r="U770" i="10" s="1"/>
  <c r="S770" i="10"/>
  <c r="P770" i="10"/>
  <c r="AO770" i="10" s="1"/>
  <c r="AQ770" i="10" s="1"/>
  <c r="O770" i="10"/>
  <c r="N770" i="10"/>
  <c r="AK769" i="10"/>
  <c r="AB769" i="10"/>
  <c r="AA769" i="10"/>
  <c r="X769" i="10"/>
  <c r="Y769" i="10" s="1"/>
  <c r="V769" i="10"/>
  <c r="W769" i="10" s="1"/>
  <c r="T769" i="10"/>
  <c r="U769" i="10" s="1"/>
  <c r="S769" i="10"/>
  <c r="P769" i="10"/>
  <c r="AO769" i="10" s="1"/>
  <c r="AQ769" i="10" s="1"/>
  <c r="O769" i="10"/>
  <c r="N769" i="10"/>
  <c r="AK768" i="10"/>
  <c r="AB768" i="10"/>
  <c r="AA768" i="10"/>
  <c r="X768" i="10"/>
  <c r="Y768" i="10" s="1"/>
  <c r="V768" i="10"/>
  <c r="W768" i="10" s="1"/>
  <c r="T768" i="10"/>
  <c r="U768" i="10" s="1"/>
  <c r="S768" i="10"/>
  <c r="P768" i="10"/>
  <c r="AO768" i="10" s="1"/>
  <c r="AQ768" i="10" s="1"/>
  <c r="O768" i="10"/>
  <c r="N768" i="10"/>
  <c r="AK767" i="10"/>
  <c r="AB767" i="10"/>
  <c r="AA767" i="10"/>
  <c r="X767" i="10"/>
  <c r="Y767" i="10" s="1"/>
  <c r="V767" i="10"/>
  <c r="W767" i="10" s="1"/>
  <c r="T767" i="10"/>
  <c r="U767" i="10" s="1"/>
  <c r="S767" i="10"/>
  <c r="P767" i="10"/>
  <c r="AO767" i="10" s="1"/>
  <c r="AQ767" i="10" s="1"/>
  <c r="O767" i="10"/>
  <c r="N767" i="10"/>
  <c r="AK766" i="10"/>
  <c r="AB766" i="10"/>
  <c r="AA766" i="10"/>
  <c r="X766" i="10"/>
  <c r="Y766" i="10" s="1"/>
  <c r="V766" i="10"/>
  <c r="W766" i="10" s="1"/>
  <c r="T766" i="10"/>
  <c r="U766" i="10" s="1"/>
  <c r="S766" i="10"/>
  <c r="P766" i="10"/>
  <c r="AO766" i="10" s="1"/>
  <c r="AQ766" i="10" s="1"/>
  <c r="O766" i="10"/>
  <c r="N766" i="10"/>
  <c r="AK765" i="10"/>
  <c r="AB765" i="10"/>
  <c r="AA765" i="10"/>
  <c r="X765" i="10"/>
  <c r="Y765" i="10" s="1"/>
  <c r="V765" i="10"/>
  <c r="W765" i="10" s="1"/>
  <c r="T765" i="10"/>
  <c r="U765" i="10" s="1"/>
  <c r="S765" i="10"/>
  <c r="P765" i="10"/>
  <c r="AO765" i="10" s="1"/>
  <c r="AQ765" i="10" s="1"/>
  <c r="O765" i="10"/>
  <c r="N765" i="10"/>
  <c r="AK764" i="10"/>
  <c r="AB764" i="10"/>
  <c r="AA764" i="10"/>
  <c r="X764" i="10"/>
  <c r="Y764" i="10" s="1"/>
  <c r="V764" i="10"/>
  <c r="W764" i="10" s="1"/>
  <c r="T764" i="10"/>
  <c r="U764" i="10" s="1"/>
  <c r="S764" i="10"/>
  <c r="P764" i="10"/>
  <c r="AO764" i="10" s="1"/>
  <c r="AQ764" i="10" s="1"/>
  <c r="O764" i="10"/>
  <c r="N764" i="10"/>
  <c r="AK763" i="10"/>
  <c r="AB763" i="10"/>
  <c r="AA763" i="10"/>
  <c r="X763" i="10"/>
  <c r="Y763" i="10" s="1"/>
  <c r="V763" i="10"/>
  <c r="W763" i="10" s="1"/>
  <c r="T763" i="10"/>
  <c r="U763" i="10" s="1"/>
  <c r="S763" i="10"/>
  <c r="P763" i="10"/>
  <c r="AO763" i="10" s="1"/>
  <c r="AQ763" i="10" s="1"/>
  <c r="O763" i="10"/>
  <c r="N763" i="10"/>
  <c r="AK762" i="10"/>
  <c r="AB762" i="10"/>
  <c r="AA762" i="10"/>
  <c r="X762" i="10"/>
  <c r="Y762" i="10" s="1"/>
  <c r="V762" i="10"/>
  <c r="W762" i="10" s="1"/>
  <c r="T762" i="10"/>
  <c r="U762" i="10" s="1"/>
  <c r="S762" i="10"/>
  <c r="P762" i="10"/>
  <c r="AO762" i="10" s="1"/>
  <c r="AQ762" i="10" s="1"/>
  <c r="O762" i="10"/>
  <c r="N762" i="10"/>
  <c r="AK761" i="10"/>
  <c r="AB761" i="10"/>
  <c r="AA761" i="10"/>
  <c r="X761" i="10"/>
  <c r="Y761" i="10" s="1"/>
  <c r="V761" i="10"/>
  <c r="W761" i="10" s="1"/>
  <c r="T761" i="10"/>
  <c r="U761" i="10" s="1"/>
  <c r="S761" i="10"/>
  <c r="P761" i="10"/>
  <c r="AO761" i="10" s="1"/>
  <c r="AQ761" i="10" s="1"/>
  <c r="O761" i="10"/>
  <c r="N761" i="10"/>
  <c r="AK760" i="10"/>
  <c r="AB760" i="10"/>
  <c r="AA760" i="10"/>
  <c r="X760" i="10"/>
  <c r="Y760" i="10" s="1"/>
  <c r="V760" i="10"/>
  <c r="W760" i="10" s="1"/>
  <c r="T760" i="10"/>
  <c r="U760" i="10" s="1"/>
  <c r="S760" i="10"/>
  <c r="P760" i="10"/>
  <c r="AO760" i="10" s="1"/>
  <c r="AQ760" i="10" s="1"/>
  <c r="O760" i="10"/>
  <c r="N760" i="10"/>
  <c r="AK759" i="10"/>
  <c r="AB759" i="10"/>
  <c r="AA759" i="10"/>
  <c r="X759" i="10"/>
  <c r="Y759" i="10" s="1"/>
  <c r="V759" i="10"/>
  <c r="W759" i="10" s="1"/>
  <c r="T759" i="10"/>
  <c r="U759" i="10" s="1"/>
  <c r="S759" i="10"/>
  <c r="P759" i="10"/>
  <c r="AO759" i="10" s="1"/>
  <c r="AQ759" i="10" s="1"/>
  <c r="O759" i="10"/>
  <c r="N759" i="10"/>
  <c r="AK758" i="10"/>
  <c r="AB758" i="10"/>
  <c r="AA758" i="10"/>
  <c r="X758" i="10"/>
  <c r="Y758" i="10" s="1"/>
  <c r="V758" i="10"/>
  <c r="W758" i="10" s="1"/>
  <c r="T758" i="10"/>
  <c r="U758" i="10" s="1"/>
  <c r="S758" i="10"/>
  <c r="P758" i="10"/>
  <c r="AO758" i="10" s="1"/>
  <c r="AQ758" i="10" s="1"/>
  <c r="O758" i="10"/>
  <c r="N758" i="10"/>
  <c r="AK757" i="10"/>
  <c r="AB757" i="10"/>
  <c r="AA757" i="10"/>
  <c r="X757" i="10"/>
  <c r="Y757" i="10" s="1"/>
  <c r="V757" i="10"/>
  <c r="W757" i="10" s="1"/>
  <c r="T757" i="10"/>
  <c r="U757" i="10" s="1"/>
  <c r="S757" i="10"/>
  <c r="P757" i="10"/>
  <c r="AO757" i="10" s="1"/>
  <c r="AQ757" i="10" s="1"/>
  <c r="O757" i="10"/>
  <c r="N757" i="10"/>
  <c r="AK756" i="10"/>
  <c r="AB756" i="10"/>
  <c r="AA756" i="10"/>
  <c r="X756" i="10"/>
  <c r="Y756" i="10" s="1"/>
  <c r="V756" i="10"/>
  <c r="W756" i="10" s="1"/>
  <c r="T756" i="10"/>
  <c r="U756" i="10" s="1"/>
  <c r="S756" i="10"/>
  <c r="P756" i="10"/>
  <c r="AO756" i="10" s="1"/>
  <c r="AQ756" i="10" s="1"/>
  <c r="O756" i="10"/>
  <c r="N756" i="10"/>
  <c r="AK755" i="10"/>
  <c r="AB755" i="10"/>
  <c r="AA755" i="10"/>
  <c r="X755" i="10"/>
  <c r="Y755" i="10" s="1"/>
  <c r="V755" i="10"/>
  <c r="W755" i="10" s="1"/>
  <c r="T755" i="10"/>
  <c r="U755" i="10" s="1"/>
  <c r="S755" i="10"/>
  <c r="P755" i="10"/>
  <c r="AO755" i="10" s="1"/>
  <c r="AQ755" i="10" s="1"/>
  <c r="O755" i="10"/>
  <c r="N755" i="10"/>
  <c r="AK754" i="10"/>
  <c r="AB754" i="10"/>
  <c r="AA754" i="10"/>
  <c r="X754" i="10"/>
  <c r="Y754" i="10" s="1"/>
  <c r="V754" i="10"/>
  <c r="W754" i="10" s="1"/>
  <c r="T754" i="10"/>
  <c r="U754" i="10" s="1"/>
  <c r="S754" i="10"/>
  <c r="P754" i="10"/>
  <c r="AO754" i="10" s="1"/>
  <c r="AQ754" i="10" s="1"/>
  <c r="O754" i="10"/>
  <c r="N754" i="10"/>
  <c r="AK753" i="10"/>
  <c r="AB753" i="10"/>
  <c r="AA753" i="10"/>
  <c r="X753" i="10"/>
  <c r="Y753" i="10" s="1"/>
  <c r="V753" i="10"/>
  <c r="W753" i="10" s="1"/>
  <c r="T753" i="10"/>
  <c r="U753" i="10" s="1"/>
  <c r="S753" i="10"/>
  <c r="P753" i="10"/>
  <c r="AO753" i="10" s="1"/>
  <c r="AQ753" i="10" s="1"/>
  <c r="O753" i="10"/>
  <c r="N753" i="10"/>
  <c r="AK752" i="10"/>
  <c r="AB752" i="10"/>
  <c r="AA752" i="10"/>
  <c r="X752" i="10"/>
  <c r="Y752" i="10" s="1"/>
  <c r="V752" i="10"/>
  <c r="W752" i="10" s="1"/>
  <c r="T752" i="10"/>
  <c r="U752" i="10" s="1"/>
  <c r="S752" i="10"/>
  <c r="P752" i="10"/>
  <c r="AO752" i="10" s="1"/>
  <c r="AQ752" i="10" s="1"/>
  <c r="O752" i="10"/>
  <c r="N752" i="10"/>
  <c r="AK751" i="10"/>
  <c r="AB751" i="10"/>
  <c r="AA751" i="10"/>
  <c r="X751" i="10"/>
  <c r="Y751" i="10" s="1"/>
  <c r="V751" i="10"/>
  <c r="W751" i="10" s="1"/>
  <c r="T751" i="10"/>
  <c r="U751" i="10" s="1"/>
  <c r="S751" i="10"/>
  <c r="P751" i="10"/>
  <c r="AO751" i="10" s="1"/>
  <c r="AQ751" i="10" s="1"/>
  <c r="O751" i="10"/>
  <c r="N751" i="10"/>
  <c r="AK750" i="10"/>
  <c r="AB750" i="10"/>
  <c r="AA750" i="10"/>
  <c r="X750" i="10"/>
  <c r="Y750" i="10" s="1"/>
  <c r="V750" i="10"/>
  <c r="W750" i="10" s="1"/>
  <c r="T750" i="10"/>
  <c r="U750" i="10" s="1"/>
  <c r="S750" i="10"/>
  <c r="P750" i="10"/>
  <c r="AO750" i="10" s="1"/>
  <c r="AQ750" i="10" s="1"/>
  <c r="O750" i="10"/>
  <c r="N750" i="10"/>
  <c r="AO749" i="10"/>
  <c r="AQ749" i="10" s="1"/>
  <c r="AK749" i="10"/>
  <c r="AL749" i="10" s="1"/>
  <c r="AI749" i="10"/>
  <c r="AC749" i="10"/>
  <c r="AB749" i="10"/>
  <c r="AA749" i="10"/>
  <c r="Z749" i="10"/>
  <c r="AN749" i="10" s="1"/>
  <c r="X749" i="10"/>
  <c r="Y749" i="10" s="1"/>
  <c r="V749" i="10"/>
  <c r="W749" i="10" s="1"/>
  <c r="T749" i="10"/>
  <c r="U749" i="10" s="1"/>
  <c r="S749" i="10"/>
  <c r="R749" i="10"/>
  <c r="Q749" i="10"/>
  <c r="P749" i="10"/>
  <c r="O749" i="10"/>
  <c r="N749" i="10"/>
  <c r="AK748" i="10"/>
  <c r="AB748" i="10"/>
  <c r="AA748" i="10"/>
  <c r="X748" i="10"/>
  <c r="Y748" i="10" s="1"/>
  <c r="V748" i="10"/>
  <c r="W748" i="10" s="1"/>
  <c r="T748" i="10"/>
  <c r="U748" i="10" s="1"/>
  <c r="S748" i="10"/>
  <c r="P748" i="10"/>
  <c r="AO748" i="10" s="1"/>
  <c r="AQ748" i="10" s="1"/>
  <c r="O748" i="10"/>
  <c r="N748" i="10"/>
  <c r="AK747" i="10"/>
  <c r="AB747" i="10"/>
  <c r="AA747" i="10"/>
  <c r="X747" i="10"/>
  <c r="Y747" i="10" s="1"/>
  <c r="V747" i="10"/>
  <c r="W747" i="10" s="1"/>
  <c r="T747" i="10"/>
  <c r="U747" i="10" s="1"/>
  <c r="S747" i="10"/>
  <c r="P747" i="10"/>
  <c r="AO747" i="10" s="1"/>
  <c r="AQ747" i="10" s="1"/>
  <c r="O747" i="10"/>
  <c r="N747" i="10"/>
  <c r="AK746" i="10"/>
  <c r="AB746" i="10"/>
  <c r="AA746" i="10"/>
  <c r="X746" i="10"/>
  <c r="Y746" i="10" s="1"/>
  <c r="V746" i="10"/>
  <c r="W746" i="10" s="1"/>
  <c r="T746" i="10"/>
  <c r="U746" i="10" s="1"/>
  <c r="S746" i="10"/>
  <c r="P746" i="10"/>
  <c r="AO746" i="10" s="1"/>
  <c r="AQ746" i="10" s="1"/>
  <c r="O746" i="10"/>
  <c r="N746" i="10"/>
  <c r="AK745" i="10"/>
  <c r="AB745" i="10"/>
  <c r="AA745" i="10"/>
  <c r="X745" i="10"/>
  <c r="Y745" i="10" s="1"/>
  <c r="V745" i="10"/>
  <c r="W745" i="10" s="1"/>
  <c r="T745" i="10"/>
  <c r="U745" i="10" s="1"/>
  <c r="S745" i="10"/>
  <c r="P745" i="10"/>
  <c r="AO745" i="10" s="1"/>
  <c r="AQ745" i="10" s="1"/>
  <c r="O745" i="10"/>
  <c r="N745" i="10"/>
  <c r="AK744" i="10"/>
  <c r="AB744" i="10"/>
  <c r="AA744" i="10"/>
  <c r="X744" i="10"/>
  <c r="Y744" i="10" s="1"/>
  <c r="V744" i="10"/>
  <c r="W744" i="10" s="1"/>
  <c r="T744" i="10"/>
  <c r="U744" i="10" s="1"/>
  <c r="S744" i="10"/>
  <c r="P744" i="10"/>
  <c r="AO744" i="10" s="1"/>
  <c r="AQ744" i="10" s="1"/>
  <c r="O744" i="10"/>
  <c r="N744" i="10"/>
  <c r="AK743" i="10"/>
  <c r="AB743" i="10"/>
  <c r="AA743" i="10"/>
  <c r="X743" i="10"/>
  <c r="Y743" i="10" s="1"/>
  <c r="V743" i="10"/>
  <c r="W743" i="10" s="1"/>
  <c r="T743" i="10"/>
  <c r="U743" i="10" s="1"/>
  <c r="S743" i="10"/>
  <c r="P743" i="10"/>
  <c r="AO743" i="10" s="1"/>
  <c r="AQ743" i="10" s="1"/>
  <c r="O743" i="10"/>
  <c r="N743" i="10"/>
  <c r="AK742" i="10"/>
  <c r="AB742" i="10"/>
  <c r="AA742" i="10"/>
  <c r="X742" i="10"/>
  <c r="Y742" i="10" s="1"/>
  <c r="V742" i="10"/>
  <c r="W742" i="10" s="1"/>
  <c r="T742" i="10"/>
  <c r="U742" i="10" s="1"/>
  <c r="S742" i="10"/>
  <c r="P742" i="10"/>
  <c r="AO742" i="10" s="1"/>
  <c r="AQ742" i="10" s="1"/>
  <c r="O742" i="10"/>
  <c r="N742" i="10"/>
  <c r="AK741" i="10"/>
  <c r="AB741" i="10"/>
  <c r="AA741" i="10"/>
  <c r="X741" i="10"/>
  <c r="Y741" i="10" s="1"/>
  <c r="V741" i="10"/>
  <c r="W741" i="10" s="1"/>
  <c r="T741" i="10"/>
  <c r="U741" i="10" s="1"/>
  <c r="S741" i="10"/>
  <c r="P741" i="10"/>
  <c r="AO741" i="10" s="1"/>
  <c r="AQ741" i="10" s="1"/>
  <c r="O741" i="10"/>
  <c r="N741" i="10"/>
  <c r="AK740" i="10"/>
  <c r="AB740" i="10"/>
  <c r="AA740" i="10"/>
  <c r="X740" i="10"/>
  <c r="Y740" i="10" s="1"/>
  <c r="V740" i="10"/>
  <c r="W740" i="10" s="1"/>
  <c r="T740" i="10"/>
  <c r="U740" i="10" s="1"/>
  <c r="S740" i="10"/>
  <c r="P740" i="10"/>
  <c r="AO740" i="10" s="1"/>
  <c r="AQ740" i="10" s="1"/>
  <c r="O740" i="10"/>
  <c r="N740" i="10"/>
  <c r="AK739" i="10"/>
  <c r="AB739" i="10"/>
  <c r="AA739" i="10"/>
  <c r="X739" i="10"/>
  <c r="Y739" i="10" s="1"/>
  <c r="V739" i="10"/>
  <c r="W739" i="10" s="1"/>
  <c r="T739" i="10"/>
  <c r="U739" i="10" s="1"/>
  <c r="S739" i="10"/>
  <c r="P739" i="10"/>
  <c r="AO739" i="10" s="1"/>
  <c r="AQ739" i="10" s="1"/>
  <c r="O739" i="10"/>
  <c r="N739" i="10"/>
  <c r="AK738" i="10"/>
  <c r="AB738" i="10"/>
  <c r="AA738" i="10"/>
  <c r="X738" i="10"/>
  <c r="Y738" i="10" s="1"/>
  <c r="V738" i="10"/>
  <c r="W738" i="10" s="1"/>
  <c r="T738" i="10"/>
  <c r="U738" i="10" s="1"/>
  <c r="S738" i="10"/>
  <c r="P738" i="10"/>
  <c r="AO738" i="10" s="1"/>
  <c r="AQ738" i="10" s="1"/>
  <c r="O738" i="10"/>
  <c r="N738" i="10"/>
  <c r="AK737" i="10"/>
  <c r="AB737" i="10"/>
  <c r="AA737" i="10"/>
  <c r="X737" i="10"/>
  <c r="Y737" i="10" s="1"/>
  <c r="V737" i="10"/>
  <c r="W737" i="10" s="1"/>
  <c r="T737" i="10"/>
  <c r="U737" i="10" s="1"/>
  <c r="S737" i="10"/>
  <c r="P737" i="10"/>
  <c r="AO737" i="10" s="1"/>
  <c r="AQ737" i="10" s="1"/>
  <c r="O737" i="10"/>
  <c r="N737" i="10"/>
  <c r="AK736" i="10"/>
  <c r="AB736" i="10"/>
  <c r="AA736" i="10"/>
  <c r="X736" i="10"/>
  <c r="Y736" i="10" s="1"/>
  <c r="V736" i="10"/>
  <c r="W736" i="10" s="1"/>
  <c r="T736" i="10"/>
  <c r="U736" i="10" s="1"/>
  <c r="S736" i="10"/>
  <c r="P736" i="10"/>
  <c r="AO736" i="10" s="1"/>
  <c r="AQ736" i="10" s="1"/>
  <c r="O736" i="10"/>
  <c r="N736" i="10"/>
  <c r="AK735" i="10"/>
  <c r="AB735" i="10"/>
  <c r="AA735" i="10"/>
  <c r="X735" i="10"/>
  <c r="Y735" i="10" s="1"/>
  <c r="V735" i="10"/>
  <c r="W735" i="10" s="1"/>
  <c r="T735" i="10"/>
  <c r="U735" i="10" s="1"/>
  <c r="S735" i="10"/>
  <c r="P735" i="10"/>
  <c r="AO735" i="10" s="1"/>
  <c r="AQ735" i="10" s="1"/>
  <c r="O735" i="10"/>
  <c r="N735" i="10"/>
  <c r="AK734" i="10"/>
  <c r="AB734" i="10"/>
  <c r="AA734" i="10"/>
  <c r="X734" i="10"/>
  <c r="Y734" i="10" s="1"/>
  <c r="V734" i="10"/>
  <c r="W734" i="10" s="1"/>
  <c r="T734" i="10"/>
  <c r="U734" i="10" s="1"/>
  <c r="S734" i="10"/>
  <c r="P734" i="10"/>
  <c r="AO734" i="10" s="1"/>
  <c r="AQ734" i="10" s="1"/>
  <c r="O734" i="10"/>
  <c r="N734" i="10"/>
  <c r="AK733" i="10"/>
  <c r="AB733" i="10"/>
  <c r="AA733" i="10"/>
  <c r="X733" i="10"/>
  <c r="Y733" i="10" s="1"/>
  <c r="V733" i="10"/>
  <c r="W733" i="10" s="1"/>
  <c r="T733" i="10"/>
  <c r="U733" i="10" s="1"/>
  <c r="S733" i="10"/>
  <c r="P733" i="10"/>
  <c r="AO733" i="10" s="1"/>
  <c r="AQ733" i="10" s="1"/>
  <c r="O733" i="10"/>
  <c r="N733" i="10"/>
  <c r="AK732" i="10"/>
  <c r="AB732" i="10"/>
  <c r="AA732" i="10"/>
  <c r="X732" i="10"/>
  <c r="Y732" i="10" s="1"/>
  <c r="V732" i="10"/>
  <c r="W732" i="10" s="1"/>
  <c r="T732" i="10"/>
  <c r="U732" i="10" s="1"/>
  <c r="S732" i="10"/>
  <c r="P732" i="10"/>
  <c r="AO732" i="10" s="1"/>
  <c r="AQ732" i="10" s="1"/>
  <c r="O732" i="10"/>
  <c r="N732" i="10"/>
  <c r="AK731" i="10"/>
  <c r="AB731" i="10"/>
  <c r="AA731" i="10"/>
  <c r="X731" i="10"/>
  <c r="Y731" i="10" s="1"/>
  <c r="V731" i="10"/>
  <c r="W731" i="10" s="1"/>
  <c r="T731" i="10"/>
  <c r="U731" i="10" s="1"/>
  <c r="S731" i="10"/>
  <c r="P731" i="10"/>
  <c r="AO731" i="10" s="1"/>
  <c r="AQ731" i="10" s="1"/>
  <c r="O731" i="10"/>
  <c r="N731" i="10"/>
  <c r="AK730" i="10"/>
  <c r="AB730" i="10"/>
  <c r="AA730" i="10"/>
  <c r="X730" i="10"/>
  <c r="Y730" i="10" s="1"/>
  <c r="V730" i="10"/>
  <c r="W730" i="10" s="1"/>
  <c r="T730" i="10"/>
  <c r="U730" i="10" s="1"/>
  <c r="S730" i="10"/>
  <c r="P730" i="10"/>
  <c r="AO730" i="10" s="1"/>
  <c r="AQ730" i="10" s="1"/>
  <c r="O730" i="10"/>
  <c r="N730" i="10"/>
  <c r="AK729" i="10"/>
  <c r="AB729" i="10"/>
  <c r="AA729" i="10"/>
  <c r="X729" i="10"/>
  <c r="Y729" i="10" s="1"/>
  <c r="V729" i="10"/>
  <c r="W729" i="10" s="1"/>
  <c r="T729" i="10"/>
  <c r="U729" i="10" s="1"/>
  <c r="S729" i="10"/>
  <c r="P729" i="10"/>
  <c r="AO729" i="10" s="1"/>
  <c r="AQ729" i="10" s="1"/>
  <c r="O729" i="10"/>
  <c r="N729" i="10"/>
  <c r="AK728" i="10"/>
  <c r="AB728" i="10"/>
  <c r="AA728" i="10"/>
  <c r="X728" i="10"/>
  <c r="Y728" i="10" s="1"/>
  <c r="V728" i="10"/>
  <c r="W728" i="10" s="1"/>
  <c r="T728" i="10"/>
  <c r="U728" i="10" s="1"/>
  <c r="S728" i="10"/>
  <c r="P728" i="10"/>
  <c r="AO728" i="10" s="1"/>
  <c r="AQ728" i="10" s="1"/>
  <c r="O728" i="10"/>
  <c r="N728" i="10"/>
  <c r="AK727" i="10"/>
  <c r="AB727" i="10"/>
  <c r="AA727" i="10"/>
  <c r="X727" i="10"/>
  <c r="Y727" i="10" s="1"/>
  <c r="V727" i="10"/>
  <c r="W727" i="10" s="1"/>
  <c r="T727" i="10"/>
  <c r="U727" i="10" s="1"/>
  <c r="S727" i="10"/>
  <c r="P727" i="10"/>
  <c r="AO727" i="10" s="1"/>
  <c r="AQ727" i="10" s="1"/>
  <c r="O727" i="10"/>
  <c r="N727" i="10"/>
  <c r="AK726" i="10"/>
  <c r="AB726" i="10"/>
  <c r="AA726" i="10"/>
  <c r="X726" i="10"/>
  <c r="Y726" i="10" s="1"/>
  <c r="V726" i="10"/>
  <c r="W726" i="10" s="1"/>
  <c r="T726" i="10"/>
  <c r="U726" i="10" s="1"/>
  <c r="S726" i="10"/>
  <c r="P726" i="10"/>
  <c r="AO726" i="10" s="1"/>
  <c r="AQ726" i="10" s="1"/>
  <c r="O726" i="10"/>
  <c r="N726" i="10"/>
  <c r="AK725" i="10"/>
  <c r="AB725" i="10"/>
  <c r="AA725" i="10"/>
  <c r="X725" i="10"/>
  <c r="Y725" i="10" s="1"/>
  <c r="V725" i="10"/>
  <c r="W725" i="10" s="1"/>
  <c r="T725" i="10"/>
  <c r="U725" i="10" s="1"/>
  <c r="S725" i="10"/>
  <c r="P725" i="10"/>
  <c r="AO725" i="10" s="1"/>
  <c r="AQ725" i="10" s="1"/>
  <c r="O725" i="10"/>
  <c r="N725" i="10"/>
  <c r="AK724" i="10"/>
  <c r="AB724" i="10"/>
  <c r="AA724" i="10"/>
  <c r="X724" i="10"/>
  <c r="Y724" i="10" s="1"/>
  <c r="V724" i="10"/>
  <c r="W724" i="10" s="1"/>
  <c r="T724" i="10"/>
  <c r="U724" i="10" s="1"/>
  <c r="S724" i="10"/>
  <c r="P724" i="10"/>
  <c r="AO724" i="10" s="1"/>
  <c r="AQ724" i="10" s="1"/>
  <c r="O724" i="10"/>
  <c r="N724" i="10"/>
  <c r="AK723" i="10"/>
  <c r="AB723" i="10"/>
  <c r="AA723" i="10"/>
  <c r="X723" i="10"/>
  <c r="Y723" i="10" s="1"/>
  <c r="V723" i="10"/>
  <c r="W723" i="10" s="1"/>
  <c r="T723" i="10"/>
  <c r="U723" i="10" s="1"/>
  <c r="S723" i="10"/>
  <c r="P723" i="10"/>
  <c r="AO723" i="10" s="1"/>
  <c r="AQ723" i="10" s="1"/>
  <c r="O723" i="10"/>
  <c r="N723" i="10"/>
  <c r="AK722" i="10"/>
  <c r="AB722" i="10"/>
  <c r="AA722" i="10"/>
  <c r="X722" i="10"/>
  <c r="Y722" i="10" s="1"/>
  <c r="V722" i="10"/>
  <c r="W722" i="10" s="1"/>
  <c r="T722" i="10"/>
  <c r="U722" i="10" s="1"/>
  <c r="S722" i="10"/>
  <c r="P722" i="10"/>
  <c r="AO722" i="10" s="1"/>
  <c r="AQ722" i="10" s="1"/>
  <c r="O722" i="10"/>
  <c r="N722" i="10"/>
  <c r="AK721" i="10"/>
  <c r="AB721" i="10"/>
  <c r="AA721" i="10"/>
  <c r="X721" i="10"/>
  <c r="Y721" i="10" s="1"/>
  <c r="V721" i="10"/>
  <c r="W721" i="10" s="1"/>
  <c r="T721" i="10"/>
  <c r="U721" i="10" s="1"/>
  <c r="S721" i="10"/>
  <c r="P721" i="10"/>
  <c r="AO721" i="10" s="1"/>
  <c r="AQ721" i="10" s="1"/>
  <c r="O721" i="10"/>
  <c r="N721" i="10"/>
  <c r="AK720" i="10"/>
  <c r="AB720" i="10"/>
  <c r="AA720" i="10"/>
  <c r="X720" i="10"/>
  <c r="Y720" i="10" s="1"/>
  <c r="V720" i="10"/>
  <c r="W720" i="10" s="1"/>
  <c r="T720" i="10"/>
  <c r="U720" i="10" s="1"/>
  <c r="S720" i="10"/>
  <c r="P720" i="10"/>
  <c r="AO720" i="10" s="1"/>
  <c r="AQ720" i="10" s="1"/>
  <c r="O720" i="10"/>
  <c r="N720" i="10"/>
  <c r="AK719" i="10"/>
  <c r="AB719" i="10"/>
  <c r="AA719" i="10"/>
  <c r="X719" i="10"/>
  <c r="Y719" i="10" s="1"/>
  <c r="V719" i="10"/>
  <c r="W719" i="10" s="1"/>
  <c r="T719" i="10"/>
  <c r="U719" i="10" s="1"/>
  <c r="S719" i="10"/>
  <c r="P719" i="10"/>
  <c r="AO719" i="10" s="1"/>
  <c r="AQ719" i="10" s="1"/>
  <c r="O719" i="10"/>
  <c r="N719" i="10"/>
  <c r="AK718" i="10"/>
  <c r="AB718" i="10"/>
  <c r="AA718" i="10"/>
  <c r="X718" i="10"/>
  <c r="Y718" i="10" s="1"/>
  <c r="V718" i="10"/>
  <c r="W718" i="10" s="1"/>
  <c r="T718" i="10"/>
  <c r="U718" i="10" s="1"/>
  <c r="S718" i="10"/>
  <c r="P718" i="10"/>
  <c r="AO718" i="10" s="1"/>
  <c r="AQ718" i="10" s="1"/>
  <c r="O718" i="10"/>
  <c r="N718" i="10"/>
  <c r="AK717" i="10"/>
  <c r="AB717" i="10"/>
  <c r="AA717" i="10"/>
  <c r="X717" i="10"/>
  <c r="Y717" i="10" s="1"/>
  <c r="V717" i="10"/>
  <c r="W717" i="10" s="1"/>
  <c r="T717" i="10"/>
  <c r="U717" i="10" s="1"/>
  <c r="S717" i="10"/>
  <c r="P717" i="10"/>
  <c r="AO717" i="10" s="1"/>
  <c r="AQ717" i="10" s="1"/>
  <c r="O717" i="10"/>
  <c r="N717" i="10"/>
  <c r="AK716" i="10"/>
  <c r="AB716" i="10"/>
  <c r="AA716" i="10"/>
  <c r="X716" i="10"/>
  <c r="Y716" i="10" s="1"/>
  <c r="V716" i="10"/>
  <c r="W716" i="10" s="1"/>
  <c r="T716" i="10"/>
  <c r="U716" i="10" s="1"/>
  <c r="S716" i="10"/>
  <c r="P716" i="10"/>
  <c r="AO716" i="10" s="1"/>
  <c r="AQ716" i="10" s="1"/>
  <c r="O716" i="10"/>
  <c r="N716" i="10"/>
  <c r="AK715" i="10"/>
  <c r="AB715" i="10"/>
  <c r="AA715" i="10"/>
  <c r="X715" i="10"/>
  <c r="Y715" i="10" s="1"/>
  <c r="V715" i="10"/>
  <c r="W715" i="10" s="1"/>
  <c r="T715" i="10"/>
  <c r="U715" i="10" s="1"/>
  <c r="S715" i="10"/>
  <c r="P715" i="10"/>
  <c r="AO715" i="10" s="1"/>
  <c r="AQ715" i="10" s="1"/>
  <c r="O715" i="10"/>
  <c r="N715" i="10"/>
  <c r="AK714" i="10"/>
  <c r="AB714" i="10"/>
  <c r="AA714" i="10"/>
  <c r="X714" i="10"/>
  <c r="Y714" i="10" s="1"/>
  <c r="V714" i="10"/>
  <c r="W714" i="10" s="1"/>
  <c r="T714" i="10"/>
  <c r="U714" i="10" s="1"/>
  <c r="S714" i="10"/>
  <c r="P714" i="10"/>
  <c r="AO714" i="10" s="1"/>
  <c r="AQ714" i="10" s="1"/>
  <c r="O714" i="10"/>
  <c r="N714" i="10"/>
  <c r="AK713" i="10"/>
  <c r="AB713" i="10"/>
  <c r="AA713" i="10"/>
  <c r="X713" i="10"/>
  <c r="Y713" i="10" s="1"/>
  <c r="V713" i="10"/>
  <c r="W713" i="10" s="1"/>
  <c r="T713" i="10"/>
  <c r="U713" i="10" s="1"/>
  <c r="S713" i="10"/>
  <c r="P713" i="10"/>
  <c r="AO713" i="10" s="1"/>
  <c r="AQ713" i="10" s="1"/>
  <c r="O713" i="10"/>
  <c r="N713" i="10"/>
  <c r="AK712" i="10"/>
  <c r="AB712" i="10"/>
  <c r="AA712" i="10"/>
  <c r="X712" i="10"/>
  <c r="Y712" i="10" s="1"/>
  <c r="V712" i="10"/>
  <c r="W712" i="10" s="1"/>
  <c r="T712" i="10"/>
  <c r="U712" i="10" s="1"/>
  <c r="S712" i="10"/>
  <c r="P712" i="10"/>
  <c r="AO712" i="10" s="1"/>
  <c r="AQ712" i="10" s="1"/>
  <c r="O712" i="10"/>
  <c r="N712" i="10"/>
  <c r="AK711" i="10"/>
  <c r="AB711" i="10"/>
  <c r="AA711" i="10"/>
  <c r="X711" i="10"/>
  <c r="Y711" i="10" s="1"/>
  <c r="V711" i="10"/>
  <c r="W711" i="10" s="1"/>
  <c r="T711" i="10"/>
  <c r="U711" i="10" s="1"/>
  <c r="S711" i="10"/>
  <c r="P711" i="10"/>
  <c r="AO711" i="10" s="1"/>
  <c r="AQ711" i="10" s="1"/>
  <c r="O711" i="10"/>
  <c r="N711" i="10"/>
  <c r="AK710" i="10"/>
  <c r="AB710" i="10"/>
  <c r="AA710" i="10"/>
  <c r="X710" i="10"/>
  <c r="Y710" i="10" s="1"/>
  <c r="V710" i="10"/>
  <c r="W710" i="10" s="1"/>
  <c r="T710" i="10"/>
  <c r="U710" i="10" s="1"/>
  <c r="S710" i="10"/>
  <c r="P710" i="10"/>
  <c r="AO710" i="10" s="1"/>
  <c r="AQ710" i="10" s="1"/>
  <c r="O710" i="10"/>
  <c r="N710" i="10"/>
  <c r="AK709" i="10"/>
  <c r="AB709" i="10"/>
  <c r="AA709" i="10"/>
  <c r="X709" i="10"/>
  <c r="Y709" i="10" s="1"/>
  <c r="V709" i="10"/>
  <c r="W709" i="10" s="1"/>
  <c r="T709" i="10"/>
  <c r="U709" i="10" s="1"/>
  <c r="S709" i="10"/>
  <c r="P709" i="10"/>
  <c r="AO709" i="10" s="1"/>
  <c r="AQ709" i="10" s="1"/>
  <c r="O709" i="10"/>
  <c r="N709" i="10"/>
  <c r="AK708" i="10"/>
  <c r="AB708" i="10"/>
  <c r="AA708" i="10"/>
  <c r="X708" i="10"/>
  <c r="Y708" i="10" s="1"/>
  <c r="V708" i="10"/>
  <c r="W708" i="10" s="1"/>
  <c r="T708" i="10"/>
  <c r="U708" i="10" s="1"/>
  <c r="S708" i="10"/>
  <c r="P708" i="10"/>
  <c r="AO708" i="10" s="1"/>
  <c r="AQ708" i="10" s="1"/>
  <c r="O708" i="10"/>
  <c r="N708" i="10"/>
  <c r="AK707" i="10"/>
  <c r="AB707" i="10"/>
  <c r="AA707" i="10"/>
  <c r="X707" i="10"/>
  <c r="Y707" i="10" s="1"/>
  <c r="V707" i="10"/>
  <c r="W707" i="10" s="1"/>
  <c r="T707" i="10"/>
  <c r="U707" i="10" s="1"/>
  <c r="S707" i="10"/>
  <c r="P707" i="10"/>
  <c r="AO707" i="10" s="1"/>
  <c r="AQ707" i="10" s="1"/>
  <c r="O707" i="10"/>
  <c r="N707" i="10"/>
  <c r="AK706" i="10"/>
  <c r="AB706" i="10"/>
  <c r="AA706" i="10"/>
  <c r="X706" i="10"/>
  <c r="Y706" i="10" s="1"/>
  <c r="V706" i="10"/>
  <c r="W706" i="10" s="1"/>
  <c r="T706" i="10"/>
  <c r="U706" i="10" s="1"/>
  <c r="S706" i="10"/>
  <c r="P706" i="10"/>
  <c r="AO706" i="10" s="1"/>
  <c r="AQ706" i="10" s="1"/>
  <c r="O706" i="10"/>
  <c r="N706" i="10"/>
  <c r="AK705" i="10"/>
  <c r="AB705" i="10"/>
  <c r="AA705" i="10"/>
  <c r="X705" i="10"/>
  <c r="Y705" i="10" s="1"/>
  <c r="V705" i="10"/>
  <c r="W705" i="10" s="1"/>
  <c r="T705" i="10"/>
  <c r="U705" i="10" s="1"/>
  <c r="S705" i="10"/>
  <c r="P705" i="10"/>
  <c r="AO705" i="10" s="1"/>
  <c r="AQ705" i="10" s="1"/>
  <c r="O705" i="10"/>
  <c r="N705" i="10"/>
  <c r="AK704" i="10"/>
  <c r="AB704" i="10"/>
  <c r="AA704" i="10"/>
  <c r="X704" i="10"/>
  <c r="Y704" i="10" s="1"/>
  <c r="V704" i="10"/>
  <c r="W704" i="10" s="1"/>
  <c r="T704" i="10"/>
  <c r="U704" i="10" s="1"/>
  <c r="S704" i="10"/>
  <c r="P704" i="10"/>
  <c r="AO704" i="10" s="1"/>
  <c r="AQ704" i="10" s="1"/>
  <c r="O704" i="10"/>
  <c r="N704" i="10"/>
  <c r="AK703" i="10"/>
  <c r="AB703" i="10"/>
  <c r="AA703" i="10"/>
  <c r="X703" i="10"/>
  <c r="Y703" i="10" s="1"/>
  <c r="V703" i="10"/>
  <c r="W703" i="10" s="1"/>
  <c r="T703" i="10"/>
  <c r="U703" i="10" s="1"/>
  <c r="S703" i="10"/>
  <c r="P703" i="10"/>
  <c r="AO703" i="10" s="1"/>
  <c r="AQ703" i="10" s="1"/>
  <c r="O703" i="10"/>
  <c r="N703" i="10"/>
  <c r="AK702" i="10"/>
  <c r="AB702" i="10"/>
  <c r="AA702" i="10"/>
  <c r="X702" i="10"/>
  <c r="Y702" i="10" s="1"/>
  <c r="V702" i="10"/>
  <c r="W702" i="10" s="1"/>
  <c r="T702" i="10"/>
  <c r="U702" i="10" s="1"/>
  <c r="S702" i="10"/>
  <c r="P702" i="10"/>
  <c r="AO702" i="10" s="1"/>
  <c r="AQ702" i="10" s="1"/>
  <c r="O702" i="10"/>
  <c r="N702" i="10"/>
  <c r="AK701" i="10"/>
  <c r="AB701" i="10"/>
  <c r="AA701" i="10"/>
  <c r="X701" i="10"/>
  <c r="Y701" i="10" s="1"/>
  <c r="V701" i="10"/>
  <c r="W701" i="10" s="1"/>
  <c r="T701" i="10"/>
  <c r="U701" i="10" s="1"/>
  <c r="S701" i="10"/>
  <c r="P701" i="10"/>
  <c r="AO701" i="10" s="1"/>
  <c r="AQ701" i="10" s="1"/>
  <c r="O701" i="10"/>
  <c r="N701" i="10"/>
  <c r="AK700" i="10"/>
  <c r="AB700" i="10"/>
  <c r="AA700" i="10"/>
  <c r="X700" i="10"/>
  <c r="Y700" i="10" s="1"/>
  <c r="V700" i="10"/>
  <c r="W700" i="10" s="1"/>
  <c r="T700" i="10"/>
  <c r="U700" i="10" s="1"/>
  <c r="S700" i="10"/>
  <c r="P700" i="10"/>
  <c r="AO700" i="10" s="1"/>
  <c r="AQ700" i="10" s="1"/>
  <c r="O700" i="10"/>
  <c r="N700" i="10"/>
  <c r="AK699" i="10"/>
  <c r="AB699" i="10"/>
  <c r="AA699" i="10"/>
  <c r="X699" i="10"/>
  <c r="Y699" i="10" s="1"/>
  <c r="V699" i="10"/>
  <c r="W699" i="10" s="1"/>
  <c r="T699" i="10"/>
  <c r="U699" i="10" s="1"/>
  <c r="S699" i="10"/>
  <c r="P699" i="10"/>
  <c r="AO699" i="10" s="1"/>
  <c r="AQ699" i="10" s="1"/>
  <c r="O699" i="10"/>
  <c r="N699" i="10"/>
  <c r="AK698" i="10"/>
  <c r="AB698" i="10"/>
  <c r="AA698" i="10"/>
  <c r="X698" i="10"/>
  <c r="Y698" i="10" s="1"/>
  <c r="V698" i="10"/>
  <c r="W698" i="10" s="1"/>
  <c r="T698" i="10"/>
  <c r="U698" i="10" s="1"/>
  <c r="S698" i="10"/>
  <c r="P698" i="10"/>
  <c r="AO698" i="10" s="1"/>
  <c r="AQ698" i="10" s="1"/>
  <c r="O698" i="10"/>
  <c r="N698" i="10"/>
  <c r="AK697" i="10"/>
  <c r="AB697" i="10"/>
  <c r="AA697" i="10"/>
  <c r="X697" i="10"/>
  <c r="Y697" i="10" s="1"/>
  <c r="V697" i="10"/>
  <c r="W697" i="10" s="1"/>
  <c r="T697" i="10"/>
  <c r="U697" i="10" s="1"/>
  <c r="S697" i="10"/>
  <c r="P697" i="10"/>
  <c r="AO697" i="10" s="1"/>
  <c r="AQ697" i="10" s="1"/>
  <c r="O697" i="10"/>
  <c r="N697" i="10"/>
  <c r="AK696" i="10"/>
  <c r="AB696" i="10"/>
  <c r="AA696" i="10"/>
  <c r="X696" i="10"/>
  <c r="Y696" i="10" s="1"/>
  <c r="V696" i="10"/>
  <c r="W696" i="10" s="1"/>
  <c r="T696" i="10"/>
  <c r="U696" i="10" s="1"/>
  <c r="S696" i="10"/>
  <c r="P696" i="10"/>
  <c r="AO696" i="10" s="1"/>
  <c r="AQ696" i="10" s="1"/>
  <c r="O696" i="10"/>
  <c r="N696" i="10"/>
  <c r="AK695" i="10"/>
  <c r="AB695" i="10"/>
  <c r="AA695" i="10"/>
  <c r="X695" i="10"/>
  <c r="Y695" i="10" s="1"/>
  <c r="V695" i="10"/>
  <c r="W695" i="10" s="1"/>
  <c r="T695" i="10"/>
  <c r="U695" i="10" s="1"/>
  <c r="S695" i="10"/>
  <c r="P695" i="10"/>
  <c r="AO695" i="10" s="1"/>
  <c r="AQ695" i="10" s="1"/>
  <c r="O695" i="10"/>
  <c r="N695" i="10"/>
  <c r="AK694" i="10"/>
  <c r="AB694" i="10"/>
  <c r="AA694" i="10"/>
  <c r="X694" i="10"/>
  <c r="Y694" i="10" s="1"/>
  <c r="V694" i="10"/>
  <c r="W694" i="10" s="1"/>
  <c r="T694" i="10"/>
  <c r="U694" i="10" s="1"/>
  <c r="S694" i="10"/>
  <c r="P694" i="10"/>
  <c r="AO694" i="10" s="1"/>
  <c r="AQ694" i="10" s="1"/>
  <c r="O694" i="10"/>
  <c r="N694" i="10"/>
  <c r="AK693" i="10"/>
  <c r="AB693" i="10"/>
  <c r="AA693" i="10"/>
  <c r="X693" i="10"/>
  <c r="Y693" i="10" s="1"/>
  <c r="V693" i="10"/>
  <c r="W693" i="10" s="1"/>
  <c r="T693" i="10"/>
  <c r="U693" i="10" s="1"/>
  <c r="S693" i="10"/>
  <c r="P693" i="10"/>
  <c r="AO693" i="10" s="1"/>
  <c r="AQ693" i="10" s="1"/>
  <c r="O693" i="10"/>
  <c r="N693" i="10"/>
  <c r="AK692" i="10"/>
  <c r="AB692" i="10"/>
  <c r="AA692" i="10"/>
  <c r="X692" i="10"/>
  <c r="Y692" i="10" s="1"/>
  <c r="V692" i="10"/>
  <c r="W692" i="10" s="1"/>
  <c r="T692" i="10"/>
  <c r="U692" i="10" s="1"/>
  <c r="S692" i="10"/>
  <c r="P692" i="10"/>
  <c r="AO692" i="10" s="1"/>
  <c r="AQ692" i="10" s="1"/>
  <c r="O692" i="10"/>
  <c r="N692" i="10"/>
  <c r="AK691" i="10"/>
  <c r="AB691" i="10"/>
  <c r="AA691" i="10"/>
  <c r="X691" i="10"/>
  <c r="Y691" i="10" s="1"/>
  <c r="V691" i="10"/>
  <c r="W691" i="10" s="1"/>
  <c r="T691" i="10"/>
  <c r="U691" i="10" s="1"/>
  <c r="S691" i="10"/>
  <c r="P691" i="10"/>
  <c r="AO691" i="10" s="1"/>
  <c r="AQ691" i="10" s="1"/>
  <c r="O691" i="10"/>
  <c r="N691" i="10"/>
  <c r="AK690" i="10"/>
  <c r="AB690" i="10"/>
  <c r="AA690" i="10"/>
  <c r="X690" i="10"/>
  <c r="Y690" i="10" s="1"/>
  <c r="V690" i="10"/>
  <c r="W690" i="10" s="1"/>
  <c r="T690" i="10"/>
  <c r="U690" i="10" s="1"/>
  <c r="S690" i="10"/>
  <c r="P690" i="10"/>
  <c r="AO690" i="10" s="1"/>
  <c r="AQ690" i="10" s="1"/>
  <c r="O690" i="10"/>
  <c r="N690" i="10"/>
  <c r="AK689" i="10"/>
  <c r="AB689" i="10"/>
  <c r="AA689" i="10"/>
  <c r="X689" i="10"/>
  <c r="Y689" i="10" s="1"/>
  <c r="V689" i="10"/>
  <c r="W689" i="10" s="1"/>
  <c r="T689" i="10"/>
  <c r="U689" i="10" s="1"/>
  <c r="S689" i="10"/>
  <c r="P689" i="10"/>
  <c r="AO689" i="10" s="1"/>
  <c r="AQ689" i="10" s="1"/>
  <c r="O689" i="10"/>
  <c r="N689" i="10"/>
  <c r="AK688" i="10"/>
  <c r="AB688" i="10"/>
  <c r="AA688" i="10"/>
  <c r="X688" i="10"/>
  <c r="Y688" i="10" s="1"/>
  <c r="V688" i="10"/>
  <c r="W688" i="10" s="1"/>
  <c r="T688" i="10"/>
  <c r="U688" i="10" s="1"/>
  <c r="S688" i="10"/>
  <c r="P688" i="10"/>
  <c r="AO688" i="10" s="1"/>
  <c r="AQ688" i="10" s="1"/>
  <c r="O688" i="10"/>
  <c r="N688" i="10"/>
  <c r="AK687" i="10"/>
  <c r="AB687" i="10"/>
  <c r="AA687" i="10"/>
  <c r="X687" i="10"/>
  <c r="Y687" i="10" s="1"/>
  <c r="V687" i="10"/>
  <c r="W687" i="10" s="1"/>
  <c r="T687" i="10"/>
  <c r="U687" i="10" s="1"/>
  <c r="S687" i="10"/>
  <c r="P687" i="10"/>
  <c r="AO687" i="10" s="1"/>
  <c r="AQ687" i="10" s="1"/>
  <c r="O687" i="10"/>
  <c r="N687" i="10"/>
  <c r="AK686" i="10"/>
  <c r="AB686" i="10"/>
  <c r="AA686" i="10"/>
  <c r="X686" i="10"/>
  <c r="Y686" i="10" s="1"/>
  <c r="V686" i="10"/>
  <c r="W686" i="10" s="1"/>
  <c r="T686" i="10"/>
  <c r="U686" i="10" s="1"/>
  <c r="S686" i="10"/>
  <c r="P686" i="10"/>
  <c r="AO686" i="10" s="1"/>
  <c r="AQ686" i="10" s="1"/>
  <c r="O686" i="10"/>
  <c r="N686" i="10"/>
  <c r="AK685" i="10"/>
  <c r="AB685" i="10"/>
  <c r="AA685" i="10"/>
  <c r="X685" i="10"/>
  <c r="Y685" i="10" s="1"/>
  <c r="V685" i="10"/>
  <c r="W685" i="10" s="1"/>
  <c r="T685" i="10"/>
  <c r="U685" i="10" s="1"/>
  <c r="S685" i="10"/>
  <c r="P685" i="10"/>
  <c r="AO685" i="10" s="1"/>
  <c r="AQ685" i="10" s="1"/>
  <c r="O685" i="10"/>
  <c r="N685" i="10"/>
  <c r="AO684" i="10"/>
  <c r="AQ684" i="10" s="1"/>
  <c r="AK684" i="10"/>
  <c r="AL684" i="10" s="1"/>
  <c r="AI684" i="10"/>
  <c r="AC684" i="10"/>
  <c r="AB684" i="10"/>
  <c r="AA684" i="10"/>
  <c r="Z684" i="10"/>
  <c r="AN684" i="10" s="1"/>
  <c r="X684" i="10"/>
  <c r="Y684" i="10" s="1"/>
  <c r="V684" i="10"/>
  <c r="W684" i="10" s="1"/>
  <c r="T684" i="10"/>
  <c r="U684" i="10" s="1"/>
  <c r="S684" i="10"/>
  <c r="P684" i="10"/>
  <c r="O684" i="10"/>
  <c r="N684" i="10"/>
  <c r="AK683" i="10"/>
  <c r="AB683" i="10"/>
  <c r="AA683" i="10"/>
  <c r="X683" i="10"/>
  <c r="Y683" i="10" s="1"/>
  <c r="V683" i="10"/>
  <c r="W683" i="10" s="1"/>
  <c r="T683" i="10"/>
  <c r="U683" i="10" s="1"/>
  <c r="S683" i="10"/>
  <c r="P683" i="10"/>
  <c r="AO683" i="10" s="1"/>
  <c r="AQ683" i="10" s="1"/>
  <c r="O683" i="10"/>
  <c r="N683" i="10"/>
  <c r="AK682" i="10"/>
  <c r="AB682" i="10"/>
  <c r="AA682" i="10"/>
  <c r="X682" i="10"/>
  <c r="Y682" i="10" s="1"/>
  <c r="V682" i="10"/>
  <c r="W682" i="10" s="1"/>
  <c r="T682" i="10"/>
  <c r="U682" i="10" s="1"/>
  <c r="S682" i="10"/>
  <c r="P682" i="10"/>
  <c r="AO682" i="10" s="1"/>
  <c r="AQ682" i="10" s="1"/>
  <c r="O682" i="10"/>
  <c r="N682" i="10"/>
  <c r="AK681" i="10"/>
  <c r="AB681" i="10"/>
  <c r="AA681" i="10"/>
  <c r="X681" i="10"/>
  <c r="Y681" i="10" s="1"/>
  <c r="V681" i="10"/>
  <c r="W681" i="10" s="1"/>
  <c r="T681" i="10"/>
  <c r="U681" i="10" s="1"/>
  <c r="S681" i="10"/>
  <c r="P681" i="10"/>
  <c r="AO681" i="10" s="1"/>
  <c r="AQ681" i="10" s="1"/>
  <c r="O681" i="10"/>
  <c r="N681" i="10"/>
  <c r="AK680" i="10"/>
  <c r="AB680" i="10"/>
  <c r="AA680" i="10"/>
  <c r="X680" i="10"/>
  <c r="Y680" i="10" s="1"/>
  <c r="V680" i="10"/>
  <c r="W680" i="10" s="1"/>
  <c r="T680" i="10"/>
  <c r="U680" i="10" s="1"/>
  <c r="S680" i="10"/>
  <c r="P680" i="10"/>
  <c r="AO680" i="10" s="1"/>
  <c r="AQ680" i="10" s="1"/>
  <c r="O680" i="10"/>
  <c r="N680" i="10"/>
  <c r="AK679" i="10"/>
  <c r="AB679" i="10"/>
  <c r="AA679" i="10"/>
  <c r="X679" i="10"/>
  <c r="Y679" i="10" s="1"/>
  <c r="V679" i="10"/>
  <c r="W679" i="10" s="1"/>
  <c r="T679" i="10"/>
  <c r="U679" i="10" s="1"/>
  <c r="S679" i="10"/>
  <c r="P679" i="10"/>
  <c r="AO679" i="10" s="1"/>
  <c r="AQ679" i="10" s="1"/>
  <c r="O679" i="10"/>
  <c r="N679" i="10"/>
  <c r="AK678" i="10"/>
  <c r="AB678" i="10"/>
  <c r="AA678" i="10"/>
  <c r="X678" i="10"/>
  <c r="Y678" i="10" s="1"/>
  <c r="V678" i="10"/>
  <c r="W678" i="10" s="1"/>
  <c r="T678" i="10"/>
  <c r="U678" i="10" s="1"/>
  <c r="S678" i="10"/>
  <c r="P678" i="10"/>
  <c r="AO678" i="10" s="1"/>
  <c r="AQ678" i="10" s="1"/>
  <c r="O678" i="10"/>
  <c r="N678" i="10"/>
  <c r="AK677" i="10"/>
  <c r="AB677" i="10"/>
  <c r="AA677" i="10"/>
  <c r="X677" i="10"/>
  <c r="Y677" i="10" s="1"/>
  <c r="V677" i="10"/>
  <c r="W677" i="10" s="1"/>
  <c r="T677" i="10"/>
  <c r="U677" i="10" s="1"/>
  <c r="S677" i="10"/>
  <c r="P677" i="10"/>
  <c r="AO677" i="10" s="1"/>
  <c r="AQ677" i="10" s="1"/>
  <c r="O677" i="10"/>
  <c r="N677" i="10"/>
  <c r="AK676" i="10"/>
  <c r="AB676" i="10"/>
  <c r="AA676" i="10"/>
  <c r="X676" i="10"/>
  <c r="Y676" i="10" s="1"/>
  <c r="V676" i="10"/>
  <c r="W676" i="10" s="1"/>
  <c r="T676" i="10"/>
  <c r="U676" i="10" s="1"/>
  <c r="S676" i="10"/>
  <c r="P676" i="10"/>
  <c r="AO676" i="10" s="1"/>
  <c r="AQ676" i="10" s="1"/>
  <c r="O676" i="10"/>
  <c r="N676" i="10"/>
  <c r="AK675" i="10"/>
  <c r="AB675" i="10"/>
  <c r="AA675" i="10"/>
  <c r="X675" i="10"/>
  <c r="Y675" i="10" s="1"/>
  <c r="V675" i="10"/>
  <c r="W675" i="10" s="1"/>
  <c r="T675" i="10"/>
  <c r="U675" i="10" s="1"/>
  <c r="S675" i="10"/>
  <c r="P675" i="10"/>
  <c r="AO675" i="10" s="1"/>
  <c r="AQ675" i="10" s="1"/>
  <c r="O675" i="10"/>
  <c r="N675" i="10"/>
  <c r="AK674" i="10"/>
  <c r="AB674" i="10"/>
  <c r="AA674" i="10"/>
  <c r="X674" i="10"/>
  <c r="Y674" i="10" s="1"/>
  <c r="V674" i="10"/>
  <c r="W674" i="10" s="1"/>
  <c r="T674" i="10"/>
  <c r="U674" i="10" s="1"/>
  <c r="S674" i="10"/>
  <c r="P674" i="10"/>
  <c r="AO674" i="10" s="1"/>
  <c r="AQ674" i="10" s="1"/>
  <c r="O674" i="10"/>
  <c r="N674" i="10"/>
  <c r="AK673" i="10"/>
  <c r="AB673" i="10"/>
  <c r="AA673" i="10"/>
  <c r="X673" i="10"/>
  <c r="Y673" i="10" s="1"/>
  <c r="V673" i="10"/>
  <c r="W673" i="10" s="1"/>
  <c r="T673" i="10"/>
  <c r="U673" i="10" s="1"/>
  <c r="S673" i="10"/>
  <c r="P673" i="10"/>
  <c r="AO673" i="10" s="1"/>
  <c r="AQ673" i="10" s="1"/>
  <c r="O673" i="10"/>
  <c r="N673" i="10"/>
  <c r="AK672" i="10"/>
  <c r="AB672" i="10"/>
  <c r="AA672" i="10"/>
  <c r="X672" i="10"/>
  <c r="Y672" i="10" s="1"/>
  <c r="V672" i="10"/>
  <c r="W672" i="10" s="1"/>
  <c r="T672" i="10"/>
  <c r="U672" i="10" s="1"/>
  <c r="S672" i="10"/>
  <c r="P672" i="10"/>
  <c r="AO672" i="10" s="1"/>
  <c r="AQ672" i="10" s="1"/>
  <c r="O672" i="10"/>
  <c r="N672" i="10"/>
  <c r="AK671" i="10"/>
  <c r="AB671" i="10"/>
  <c r="AA671" i="10"/>
  <c r="X671" i="10"/>
  <c r="Y671" i="10" s="1"/>
  <c r="V671" i="10"/>
  <c r="W671" i="10" s="1"/>
  <c r="T671" i="10"/>
  <c r="U671" i="10" s="1"/>
  <c r="S671" i="10"/>
  <c r="P671" i="10"/>
  <c r="AO671" i="10" s="1"/>
  <c r="AQ671" i="10" s="1"/>
  <c r="O671" i="10"/>
  <c r="N671" i="10"/>
  <c r="AK670" i="10"/>
  <c r="AB670" i="10"/>
  <c r="AA670" i="10"/>
  <c r="X670" i="10"/>
  <c r="Y670" i="10" s="1"/>
  <c r="V670" i="10"/>
  <c r="W670" i="10" s="1"/>
  <c r="T670" i="10"/>
  <c r="U670" i="10" s="1"/>
  <c r="S670" i="10"/>
  <c r="P670" i="10"/>
  <c r="AO670" i="10" s="1"/>
  <c r="AQ670" i="10" s="1"/>
  <c r="O670" i="10"/>
  <c r="N670" i="10"/>
  <c r="AK669" i="10"/>
  <c r="AB669" i="10"/>
  <c r="AA669" i="10"/>
  <c r="X669" i="10"/>
  <c r="Y669" i="10" s="1"/>
  <c r="V669" i="10"/>
  <c r="W669" i="10" s="1"/>
  <c r="T669" i="10"/>
  <c r="U669" i="10" s="1"/>
  <c r="S669" i="10"/>
  <c r="P669" i="10"/>
  <c r="AO669" i="10" s="1"/>
  <c r="AQ669" i="10" s="1"/>
  <c r="O669" i="10"/>
  <c r="N669" i="10"/>
  <c r="AK668" i="10"/>
  <c r="AB668" i="10"/>
  <c r="AA668" i="10"/>
  <c r="X668" i="10"/>
  <c r="Y668" i="10" s="1"/>
  <c r="V668" i="10"/>
  <c r="W668" i="10" s="1"/>
  <c r="T668" i="10"/>
  <c r="U668" i="10" s="1"/>
  <c r="S668" i="10"/>
  <c r="P668" i="10"/>
  <c r="AO668" i="10" s="1"/>
  <c r="AQ668" i="10" s="1"/>
  <c r="O668" i="10"/>
  <c r="N668" i="10"/>
  <c r="AK667" i="10"/>
  <c r="AB667" i="10"/>
  <c r="AA667" i="10"/>
  <c r="X667" i="10"/>
  <c r="Y667" i="10" s="1"/>
  <c r="V667" i="10"/>
  <c r="W667" i="10" s="1"/>
  <c r="T667" i="10"/>
  <c r="U667" i="10" s="1"/>
  <c r="S667" i="10"/>
  <c r="P667" i="10"/>
  <c r="AO667" i="10" s="1"/>
  <c r="AQ667" i="10" s="1"/>
  <c r="O667" i="10"/>
  <c r="N667" i="10"/>
  <c r="AK666" i="10"/>
  <c r="AB666" i="10"/>
  <c r="AA666" i="10"/>
  <c r="X666" i="10"/>
  <c r="Y666" i="10" s="1"/>
  <c r="V666" i="10"/>
  <c r="W666" i="10" s="1"/>
  <c r="T666" i="10"/>
  <c r="U666" i="10" s="1"/>
  <c r="S666" i="10"/>
  <c r="P666" i="10"/>
  <c r="AO666" i="10" s="1"/>
  <c r="AQ666" i="10" s="1"/>
  <c r="O666" i="10"/>
  <c r="N666" i="10"/>
  <c r="AK665" i="10"/>
  <c r="AB665" i="10"/>
  <c r="AA665" i="10"/>
  <c r="X665" i="10"/>
  <c r="Y665" i="10" s="1"/>
  <c r="V665" i="10"/>
  <c r="W665" i="10" s="1"/>
  <c r="T665" i="10"/>
  <c r="U665" i="10" s="1"/>
  <c r="S665" i="10"/>
  <c r="P665" i="10"/>
  <c r="AO665" i="10" s="1"/>
  <c r="AQ665" i="10" s="1"/>
  <c r="O665" i="10"/>
  <c r="N665" i="10"/>
  <c r="AK664" i="10"/>
  <c r="AB664" i="10"/>
  <c r="AA664" i="10"/>
  <c r="X664" i="10"/>
  <c r="Y664" i="10" s="1"/>
  <c r="V664" i="10"/>
  <c r="W664" i="10" s="1"/>
  <c r="T664" i="10"/>
  <c r="U664" i="10" s="1"/>
  <c r="S664" i="10"/>
  <c r="P664" i="10"/>
  <c r="AO664" i="10" s="1"/>
  <c r="AQ664" i="10" s="1"/>
  <c r="O664" i="10"/>
  <c r="N664" i="10"/>
  <c r="AK663" i="10"/>
  <c r="AB663" i="10"/>
  <c r="AA663" i="10"/>
  <c r="X663" i="10"/>
  <c r="Y663" i="10" s="1"/>
  <c r="V663" i="10"/>
  <c r="W663" i="10" s="1"/>
  <c r="T663" i="10"/>
  <c r="U663" i="10" s="1"/>
  <c r="S663" i="10"/>
  <c r="P663" i="10"/>
  <c r="AO663" i="10" s="1"/>
  <c r="AQ663" i="10" s="1"/>
  <c r="O663" i="10"/>
  <c r="N663" i="10"/>
  <c r="AK662" i="10"/>
  <c r="AB662" i="10"/>
  <c r="AA662" i="10"/>
  <c r="X662" i="10"/>
  <c r="Y662" i="10" s="1"/>
  <c r="V662" i="10"/>
  <c r="W662" i="10" s="1"/>
  <c r="T662" i="10"/>
  <c r="U662" i="10" s="1"/>
  <c r="S662" i="10"/>
  <c r="P662" i="10"/>
  <c r="AO662" i="10" s="1"/>
  <c r="AQ662" i="10" s="1"/>
  <c r="O662" i="10"/>
  <c r="N662" i="10"/>
  <c r="AK661" i="10"/>
  <c r="AB661" i="10"/>
  <c r="AA661" i="10"/>
  <c r="X661" i="10"/>
  <c r="Y661" i="10" s="1"/>
  <c r="V661" i="10"/>
  <c r="W661" i="10" s="1"/>
  <c r="T661" i="10"/>
  <c r="U661" i="10" s="1"/>
  <c r="S661" i="10"/>
  <c r="P661" i="10"/>
  <c r="AO661" i="10" s="1"/>
  <c r="AQ661" i="10" s="1"/>
  <c r="O661" i="10"/>
  <c r="N661" i="10"/>
  <c r="AK660" i="10"/>
  <c r="AB660" i="10"/>
  <c r="AA660" i="10"/>
  <c r="X660" i="10"/>
  <c r="Y660" i="10" s="1"/>
  <c r="V660" i="10"/>
  <c r="W660" i="10" s="1"/>
  <c r="T660" i="10"/>
  <c r="U660" i="10" s="1"/>
  <c r="S660" i="10"/>
  <c r="P660" i="10"/>
  <c r="AO660" i="10" s="1"/>
  <c r="AQ660" i="10" s="1"/>
  <c r="O660" i="10"/>
  <c r="N660" i="10"/>
  <c r="AK659" i="10"/>
  <c r="AB659" i="10"/>
  <c r="AA659" i="10"/>
  <c r="X659" i="10"/>
  <c r="Y659" i="10" s="1"/>
  <c r="V659" i="10"/>
  <c r="W659" i="10" s="1"/>
  <c r="T659" i="10"/>
  <c r="U659" i="10" s="1"/>
  <c r="S659" i="10"/>
  <c r="P659" i="10"/>
  <c r="AO659" i="10" s="1"/>
  <c r="AQ659" i="10" s="1"/>
  <c r="O659" i="10"/>
  <c r="N659" i="10"/>
  <c r="AK658" i="10"/>
  <c r="AB658" i="10"/>
  <c r="AA658" i="10"/>
  <c r="X658" i="10"/>
  <c r="Y658" i="10" s="1"/>
  <c r="V658" i="10"/>
  <c r="W658" i="10" s="1"/>
  <c r="T658" i="10"/>
  <c r="U658" i="10" s="1"/>
  <c r="S658" i="10"/>
  <c r="P658" i="10"/>
  <c r="AO658" i="10" s="1"/>
  <c r="AQ658" i="10" s="1"/>
  <c r="O658" i="10"/>
  <c r="N658" i="10"/>
  <c r="AK657" i="10"/>
  <c r="AB657" i="10"/>
  <c r="AA657" i="10"/>
  <c r="X657" i="10"/>
  <c r="Y657" i="10" s="1"/>
  <c r="V657" i="10"/>
  <c r="W657" i="10" s="1"/>
  <c r="T657" i="10"/>
  <c r="U657" i="10" s="1"/>
  <c r="S657" i="10"/>
  <c r="P657" i="10"/>
  <c r="AO657" i="10" s="1"/>
  <c r="AQ657" i="10" s="1"/>
  <c r="O657" i="10"/>
  <c r="N657" i="10"/>
  <c r="AK656" i="10"/>
  <c r="AB656" i="10"/>
  <c r="AA656" i="10"/>
  <c r="X656" i="10"/>
  <c r="Y656" i="10" s="1"/>
  <c r="V656" i="10"/>
  <c r="W656" i="10" s="1"/>
  <c r="T656" i="10"/>
  <c r="U656" i="10" s="1"/>
  <c r="S656" i="10"/>
  <c r="P656" i="10"/>
  <c r="AO656" i="10" s="1"/>
  <c r="AQ656" i="10" s="1"/>
  <c r="O656" i="10"/>
  <c r="N656" i="10"/>
  <c r="AK655" i="10"/>
  <c r="AB655" i="10"/>
  <c r="AA655" i="10"/>
  <c r="X655" i="10"/>
  <c r="Y655" i="10" s="1"/>
  <c r="V655" i="10"/>
  <c r="W655" i="10" s="1"/>
  <c r="T655" i="10"/>
  <c r="U655" i="10" s="1"/>
  <c r="S655" i="10"/>
  <c r="P655" i="10"/>
  <c r="AO655" i="10" s="1"/>
  <c r="AQ655" i="10" s="1"/>
  <c r="O655" i="10"/>
  <c r="N655" i="10"/>
  <c r="AK654" i="10"/>
  <c r="AB654" i="10"/>
  <c r="AA654" i="10"/>
  <c r="X654" i="10"/>
  <c r="Y654" i="10" s="1"/>
  <c r="V654" i="10"/>
  <c r="W654" i="10" s="1"/>
  <c r="T654" i="10"/>
  <c r="U654" i="10" s="1"/>
  <c r="S654" i="10"/>
  <c r="P654" i="10"/>
  <c r="AO654" i="10" s="1"/>
  <c r="AQ654" i="10" s="1"/>
  <c r="O654" i="10"/>
  <c r="N654" i="10"/>
  <c r="AK653" i="10"/>
  <c r="AB653" i="10"/>
  <c r="AA653" i="10"/>
  <c r="X653" i="10"/>
  <c r="Y653" i="10" s="1"/>
  <c r="V653" i="10"/>
  <c r="W653" i="10" s="1"/>
  <c r="T653" i="10"/>
  <c r="U653" i="10" s="1"/>
  <c r="S653" i="10"/>
  <c r="P653" i="10"/>
  <c r="AO653" i="10" s="1"/>
  <c r="AQ653" i="10" s="1"/>
  <c r="O653" i="10"/>
  <c r="N653" i="10"/>
  <c r="AK652" i="10"/>
  <c r="AB652" i="10"/>
  <c r="AA652" i="10"/>
  <c r="X652" i="10"/>
  <c r="Y652" i="10" s="1"/>
  <c r="V652" i="10"/>
  <c r="W652" i="10" s="1"/>
  <c r="T652" i="10"/>
  <c r="U652" i="10" s="1"/>
  <c r="S652" i="10"/>
  <c r="P652" i="10"/>
  <c r="AO652" i="10" s="1"/>
  <c r="AQ652" i="10" s="1"/>
  <c r="O652" i="10"/>
  <c r="N652" i="10"/>
  <c r="AK651" i="10"/>
  <c r="AB651" i="10"/>
  <c r="AA651" i="10"/>
  <c r="X651" i="10"/>
  <c r="Y651" i="10" s="1"/>
  <c r="V651" i="10"/>
  <c r="W651" i="10" s="1"/>
  <c r="T651" i="10"/>
  <c r="U651" i="10" s="1"/>
  <c r="S651" i="10"/>
  <c r="P651" i="10"/>
  <c r="AO651" i="10" s="1"/>
  <c r="AQ651" i="10" s="1"/>
  <c r="O651" i="10"/>
  <c r="N651" i="10"/>
  <c r="AK650" i="10"/>
  <c r="AB650" i="10"/>
  <c r="AA650" i="10"/>
  <c r="X650" i="10"/>
  <c r="Y650" i="10" s="1"/>
  <c r="V650" i="10"/>
  <c r="W650" i="10" s="1"/>
  <c r="T650" i="10"/>
  <c r="U650" i="10" s="1"/>
  <c r="S650" i="10"/>
  <c r="P650" i="10"/>
  <c r="AO650" i="10" s="1"/>
  <c r="AQ650" i="10" s="1"/>
  <c r="O650" i="10"/>
  <c r="N650" i="10"/>
  <c r="AK649" i="10"/>
  <c r="AB649" i="10"/>
  <c r="AA649" i="10"/>
  <c r="X649" i="10"/>
  <c r="Y649" i="10" s="1"/>
  <c r="V649" i="10"/>
  <c r="W649" i="10" s="1"/>
  <c r="T649" i="10"/>
  <c r="U649" i="10" s="1"/>
  <c r="S649" i="10"/>
  <c r="P649" i="10"/>
  <c r="AO649" i="10" s="1"/>
  <c r="AQ649" i="10" s="1"/>
  <c r="O649" i="10"/>
  <c r="N649" i="10"/>
  <c r="AK648" i="10"/>
  <c r="AB648" i="10"/>
  <c r="AA648" i="10"/>
  <c r="X648" i="10"/>
  <c r="Y648" i="10" s="1"/>
  <c r="V648" i="10"/>
  <c r="W648" i="10" s="1"/>
  <c r="T648" i="10"/>
  <c r="U648" i="10" s="1"/>
  <c r="S648" i="10"/>
  <c r="P648" i="10"/>
  <c r="AO648" i="10" s="1"/>
  <c r="AQ648" i="10" s="1"/>
  <c r="O648" i="10"/>
  <c r="N648" i="10"/>
  <c r="AK647" i="10"/>
  <c r="AB647" i="10"/>
  <c r="AA647" i="10"/>
  <c r="X647" i="10"/>
  <c r="Y647" i="10" s="1"/>
  <c r="V647" i="10"/>
  <c r="W647" i="10" s="1"/>
  <c r="T647" i="10"/>
  <c r="U647" i="10" s="1"/>
  <c r="S647" i="10"/>
  <c r="P647" i="10"/>
  <c r="AO647" i="10" s="1"/>
  <c r="AQ647" i="10" s="1"/>
  <c r="O647" i="10"/>
  <c r="N647" i="10"/>
  <c r="AK646" i="10"/>
  <c r="AB646" i="10"/>
  <c r="AA646" i="10"/>
  <c r="X646" i="10"/>
  <c r="Y646" i="10" s="1"/>
  <c r="V646" i="10"/>
  <c r="W646" i="10" s="1"/>
  <c r="T646" i="10"/>
  <c r="U646" i="10" s="1"/>
  <c r="S646" i="10"/>
  <c r="P646" i="10"/>
  <c r="AO646" i="10" s="1"/>
  <c r="AQ646" i="10" s="1"/>
  <c r="O646" i="10"/>
  <c r="N646" i="10"/>
  <c r="AK645" i="10"/>
  <c r="AB645" i="10"/>
  <c r="AA645" i="10"/>
  <c r="X645" i="10"/>
  <c r="Y645" i="10" s="1"/>
  <c r="V645" i="10"/>
  <c r="W645" i="10" s="1"/>
  <c r="T645" i="10"/>
  <c r="U645" i="10" s="1"/>
  <c r="S645" i="10"/>
  <c r="P645" i="10"/>
  <c r="AO645" i="10" s="1"/>
  <c r="AQ645" i="10" s="1"/>
  <c r="O645" i="10"/>
  <c r="N645" i="10"/>
  <c r="AK644" i="10"/>
  <c r="AB644" i="10"/>
  <c r="AA644" i="10"/>
  <c r="X644" i="10"/>
  <c r="Y644" i="10" s="1"/>
  <c r="V644" i="10"/>
  <c r="W644" i="10" s="1"/>
  <c r="T644" i="10"/>
  <c r="U644" i="10" s="1"/>
  <c r="S644" i="10"/>
  <c r="P644" i="10"/>
  <c r="AO644" i="10" s="1"/>
  <c r="AQ644" i="10" s="1"/>
  <c r="O644" i="10"/>
  <c r="N644" i="10"/>
  <c r="AK643" i="10"/>
  <c r="AB643" i="10"/>
  <c r="AA643" i="10"/>
  <c r="X643" i="10"/>
  <c r="Y643" i="10" s="1"/>
  <c r="V643" i="10"/>
  <c r="W643" i="10" s="1"/>
  <c r="T643" i="10"/>
  <c r="U643" i="10" s="1"/>
  <c r="S643" i="10"/>
  <c r="P643" i="10"/>
  <c r="AO643" i="10" s="1"/>
  <c r="AQ643" i="10" s="1"/>
  <c r="O643" i="10"/>
  <c r="N643" i="10"/>
  <c r="AK642" i="10"/>
  <c r="AB642" i="10"/>
  <c r="AA642" i="10"/>
  <c r="X642" i="10"/>
  <c r="Y642" i="10" s="1"/>
  <c r="V642" i="10"/>
  <c r="W642" i="10" s="1"/>
  <c r="T642" i="10"/>
  <c r="U642" i="10" s="1"/>
  <c r="S642" i="10"/>
  <c r="P642" i="10"/>
  <c r="AO642" i="10" s="1"/>
  <c r="AQ642" i="10" s="1"/>
  <c r="O642" i="10"/>
  <c r="N642" i="10"/>
  <c r="AK641" i="10"/>
  <c r="AB641" i="10"/>
  <c r="AA641" i="10"/>
  <c r="X641" i="10"/>
  <c r="Y641" i="10" s="1"/>
  <c r="V641" i="10"/>
  <c r="W641" i="10" s="1"/>
  <c r="T641" i="10"/>
  <c r="U641" i="10" s="1"/>
  <c r="S641" i="10"/>
  <c r="P641" i="10"/>
  <c r="AO641" i="10" s="1"/>
  <c r="AQ641" i="10" s="1"/>
  <c r="O641" i="10"/>
  <c r="N641" i="10"/>
  <c r="AK640" i="10"/>
  <c r="AB640" i="10"/>
  <c r="AA640" i="10"/>
  <c r="X640" i="10"/>
  <c r="Y640" i="10" s="1"/>
  <c r="V640" i="10"/>
  <c r="W640" i="10" s="1"/>
  <c r="T640" i="10"/>
  <c r="U640" i="10" s="1"/>
  <c r="S640" i="10"/>
  <c r="P640" i="10"/>
  <c r="AO640" i="10" s="1"/>
  <c r="AQ640" i="10" s="1"/>
  <c r="O640" i="10"/>
  <c r="N640" i="10"/>
  <c r="AK639" i="10"/>
  <c r="AB639" i="10"/>
  <c r="AA639" i="10"/>
  <c r="X639" i="10"/>
  <c r="Y639" i="10" s="1"/>
  <c r="V639" i="10"/>
  <c r="W639" i="10" s="1"/>
  <c r="T639" i="10"/>
  <c r="U639" i="10" s="1"/>
  <c r="S639" i="10"/>
  <c r="P639" i="10"/>
  <c r="AO639" i="10" s="1"/>
  <c r="AQ639" i="10" s="1"/>
  <c r="O639" i="10"/>
  <c r="N639" i="10"/>
  <c r="AK638" i="10"/>
  <c r="AB638" i="10"/>
  <c r="AA638" i="10"/>
  <c r="X638" i="10"/>
  <c r="Y638" i="10" s="1"/>
  <c r="V638" i="10"/>
  <c r="W638" i="10" s="1"/>
  <c r="T638" i="10"/>
  <c r="U638" i="10" s="1"/>
  <c r="S638" i="10"/>
  <c r="P638" i="10"/>
  <c r="AO638" i="10" s="1"/>
  <c r="AQ638" i="10" s="1"/>
  <c r="O638" i="10"/>
  <c r="N638" i="10"/>
  <c r="AK637" i="10"/>
  <c r="AB637" i="10"/>
  <c r="AA637" i="10"/>
  <c r="X637" i="10"/>
  <c r="Y637" i="10" s="1"/>
  <c r="V637" i="10"/>
  <c r="W637" i="10" s="1"/>
  <c r="T637" i="10"/>
  <c r="U637" i="10" s="1"/>
  <c r="S637" i="10"/>
  <c r="P637" i="10"/>
  <c r="AO637" i="10" s="1"/>
  <c r="AQ637" i="10" s="1"/>
  <c r="O637" i="10"/>
  <c r="N637" i="10"/>
  <c r="AK636" i="10"/>
  <c r="AB636" i="10"/>
  <c r="AA636" i="10"/>
  <c r="X636" i="10"/>
  <c r="Y636" i="10" s="1"/>
  <c r="V636" i="10"/>
  <c r="W636" i="10" s="1"/>
  <c r="T636" i="10"/>
  <c r="U636" i="10" s="1"/>
  <c r="S636" i="10"/>
  <c r="P636" i="10"/>
  <c r="AO636" i="10" s="1"/>
  <c r="AQ636" i="10" s="1"/>
  <c r="O636" i="10"/>
  <c r="N636" i="10"/>
  <c r="AK635" i="10"/>
  <c r="AB635" i="10"/>
  <c r="AA635" i="10"/>
  <c r="X635" i="10"/>
  <c r="Y635" i="10" s="1"/>
  <c r="V635" i="10"/>
  <c r="W635" i="10" s="1"/>
  <c r="T635" i="10"/>
  <c r="U635" i="10" s="1"/>
  <c r="S635" i="10"/>
  <c r="P635" i="10"/>
  <c r="AO635" i="10" s="1"/>
  <c r="AQ635" i="10" s="1"/>
  <c r="O635" i="10"/>
  <c r="N635" i="10"/>
  <c r="AK634" i="10"/>
  <c r="AB634" i="10"/>
  <c r="AA634" i="10"/>
  <c r="X634" i="10"/>
  <c r="Y634" i="10" s="1"/>
  <c r="V634" i="10"/>
  <c r="W634" i="10" s="1"/>
  <c r="T634" i="10"/>
  <c r="U634" i="10" s="1"/>
  <c r="S634" i="10"/>
  <c r="P634" i="10"/>
  <c r="AO634" i="10" s="1"/>
  <c r="AQ634" i="10" s="1"/>
  <c r="O634" i="10"/>
  <c r="N634" i="10"/>
  <c r="AK633" i="10"/>
  <c r="AB633" i="10"/>
  <c r="AA633" i="10"/>
  <c r="X633" i="10"/>
  <c r="Y633" i="10" s="1"/>
  <c r="V633" i="10"/>
  <c r="W633" i="10" s="1"/>
  <c r="T633" i="10"/>
  <c r="U633" i="10" s="1"/>
  <c r="S633" i="10"/>
  <c r="P633" i="10"/>
  <c r="AO633" i="10" s="1"/>
  <c r="AQ633" i="10" s="1"/>
  <c r="O633" i="10"/>
  <c r="N633" i="10"/>
  <c r="AK632" i="10"/>
  <c r="AB632" i="10"/>
  <c r="AA632" i="10"/>
  <c r="X632" i="10"/>
  <c r="Y632" i="10" s="1"/>
  <c r="V632" i="10"/>
  <c r="W632" i="10" s="1"/>
  <c r="T632" i="10"/>
  <c r="U632" i="10" s="1"/>
  <c r="S632" i="10"/>
  <c r="P632" i="10"/>
  <c r="AO632" i="10" s="1"/>
  <c r="AQ632" i="10" s="1"/>
  <c r="O632" i="10"/>
  <c r="N632" i="10"/>
  <c r="AK631" i="10"/>
  <c r="AB631" i="10"/>
  <c r="AA631" i="10"/>
  <c r="X631" i="10"/>
  <c r="Y631" i="10" s="1"/>
  <c r="V631" i="10"/>
  <c r="W631" i="10" s="1"/>
  <c r="T631" i="10"/>
  <c r="U631" i="10" s="1"/>
  <c r="S631" i="10"/>
  <c r="P631" i="10"/>
  <c r="AO631" i="10" s="1"/>
  <c r="AQ631" i="10" s="1"/>
  <c r="O631" i="10"/>
  <c r="N631" i="10"/>
  <c r="AK630" i="10"/>
  <c r="AB630" i="10"/>
  <c r="AA630" i="10"/>
  <c r="X630" i="10"/>
  <c r="Y630" i="10" s="1"/>
  <c r="V630" i="10"/>
  <c r="W630" i="10" s="1"/>
  <c r="T630" i="10"/>
  <c r="U630" i="10" s="1"/>
  <c r="S630" i="10"/>
  <c r="P630" i="10"/>
  <c r="AO630" i="10" s="1"/>
  <c r="AQ630" i="10" s="1"/>
  <c r="O630" i="10"/>
  <c r="N630" i="10"/>
  <c r="AK629" i="10"/>
  <c r="AB629" i="10"/>
  <c r="AA629" i="10"/>
  <c r="X629" i="10"/>
  <c r="Y629" i="10" s="1"/>
  <c r="V629" i="10"/>
  <c r="W629" i="10" s="1"/>
  <c r="T629" i="10"/>
  <c r="U629" i="10" s="1"/>
  <c r="S629" i="10"/>
  <c r="P629" i="10"/>
  <c r="AO629" i="10" s="1"/>
  <c r="AQ629" i="10" s="1"/>
  <c r="O629" i="10"/>
  <c r="N629" i="10"/>
  <c r="AK628" i="10"/>
  <c r="AB628" i="10"/>
  <c r="AA628" i="10"/>
  <c r="X628" i="10"/>
  <c r="Y628" i="10" s="1"/>
  <c r="V628" i="10"/>
  <c r="W628" i="10" s="1"/>
  <c r="T628" i="10"/>
  <c r="U628" i="10" s="1"/>
  <c r="S628" i="10"/>
  <c r="P628" i="10"/>
  <c r="AO628" i="10" s="1"/>
  <c r="AQ628" i="10" s="1"/>
  <c r="O628" i="10"/>
  <c r="N628" i="10"/>
  <c r="AK627" i="10"/>
  <c r="AB627" i="10"/>
  <c r="AA627" i="10"/>
  <c r="X627" i="10"/>
  <c r="Y627" i="10" s="1"/>
  <c r="V627" i="10"/>
  <c r="W627" i="10" s="1"/>
  <c r="T627" i="10"/>
  <c r="U627" i="10" s="1"/>
  <c r="S627" i="10"/>
  <c r="P627" i="10"/>
  <c r="AO627" i="10" s="1"/>
  <c r="AQ627" i="10" s="1"/>
  <c r="O627" i="10"/>
  <c r="N627" i="10"/>
  <c r="AK626" i="10"/>
  <c r="AB626" i="10"/>
  <c r="AA626" i="10"/>
  <c r="X626" i="10"/>
  <c r="Y626" i="10" s="1"/>
  <c r="V626" i="10"/>
  <c r="W626" i="10" s="1"/>
  <c r="T626" i="10"/>
  <c r="U626" i="10" s="1"/>
  <c r="S626" i="10"/>
  <c r="P626" i="10"/>
  <c r="AO626" i="10" s="1"/>
  <c r="AQ626" i="10" s="1"/>
  <c r="O626" i="10"/>
  <c r="N626" i="10"/>
  <c r="AK625" i="10"/>
  <c r="AB625" i="10"/>
  <c r="AA625" i="10"/>
  <c r="X625" i="10"/>
  <c r="Y625" i="10" s="1"/>
  <c r="V625" i="10"/>
  <c r="W625" i="10" s="1"/>
  <c r="T625" i="10"/>
  <c r="U625" i="10" s="1"/>
  <c r="S625" i="10"/>
  <c r="P625" i="10"/>
  <c r="AO625" i="10" s="1"/>
  <c r="AQ625" i="10" s="1"/>
  <c r="O625" i="10"/>
  <c r="N625" i="10"/>
  <c r="AK624" i="10"/>
  <c r="AB624" i="10"/>
  <c r="AA624" i="10"/>
  <c r="X624" i="10"/>
  <c r="Y624" i="10" s="1"/>
  <c r="V624" i="10"/>
  <c r="W624" i="10" s="1"/>
  <c r="T624" i="10"/>
  <c r="U624" i="10" s="1"/>
  <c r="S624" i="10"/>
  <c r="P624" i="10"/>
  <c r="AO624" i="10" s="1"/>
  <c r="AQ624" i="10" s="1"/>
  <c r="O624" i="10"/>
  <c r="N624" i="10"/>
  <c r="AK623" i="10"/>
  <c r="AB623" i="10"/>
  <c r="AA623" i="10"/>
  <c r="X623" i="10"/>
  <c r="Y623" i="10" s="1"/>
  <c r="V623" i="10"/>
  <c r="W623" i="10" s="1"/>
  <c r="T623" i="10"/>
  <c r="U623" i="10" s="1"/>
  <c r="S623" i="10"/>
  <c r="P623" i="10"/>
  <c r="AO623" i="10" s="1"/>
  <c r="AQ623" i="10" s="1"/>
  <c r="O623" i="10"/>
  <c r="N623" i="10"/>
  <c r="AK622" i="10"/>
  <c r="AB622" i="10"/>
  <c r="AA622" i="10"/>
  <c r="X622" i="10"/>
  <c r="Y622" i="10" s="1"/>
  <c r="V622" i="10"/>
  <c r="W622" i="10" s="1"/>
  <c r="T622" i="10"/>
  <c r="U622" i="10" s="1"/>
  <c r="S622" i="10"/>
  <c r="P622" i="10"/>
  <c r="AO622" i="10" s="1"/>
  <c r="AQ622" i="10" s="1"/>
  <c r="O622" i="10"/>
  <c r="N622" i="10"/>
  <c r="AK621" i="10"/>
  <c r="AB621" i="10"/>
  <c r="AA621" i="10"/>
  <c r="X621" i="10"/>
  <c r="Y621" i="10" s="1"/>
  <c r="V621" i="10"/>
  <c r="W621" i="10" s="1"/>
  <c r="T621" i="10"/>
  <c r="U621" i="10" s="1"/>
  <c r="S621" i="10"/>
  <c r="P621" i="10"/>
  <c r="AO621" i="10" s="1"/>
  <c r="AQ621" i="10" s="1"/>
  <c r="O621" i="10"/>
  <c r="N621" i="10"/>
  <c r="AK620" i="10"/>
  <c r="AB620" i="10"/>
  <c r="AA620" i="10"/>
  <c r="X620" i="10"/>
  <c r="Y620" i="10" s="1"/>
  <c r="V620" i="10"/>
  <c r="W620" i="10" s="1"/>
  <c r="T620" i="10"/>
  <c r="U620" i="10" s="1"/>
  <c r="S620" i="10"/>
  <c r="P620" i="10"/>
  <c r="AO620" i="10" s="1"/>
  <c r="AQ620" i="10" s="1"/>
  <c r="O620" i="10"/>
  <c r="N620" i="10"/>
  <c r="AO619" i="10"/>
  <c r="AQ619" i="10" s="1"/>
  <c r="AK619" i="10"/>
  <c r="AL619" i="10" s="1"/>
  <c r="AI619" i="10"/>
  <c r="AB619" i="10"/>
  <c r="AA619" i="10"/>
  <c r="X619" i="10"/>
  <c r="Y619" i="10" s="1"/>
  <c r="V619" i="10"/>
  <c r="W619" i="10" s="1"/>
  <c r="T619" i="10"/>
  <c r="U619" i="10" s="1"/>
  <c r="S619" i="10"/>
  <c r="P619" i="10"/>
  <c r="O619" i="10"/>
  <c r="N619" i="10"/>
  <c r="Z619" i="10" s="1"/>
  <c r="AN619" i="10" s="1"/>
  <c r="AK618" i="10"/>
  <c r="AB618" i="10"/>
  <c r="AA618" i="10"/>
  <c r="X618" i="10"/>
  <c r="Y618" i="10" s="1"/>
  <c r="V618" i="10"/>
  <c r="W618" i="10" s="1"/>
  <c r="T618" i="10"/>
  <c r="U618" i="10" s="1"/>
  <c r="S618" i="10"/>
  <c r="P618" i="10"/>
  <c r="AO618" i="10" s="1"/>
  <c r="AQ618" i="10" s="1"/>
  <c r="O618" i="10"/>
  <c r="N618" i="10"/>
  <c r="AK617" i="10"/>
  <c r="AB617" i="10"/>
  <c r="AA617" i="10"/>
  <c r="X617" i="10"/>
  <c r="Y617" i="10" s="1"/>
  <c r="V617" i="10"/>
  <c r="W617" i="10" s="1"/>
  <c r="T617" i="10"/>
  <c r="U617" i="10" s="1"/>
  <c r="S617" i="10"/>
  <c r="P617" i="10"/>
  <c r="AO617" i="10" s="1"/>
  <c r="AQ617" i="10" s="1"/>
  <c r="O617" i="10"/>
  <c r="N617" i="10"/>
  <c r="AK616" i="10"/>
  <c r="AB616" i="10"/>
  <c r="AA616" i="10"/>
  <c r="X616" i="10"/>
  <c r="Y616" i="10" s="1"/>
  <c r="V616" i="10"/>
  <c r="W616" i="10" s="1"/>
  <c r="T616" i="10"/>
  <c r="U616" i="10" s="1"/>
  <c r="S616" i="10"/>
  <c r="P616" i="10"/>
  <c r="AO616" i="10" s="1"/>
  <c r="AQ616" i="10" s="1"/>
  <c r="O616" i="10"/>
  <c r="N616" i="10"/>
  <c r="AK615" i="10"/>
  <c r="AB615" i="10"/>
  <c r="AA615" i="10"/>
  <c r="X615" i="10"/>
  <c r="Y615" i="10" s="1"/>
  <c r="V615" i="10"/>
  <c r="W615" i="10" s="1"/>
  <c r="T615" i="10"/>
  <c r="U615" i="10" s="1"/>
  <c r="S615" i="10"/>
  <c r="P615" i="10"/>
  <c r="AO615" i="10" s="1"/>
  <c r="AQ615" i="10" s="1"/>
  <c r="O615" i="10"/>
  <c r="N615" i="10"/>
  <c r="AK614" i="10"/>
  <c r="AB614" i="10"/>
  <c r="AA614" i="10"/>
  <c r="X614" i="10"/>
  <c r="Y614" i="10" s="1"/>
  <c r="V614" i="10"/>
  <c r="W614" i="10" s="1"/>
  <c r="T614" i="10"/>
  <c r="U614" i="10" s="1"/>
  <c r="S614" i="10"/>
  <c r="P614" i="10"/>
  <c r="AO614" i="10" s="1"/>
  <c r="AQ614" i="10" s="1"/>
  <c r="O614" i="10"/>
  <c r="N614" i="10"/>
  <c r="AK613" i="10"/>
  <c r="AB613" i="10"/>
  <c r="AA613" i="10"/>
  <c r="X613" i="10"/>
  <c r="Y613" i="10" s="1"/>
  <c r="V613" i="10"/>
  <c r="W613" i="10" s="1"/>
  <c r="T613" i="10"/>
  <c r="U613" i="10" s="1"/>
  <c r="S613" i="10"/>
  <c r="P613" i="10"/>
  <c r="AO613" i="10" s="1"/>
  <c r="AQ613" i="10" s="1"/>
  <c r="O613" i="10"/>
  <c r="N613" i="10"/>
  <c r="AK612" i="10"/>
  <c r="AB612" i="10"/>
  <c r="AA612" i="10"/>
  <c r="X612" i="10"/>
  <c r="Y612" i="10" s="1"/>
  <c r="V612" i="10"/>
  <c r="W612" i="10" s="1"/>
  <c r="T612" i="10"/>
  <c r="U612" i="10" s="1"/>
  <c r="S612" i="10"/>
  <c r="P612" i="10"/>
  <c r="AO612" i="10" s="1"/>
  <c r="AQ612" i="10" s="1"/>
  <c r="O612" i="10"/>
  <c r="N612" i="10"/>
  <c r="AK611" i="10"/>
  <c r="AB611" i="10"/>
  <c r="AA611" i="10"/>
  <c r="X611" i="10"/>
  <c r="Y611" i="10" s="1"/>
  <c r="V611" i="10"/>
  <c r="W611" i="10" s="1"/>
  <c r="T611" i="10"/>
  <c r="U611" i="10" s="1"/>
  <c r="S611" i="10"/>
  <c r="P611" i="10"/>
  <c r="AO611" i="10" s="1"/>
  <c r="AQ611" i="10" s="1"/>
  <c r="O611" i="10"/>
  <c r="N611" i="10"/>
  <c r="AK610" i="10"/>
  <c r="AB610" i="10"/>
  <c r="AA610" i="10"/>
  <c r="X610" i="10"/>
  <c r="Y610" i="10" s="1"/>
  <c r="V610" i="10"/>
  <c r="W610" i="10" s="1"/>
  <c r="T610" i="10"/>
  <c r="U610" i="10" s="1"/>
  <c r="S610" i="10"/>
  <c r="P610" i="10"/>
  <c r="AO610" i="10" s="1"/>
  <c r="AQ610" i="10" s="1"/>
  <c r="O610" i="10"/>
  <c r="N610" i="10"/>
  <c r="AK609" i="10"/>
  <c r="AB609" i="10"/>
  <c r="AA609" i="10"/>
  <c r="X609" i="10"/>
  <c r="Y609" i="10" s="1"/>
  <c r="V609" i="10"/>
  <c r="W609" i="10" s="1"/>
  <c r="T609" i="10"/>
  <c r="U609" i="10" s="1"/>
  <c r="S609" i="10"/>
  <c r="P609" i="10"/>
  <c r="AO609" i="10" s="1"/>
  <c r="AQ609" i="10" s="1"/>
  <c r="O609" i="10"/>
  <c r="N609" i="10"/>
  <c r="AK608" i="10"/>
  <c r="AB608" i="10"/>
  <c r="AA608" i="10"/>
  <c r="X608" i="10"/>
  <c r="Y608" i="10" s="1"/>
  <c r="V608" i="10"/>
  <c r="W608" i="10" s="1"/>
  <c r="T608" i="10"/>
  <c r="U608" i="10" s="1"/>
  <c r="S608" i="10"/>
  <c r="P608" i="10"/>
  <c r="AO608" i="10" s="1"/>
  <c r="AQ608" i="10" s="1"/>
  <c r="O608" i="10"/>
  <c r="N608" i="10"/>
  <c r="AK607" i="10"/>
  <c r="AB607" i="10"/>
  <c r="AA607" i="10"/>
  <c r="X607" i="10"/>
  <c r="Y607" i="10" s="1"/>
  <c r="V607" i="10"/>
  <c r="W607" i="10" s="1"/>
  <c r="T607" i="10"/>
  <c r="U607" i="10" s="1"/>
  <c r="S607" i="10"/>
  <c r="P607" i="10"/>
  <c r="AO607" i="10" s="1"/>
  <c r="AQ607" i="10" s="1"/>
  <c r="O607" i="10"/>
  <c r="N607" i="10"/>
  <c r="AK606" i="10"/>
  <c r="AB606" i="10"/>
  <c r="AA606" i="10"/>
  <c r="X606" i="10"/>
  <c r="Y606" i="10" s="1"/>
  <c r="V606" i="10"/>
  <c r="W606" i="10" s="1"/>
  <c r="T606" i="10"/>
  <c r="U606" i="10" s="1"/>
  <c r="S606" i="10"/>
  <c r="P606" i="10"/>
  <c r="AO606" i="10" s="1"/>
  <c r="AQ606" i="10" s="1"/>
  <c r="O606" i="10"/>
  <c r="N606" i="10"/>
  <c r="AK605" i="10"/>
  <c r="AB605" i="10"/>
  <c r="AA605" i="10"/>
  <c r="X605" i="10"/>
  <c r="Y605" i="10" s="1"/>
  <c r="V605" i="10"/>
  <c r="W605" i="10" s="1"/>
  <c r="T605" i="10"/>
  <c r="U605" i="10" s="1"/>
  <c r="S605" i="10"/>
  <c r="P605" i="10"/>
  <c r="AO605" i="10" s="1"/>
  <c r="AQ605" i="10" s="1"/>
  <c r="O605" i="10"/>
  <c r="N605" i="10"/>
  <c r="AK604" i="10"/>
  <c r="AB604" i="10"/>
  <c r="AA604" i="10"/>
  <c r="X604" i="10"/>
  <c r="Y604" i="10" s="1"/>
  <c r="V604" i="10"/>
  <c r="W604" i="10" s="1"/>
  <c r="T604" i="10"/>
  <c r="U604" i="10" s="1"/>
  <c r="S604" i="10"/>
  <c r="P604" i="10"/>
  <c r="AO604" i="10" s="1"/>
  <c r="AQ604" i="10" s="1"/>
  <c r="O604" i="10"/>
  <c r="N604" i="10"/>
  <c r="AK603" i="10"/>
  <c r="AB603" i="10"/>
  <c r="AA603" i="10"/>
  <c r="X603" i="10"/>
  <c r="Y603" i="10" s="1"/>
  <c r="V603" i="10"/>
  <c r="W603" i="10" s="1"/>
  <c r="T603" i="10"/>
  <c r="U603" i="10" s="1"/>
  <c r="S603" i="10"/>
  <c r="P603" i="10"/>
  <c r="AO603" i="10" s="1"/>
  <c r="AQ603" i="10" s="1"/>
  <c r="O603" i="10"/>
  <c r="N603" i="10"/>
  <c r="AK602" i="10"/>
  <c r="AB602" i="10"/>
  <c r="AA602" i="10"/>
  <c r="X602" i="10"/>
  <c r="Y602" i="10" s="1"/>
  <c r="V602" i="10"/>
  <c r="W602" i="10" s="1"/>
  <c r="T602" i="10"/>
  <c r="U602" i="10" s="1"/>
  <c r="S602" i="10"/>
  <c r="P602" i="10"/>
  <c r="AO602" i="10" s="1"/>
  <c r="AQ602" i="10" s="1"/>
  <c r="O602" i="10"/>
  <c r="N602" i="10"/>
  <c r="AK601" i="10"/>
  <c r="AB601" i="10"/>
  <c r="AA601" i="10"/>
  <c r="X601" i="10"/>
  <c r="Y601" i="10" s="1"/>
  <c r="V601" i="10"/>
  <c r="W601" i="10" s="1"/>
  <c r="T601" i="10"/>
  <c r="U601" i="10" s="1"/>
  <c r="S601" i="10"/>
  <c r="P601" i="10"/>
  <c r="AO601" i="10" s="1"/>
  <c r="AQ601" i="10" s="1"/>
  <c r="O601" i="10"/>
  <c r="N601" i="10"/>
  <c r="AK600" i="10"/>
  <c r="AB600" i="10"/>
  <c r="AA600" i="10"/>
  <c r="X600" i="10"/>
  <c r="Y600" i="10" s="1"/>
  <c r="V600" i="10"/>
  <c r="W600" i="10" s="1"/>
  <c r="T600" i="10"/>
  <c r="U600" i="10" s="1"/>
  <c r="S600" i="10"/>
  <c r="P600" i="10"/>
  <c r="AO600" i="10" s="1"/>
  <c r="AQ600" i="10" s="1"/>
  <c r="O600" i="10"/>
  <c r="N600" i="10"/>
  <c r="AK599" i="10"/>
  <c r="AB599" i="10"/>
  <c r="AA599" i="10"/>
  <c r="X599" i="10"/>
  <c r="Y599" i="10" s="1"/>
  <c r="V599" i="10"/>
  <c r="W599" i="10" s="1"/>
  <c r="T599" i="10"/>
  <c r="U599" i="10" s="1"/>
  <c r="S599" i="10"/>
  <c r="P599" i="10"/>
  <c r="AO599" i="10" s="1"/>
  <c r="AQ599" i="10" s="1"/>
  <c r="O599" i="10"/>
  <c r="N599" i="10"/>
  <c r="AK598" i="10"/>
  <c r="AB598" i="10"/>
  <c r="AA598" i="10"/>
  <c r="X598" i="10"/>
  <c r="Y598" i="10" s="1"/>
  <c r="V598" i="10"/>
  <c r="W598" i="10" s="1"/>
  <c r="T598" i="10"/>
  <c r="U598" i="10" s="1"/>
  <c r="S598" i="10"/>
  <c r="P598" i="10"/>
  <c r="AO598" i="10" s="1"/>
  <c r="AQ598" i="10" s="1"/>
  <c r="O598" i="10"/>
  <c r="N598" i="10"/>
  <c r="AK597" i="10"/>
  <c r="AB597" i="10"/>
  <c r="AA597" i="10"/>
  <c r="X597" i="10"/>
  <c r="Y597" i="10" s="1"/>
  <c r="V597" i="10"/>
  <c r="W597" i="10" s="1"/>
  <c r="T597" i="10"/>
  <c r="U597" i="10" s="1"/>
  <c r="S597" i="10"/>
  <c r="P597" i="10"/>
  <c r="AO597" i="10" s="1"/>
  <c r="AQ597" i="10" s="1"/>
  <c r="O597" i="10"/>
  <c r="N597" i="10"/>
  <c r="AK596" i="10"/>
  <c r="AB596" i="10"/>
  <c r="AA596" i="10"/>
  <c r="X596" i="10"/>
  <c r="Y596" i="10" s="1"/>
  <c r="V596" i="10"/>
  <c r="W596" i="10" s="1"/>
  <c r="T596" i="10"/>
  <c r="U596" i="10" s="1"/>
  <c r="S596" i="10"/>
  <c r="P596" i="10"/>
  <c r="AO596" i="10" s="1"/>
  <c r="AQ596" i="10" s="1"/>
  <c r="O596" i="10"/>
  <c r="N596" i="10"/>
  <c r="AK595" i="10"/>
  <c r="AB595" i="10"/>
  <c r="AA595" i="10"/>
  <c r="X595" i="10"/>
  <c r="Y595" i="10" s="1"/>
  <c r="V595" i="10"/>
  <c r="W595" i="10" s="1"/>
  <c r="T595" i="10"/>
  <c r="U595" i="10" s="1"/>
  <c r="S595" i="10"/>
  <c r="P595" i="10"/>
  <c r="AO595" i="10" s="1"/>
  <c r="AQ595" i="10" s="1"/>
  <c r="O595" i="10"/>
  <c r="N595" i="10"/>
  <c r="AK594" i="10"/>
  <c r="AB594" i="10"/>
  <c r="AA594" i="10"/>
  <c r="X594" i="10"/>
  <c r="Y594" i="10" s="1"/>
  <c r="V594" i="10"/>
  <c r="W594" i="10" s="1"/>
  <c r="T594" i="10"/>
  <c r="U594" i="10" s="1"/>
  <c r="S594" i="10"/>
  <c r="P594" i="10"/>
  <c r="AO594" i="10" s="1"/>
  <c r="AQ594" i="10" s="1"/>
  <c r="O594" i="10"/>
  <c r="N594" i="10"/>
  <c r="AK593" i="10"/>
  <c r="AB593" i="10"/>
  <c r="AA593" i="10"/>
  <c r="X593" i="10"/>
  <c r="Y593" i="10" s="1"/>
  <c r="V593" i="10"/>
  <c r="W593" i="10" s="1"/>
  <c r="T593" i="10"/>
  <c r="U593" i="10" s="1"/>
  <c r="S593" i="10"/>
  <c r="P593" i="10"/>
  <c r="AO593" i="10" s="1"/>
  <c r="AQ593" i="10" s="1"/>
  <c r="O593" i="10"/>
  <c r="N593" i="10"/>
  <c r="AK592" i="10"/>
  <c r="AB592" i="10"/>
  <c r="AA592" i="10"/>
  <c r="X592" i="10"/>
  <c r="Y592" i="10" s="1"/>
  <c r="V592" i="10"/>
  <c r="W592" i="10" s="1"/>
  <c r="T592" i="10"/>
  <c r="U592" i="10" s="1"/>
  <c r="S592" i="10"/>
  <c r="P592" i="10"/>
  <c r="AO592" i="10" s="1"/>
  <c r="AQ592" i="10" s="1"/>
  <c r="O592" i="10"/>
  <c r="N592" i="10"/>
  <c r="AK591" i="10"/>
  <c r="AB591" i="10"/>
  <c r="AA591" i="10"/>
  <c r="X591" i="10"/>
  <c r="Y591" i="10" s="1"/>
  <c r="V591" i="10"/>
  <c r="W591" i="10" s="1"/>
  <c r="T591" i="10"/>
  <c r="U591" i="10" s="1"/>
  <c r="S591" i="10"/>
  <c r="P591" i="10"/>
  <c r="AO591" i="10" s="1"/>
  <c r="AQ591" i="10" s="1"/>
  <c r="O591" i="10"/>
  <c r="N591" i="10"/>
  <c r="AK590" i="10"/>
  <c r="AB590" i="10"/>
  <c r="AA590" i="10"/>
  <c r="X590" i="10"/>
  <c r="Y590" i="10" s="1"/>
  <c r="V590" i="10"/>
  <c r="W590" i="10" s="1"/>
  <c r="T590" i="10"/>
  <c r="U590" i="10" s="1"/>
  <c r="S590" i="10"/>
  <c r="P590" i="10"/>
  <c r="AO590" i="10" s="1"/>
  <c r="AQ590" i="10" s="1"/>
  <c r="O590" i="10"/>
  <c r="N590" i="10"/>
  <c r="AK589" i="10"/>
  <c r="AB589" i="10"/>
  <c r="AA589" i="10"/>
  <c r="X589" i="10"/>
  <c r="Y589" i="10" s="1"/>
  <c r="V589" i="10"/>
  <c r="W589" i="10" s="1"/>
  <c r="T589" i="10"/>
  <c r="U589" i="10" s="1"/>
  <c r="S589" i="10"/>
  <c r="P589" i="10"/>
  <c r="AO589" i="10" s="1"/>
  <c r="AQ589" i="10" s="1"/>
  <c r="O589" i="10"/>
  <c r="N589" i="10"/>
  <c r="AK588" i="10"/>
  <c r="AB588" i="10"/>
  <c r="AA588" i="10"/>
  <c r="X588" i="10"/>
  <c r="Y588" i="10" s="1"/>
  <c r="V588" i="10"/>
  <c r="W588" i="10" s="1"/>
  <c r="T588" i="10"/>
  <c r="U588" i="10" s="1"/>
  <c r="S588" i="10"/>
  <c r="P588" i="10"/>
  <c r="AO588" i="10" s="1"/>
  <c r="AQ588" i="10" s="1"/>
  <c r="O588" i="10"/>
  <c r="N588" i="10"/>
  <c r="AK587" i="10"/>
  <c r="AB587" i="10"/>
  <c r="AA587" i="10"/>
  <c r="X587" i="10"/>
  <c r="Y587" i="10" s="1"/>
  <c r="V587" i="10"/>
  <c r="W587" i="10" s="1"/>
  <c r="T587" i="10"/>
  <c r="U587" i="10" s="1"/>
  <c r="S587" i="10"/>
  <c r="P587" i="10"/>
  <c r="AO587" i="10" s="1"/>
  <c r="AQ587" i="10" s="1"/>
  <c r="O587" i="10"/>
  <c r="N587" i="10"/>
  <c r="AK586" i="10"/>
  <c r="AB586" i="10"/>
  <c r="AA586" i="10"/>
  <c r="X586" i="10"/>
  <c r="Y586" i="10" s="1"/>
  <c r="V586" i="10"/>
  <c r="W586" i="10" s="1"/>
  <c r="T586" i="10"/>
  <c r="U586" i="10" s="1"/>
  <c r="S586" i="10"/>
  <c r="P586" i="10"/>
  <c r="AO586" i="10" s="1"/>
  <c r="AQ586" i="10" s="1"/>
  <c r="O586" i="10"/>
  <c r="N586" i="10"/>
  <c r="AK585" i="10"/>
  <c r="AB585" i="10"/>
  <c r="AA585" i="10"/>
  <c r="X585" i="10"/>
  <c r="Y585" i="10" s="1"/>
  <c r="V585" i="10"/>
  <c r="W585" i="10" s="1"/>
  <c r="T585" i="10"/>
  <c r="U585" i="10" s="1"/>
  <c r="S585" i="10"/>
  <c r="P585" i="10"/>
  <c r="AO585" i="10" s="1"/>
  <c r="AQ585" i="10" s="1"/>
  <c r="O585" i="10"/>
  <c r="N585" i="10"/>
  <c r="AK584" i="10"/>
  <c r="AB584" i="10"/>
  <c r="AA584" i="10"/>
  <c r="X584" i="10"/>
  <c r="Y584" i="10" s="1"/>
  <c r="V584" i="10"/>
  <c r="W584" i="10" s="1"/>
  <c r="T584" i="10"/>
  <c r="U584" i="10" s="1"/>
  <c r="S584" i="10"/>
  <c r="P584" i="10"/>
  <c r="AO584" i="10" s="1"/>
  <c r="AQ584" i="10" s="1"/>
  <c r="O584" i="10"/>
  <c r="N584" i="10"/>
  <c r="AK583" i="10"/>
  <c r="AB583" i="10"/>
  <c r="AA583" i="10"/>
  <c r="X583" i="10"/>
  <c r="Y583" i="10" s="1"/>
  <c r="V583" i="10"/>
  <c r="W583" i="10" s="1"/>
  <c r="T583" i="10"/>
  <c r="U583" i="10" s="1"/>
  <c r="S583" i="10"/>
  <c r="P583" i="10"/>
  <c r="AO583" i="10" s="1"/>
  <c r="AQ583" i="10" s="1"/>
  <c r="O583" i="10"/>
  <c r="N583" i="10"/>
  <c r="AK582" i="10"/>
  <c r="AB582" i="10"/>
  <c r="AA582" i="10"/>
  <c r="X582" i="10"/>
  <c r="Y582" i="10" s="1"/>
  <c r="V582" i="10"/>
  <c r="W582" i="10" s="1"/>
  <c r="T582" i="10"/>
  <c r="U582" i="10" s="1"/>
  <c r="S582" i="10"/>
  <c r="P582" i="10"/>
  <c r="AO582" i="10" s="1"/>
  <c r="AQ582" i="10" s="1"/>
  <c r="O582" i="10"/>
  <c r="N582" i="10"/>
  <c r="AK581" i="10"/>
  <c r="AB581" i="10"/>
  <c r="AA581" i="10"/>
  <c r="X581" i="10"/>
  <c r="Y581" i="10" s="1"/>
  <c r="V581" i="10"/>
  <c r="W581" i="10" s="1"/>
  <c r="T581" i="10"/>
  <c r="U581" i="10" s="1"/>
  <c r="S581" i="10"/>
  <c r="P581" i="10"/>
  <c r="AO581" i="10" s="1"/>
  <c r="AQ581" i="10" s="1"/>
  <c r="O581" i="10"/>
  <c r="N581" i="10"/>
  <c r="AK580" i="10"/>
  <c r="AB580" i="10"/>
  <c r="AA580" i="10"/>
  <c r="X580" i="10"/>
  <c r="Y580" i="10" s="1"/>
  <c r="V580" i="10"/>
  <c r="W580" i="10" s="1"/>
  <c r="T580" i="10"/>
  <c r="U580" i="10" s="1"/>
  <c r="S580" i="10"/>
  <c r="P580" i="10"/>
  <c r="AO580" i="10" s="1"/>
  <c r="AQ580" i="10" s="1"/>
  <c r="O580" i="10"/>
  <c r="N580" i="10"/>
  <c r="AK579" i="10"/>
  <c r="AB579" i="10"/>
  <c r="AA579" i="10"/>
  <c r="X579" i="10"/>
  <c r="Y579" i="10" s="1"/>
  <c r="V579" i="10"/>
  <c r="W579" i="10" s="1"/>
  <c r="T579" i="10"/>
  <c r="U579" i="10" s="1"/>
  <c r="S579" i="10"/>
  <c r="P579" i="10"/>
  <c r="AO579" i="10" s="1"/>
  <c r="AQ579" i="10" s="1"/>
  <c r="O579" i="10"/>
  <c r="N579" i="10"/>
  <c r="AK578" i="10"/>
  <c r="AB578" i="10"/>
  <c r="AA578" i="10"/>
  <c r="X578" i="10"/>
  <c r="Y578" i="10" s="1"/>
  <c r="V578" i="10"/>
  <c r="W578" i="10" s="1"/>
  <c r="T578" i="10"/>
  <c r="U578" i="10" s="1"/>
  <c r="S578" i="10"/>
  <c r="P578" i="10"/>
  <c r="AO578" i="10" s="1"/>
  <c r="AQ578" i="10" s="1"/>
  <c r="O578" i="10"/>
  <c r="N578" i="10"/>
  <c r="AK577" i="10"/>
  <c r="AB577" i="10"/>
  <c r="AA577" i="10"/>
  <c r="X577" i="10"/>
  <c r="Y577" i="10" s="1"/>
  <c r="V577" i="10"/>
  <c r="W577" i="10" s="1"/>
  <c r="T577" i="10"/>
  <c r="U577" i="10" s="1"/>
  <c r="S577" i="10"/>
  <c r="P577" i="10"/>
  <c r="AO577" i="10" s="1"/>
  <c r="AQ577" i="10" s="1"/>
  <c r="O577" i="10"/>
  <c r="N577" i="10"/>
  <c r="AK576" i="10"/>
  <c r="AB576" i="10"/>
  <c r="AA576" i="10"/>
  <c r="X576" i="10"/>
  <c r="Y576" i="10" s="1"/>
  <c r="V576" i="10"/>
  <c r="W576" i="10" s="1"/>
  <c r="T576" i="10"/>
  <c r="U576" i="10" s="1"/>
  <c r="S576" i="10"/>
  <c r="P576" i="10"/>
  <c r="AO576" i="10" s="1"/>
  <c r="AQ576" i="10" s="1"/>
  <c r="O576" i="10"/>
  <c r="N576" i="10"/>
  <c r="AK575" i="10"/>
  <c r="AB575" i="10"/>
  <c r="AA575" i="10"/>
  <c r="X575" i="10"/>
  <c r="Y575" i="10" s="1"/>
  <c r="V575" i="10"/>
  <c r="W575" i="10" s="1"/>
  <c r="T575" i="10"/>
  <c r="U575" i="10" s="1"/>
  <c r="S575" i="10"/>
  <c r="P575" i="10"/>
  <c r="AO575" i="10" s="1"/>
  <c r="AQ575" i="10" s="1"/>
  <c r="O575" i="10"/>
  <c r="N575" i="10"/>
  <c r="AK574" i="10"/>
  <c r="AB574" i="10"/>
  <c r="AA574" i="10"/>
  <c r="X574" i="10"/>
  <c r="Y574" i="10" s="1"/>
  <c r="V574" i="10"/>
  <c r="W574" i="10" s="1"/>
  <c r="T574" i="10"/>
  <c r="U574" i="10" s="1"/>
  <c r="S574" i="10"/>
  <c r="P574" i="10"/>
  <c r="AO574" i="10" s="1"/>
  <c r="AQ574" i="10" s="1"/>
  <c r="O574" i="10"/>
  <c r="N574" i="10"/>
  <c r="AK573" i="10"/>
  <c r="AB573" i="10"/>
  <c r="AA573" i="10"/>
  <c r="X573" i="10"/>
  <c r="Y573" i="10" s="1"/>
  <c r="V573" i="10"/>
  <c r="W573" i="10" s="1"/>
  <c r="T573" i="10"/>
  <c r="U573" i="10" s="1"/>
  <c r="S573" i="10"/>
  <c r="P573" i="10"/>
  <c r="AO573" i="10" s="1"/>
  <c r="AQ573" i="10" s="1"/>
  <c r="O573" i="10"/>
  <c r="N573" i="10"/>
  <c r="AK572" i="10"/>
  <c r="AB572" i="10"/>
  <c r="AA572" i="10"/>
  <c r="X572" i="10"/>
  <c r="Y572" i="10" s="1"/>
  <c r="V572" i="10"/>
  <c r="W572" i="10" s="1"/>
  <c r="T572" i="10"/>
  <c r="U572" i="10" s="1"/>
  <c r="S572" i="10"/>
  <c r="P572" i="10"/>
  <c r="AO572" i="10" s="1"/>
  <c r="AQ572" i="10" s="1"/>
  <c r="O572" i="10"/>
  <c r="N572" i="10"/>
  <c r="AK571" i="10"/>
  <c r="AB571" i="10"/>
  <c r="AA571" i="10"/>
  <c r="X571" i="10"/>
  <c r="Y571" i="10" s="1"/>
  <c r="V571" i="10"/>
  <c r="W571" i="10" s="1"/>
  <c r="T571" i="10"/>
  <c r="U571" i="10" s="1"/>
  <c r="S571" i="10"/>
  <c r="P571" i="10"/>
  <c r="AO571" i="10" s="1"/>
  <c r="AQ571" i="10" s="1"/>
  <c r="O571" i="10"/>
  <c r="N571" i="10"/>
  <c r="AK570" i="10"/>
  <c r="AB570" i="10"/>
  <c r="AA570" i="10"/>
  <c r="X570" i="10"/>
  <c r="Y570" i="10" s="1"/>
  <c r="V570" i="10"/>
  <c r="W570" i="10" s="1"/>
  <c r="T570" i="10"/>
  <c r="U570" i="10" s="1"/>
  <c r="S570" i="10"/>
  <c r="P570" i="10"/>
  <c r="AO570" i="10" s="1"/>
  <c r="AQ570" i="10" s="1"/>
  <c r="O570" i="10"/>
  <c r="N570" i="10"/>
  <c r="AK569" i="10"/>
  <c r="AB569" i="10"/>
  <c r="AA569" i="10"/>
  <c r="X569" i="10"/>
  <c r="Y569" i="10" s="1"/>
  <c r="V569" i="10"/>
  <c r="W569" i="10" s="1"/>
  <c r="T569" i="10"/>
  <c r="U569" i="10" s="1"/>
  <c r="S569" i="10"/>
  <c r="P569" i="10"/>
  <c r="AO569" i="10" s="1"/>
  <c r="AQ569" i="10" s="1"/>
  <c r="O569" i="10"/>
  <c r="N569" i="10"/>
  <c r="AK568" i="10"/>
  <c r="AB568" i="10"/>
  <c r="AA568" i="10"/>
  <c r="X568" i="10"/>
  <c r="Y568" i="10" s="1"/>
  <c r="V568" i="10"/>
  <c r="W568" i="10" s="1"/>
  <c r="T568" i="10"/>
  <c r="U568" i="10" s="1"/>
  <c r="S568" i="10"/>
  <c r="P568" i="10"/>
  <c r="AO568" i="10" s="1"/>
  <c r="AQ568" i="10" s="1"/>
  <c r="O568" i="10"/>
  <c r="N568" i="10"/>
  <c r="AK567" i="10"/>
  <c r="AB567" i="10"/>
  <c r="AA567" i="10"/>
  <c r="X567" i="10"/>
  <c r="Y567" i="10" s="1"/>
  <c r="V567" i="10"/>
  <c r="W567" i="10" s="1"/>
  <c r="T567" i="10"/>
  <c r="U567" i="10" s="1"/>
  <c r="S567" i="10"/>
  <c r="P567" i="10"/>
  <c r="AO567" i="10" s="1"/>
  <c r="AQ567" i="10" s="1"/>
  <c r="O567" i="10"/>
  <c r="N567" i="10"/>
  <c r="AK566" i="10"/>
  <c r="AB566" i="10"/>
  <c r="AA566" i="10"/>
  <c r="X566" i="10"/>
  <c r="Y566" i="10" s="1"/>
  <c r="V566" i="10"/>
  <c r="W566" i="10" s="1"/>
  <c r="T566" i="10"/>
  <c r="U566" i="10" s="1"/>
  <c r="S566" i="10"/>
  <c r="P566" i="10"/>
  <c r="AO566" i="10" s="1"/>
  <c r="AQ566" i="10" s="1"/>
  <c r="O566" i="10"/>
  <c r="N566" i="10"/>
  <c r="AK565" i="10"/>
  <c r="AB565" i="10"/>
  <c r="AA565" i="10"/>
  <c r="X565" i="10"/>
  <c r="Y565" i="10" s="1"/>
  <c r="V565" i="10"/>
  <c r="W565" i="10" s="1"/>
  <c r="T565" i="10"/>
  <c r="U565" i="10" s="1"/>
  <c r="S565" i="10"/>
  <c r="P565" i="10"/>
  <c r="AO565" i="10" s="1"/>
  <c r="AQ565" i="10" s="1"/>
  <c r="O565" i="10"/>
  <c r="N565" i="10"/>
  <c r="AK564" i="10"/>
  <c r="AB564" i="10"/>
  <c r="AA564" i="10"/>
  <c r="X564" i="10"/>
  <c r="Y564" i="10" s="1"/>
  <c r="V564" i="10"/>
  <c r="W564" i="10" s="1"/>
  <c r="T564" i="10"/>
  <c r="U564" i="10" s="1"/>
  <c r="S564" i="10"/>
  <c r="P564" i="10"/>
  <c r="AO564" i="10" s="1"/>
  <c r="AQ564" i="10" s="1"/>
  <c r="O564" i="10"/>
  <c r="N564" i="10"/>
  <c r="AK563" i="10"/>
  <c r="AB563" i="10"/>
  <c r="AA563" i="10"/>
  <c r="X563" i="10"/>
  <c r="Y563" i="10" s="1"/>
  <c r="V563" i="10"/>
  <c r="W563" i="10" s="1"/>
  <c r="T563" i="10"/>
  <c r="U563" i="10" s="1"/>
  <c r="S563" i="10"/>
  <c r="P563" i="10"/>
  <c r="AO563" i="10" s="1"/>
  <c r="AQ563" i="10" s="1"/>
  <c r="O563" i="10"/>
  <c r="N563" i="10"/>
  <c r="AK562" i="10"/>
  <c r="AB562" i="10"/>
  <c r="AA562" i="10"/>
  <c r="X562" i="10"/>
  <c r="Y562" i="10" s="1"/>
  <c r="V562" i="10"/>
  <c r="W562" i="10" s="1"/>
  <c r="T562" i="10"/>
  <c r="U562" i="10" s="1"/>
  <c r="S562" i="10"/>
  <c r="P562" i="10"/>
  <c r="AO562" i="10" s="1"/>
  <c r="AQ562" i="10" s="1"/>
  <c r="O562" i="10"/>
  <c r="N562" i="10"/>
  <c r="AK561" i="10"/>
  <c r="AB561" i="10"/>
  <c r="AA561" i="10"/>
  <c r="X561" i="10"/>
  <c r="Y561" i="10" s="1"/>
  <c r="V561" i="10"/>
  <c r="W561" i="10" s="1"/>
  <c r="T561" i="10"/>
  <c r="U561" i="10" s="1"/>
  <c r="S561" i="10"/>
  <c r="P561" i="10"/>
  <c r="AO561" i="10" s="1"/>
  <c r="AQ561" i="10" s="1"/>
  <c r="O561" i="10"/>
  <c r="N561" i="10"/>
  <c r="AK560" i="10"/>
  <c r="AB560" i="10"/>
  <c r="AA560" i="10"/>
  <c r="X560" i="10"/>
  <c r="Y560" i="10" s="1"/>
  <c r="V560" i="10"/>
  <c r="W560" i="10" s="1"/>
  <c r="T560" i="10"/>
  <c r="U560" i="10" s="1"/>
  <c r="S560" i="10"/>
  <c r="P560" i="10"/>
  <c r="AO560" i="10" s="1"/>
  <c r="AQ560" i="10" s="1"/>
  <c r="O560" i="10"/>
  <c r="N560" i="10"/>
  <c r="AK559" i="10"/>
  <c r="AB559" i="10"/>
  <c r="AA559" i="10"/>
  <c r="X559" i="10"/>
  <c r="Y559" i="10" s="1"/>
  <c r="V559" i="10"/>
  <c r="W559" i="10" s="1"/>
  <c r="T559" i="10"/>
  <c r="U559" i="10" s="1"/>
  <c r="S559" i="10"/>
  <c r="P559" i="10"/>
  <c r="AO559" i="10" s="1"/>
  <c r="AQ559" i="10" s="1"/>
  <c r="O559" i="10"/>
  <c r="N559" i="10"/>
  <c r="AK558" i="10"/>
  <c r="AB558" i="10"/>
  <c r="AA558" i="10"/>
  <c r="X558" i="10"/>
  <c r="Y558" i="10" s="1"/>
  <c r="V558" i="10"/>
  <c r="W558" i="10" s="1"/>
  <c r="T558" i="10"/>
  <c r="U558" i="10" s="1"/>
  <c r="S558" i="10"/>
  <c r="P558" i="10"/>
  <c r="AO558" i="10" s="1"/>
  <c r="AQ558" i="10" s="1"/>
  <c r="O558" i="10"/>
  <c r="N558" i="10"/>
  <c r="AK557" i="10"/>
  <c r="AB557" i="10"/>
  <c r="AA557" i="10"/>
  <c r="X557" i="10"/>
  <c r="Y557" i="10" s="1"/>
  <c r="V557" i="10"/>
  <c r="W557" i="10" s="1"/>
  <c r="T557" i="10"/>
  <c r="U557" i="10" s="1"/>
  <c r="S557" i="10"/>
  <c r="P557" i="10"/>
  <c r="AO557" i="10" s="1"/>
  <c r="AQ557" i="10" s="1"/>
  <c r="O557" i="10"/>
  <c r="N557" i="10"/>
  <c r="AK556" i="10"/>
  <c r="AB556" i="10"/>
  <c r="AA556" i="10"/>
  <c r="X556" i="10"/>
  <c r="Y556" i="10" s="1"/>
  <c r="V556" i="10"/>
  <c r="W556" i="10" s="1"/>
  <c r="T556" i="10"/>
  <c r="U556" i="10" s="1"/>
  <c r="S556" i="10"/>
  <c r="P556" i="10"/>
  <c r="AO556" i="10" s="1"/>
  <c r="AQ556" i="10" s="1"/>
  <c r="O556" i="10"/>
  <c r="N556" i="10"/>
  <c r="AK555" i="10"/>
  <c r="AB555" i="10"/>
  <c r="AA555" i="10"/>
  <c r="X555" i="10"/>
  <c r="Y555" i="10" s="1"/>
  <c r="V555" i="10"/>
  <c r="W555" i="10" s="1"/>
  <c r="T555" i="10"/>
  <c r="U555" i="10" s="1"/>
  <c r="S555" i="10"/>
  <c r="P555" i="10"/>
  <c r="AO555" i="10" s="1"/>
  <c r="AQ555" i="10" s="1"/>
  <c r="O555" i="10"/>
  <c r="N555" i="10"/>
  <c r="AK554" i="10"/>
  <c r="AB554" i="10"/>
  <c r="AA554" i="10"/>
  <c r="X554" i="10"/>
  <c r="Y554" i="10" s="1"/>
  <c r="V554" i="10"/>
  <c r="W554" i="10" s="1"/>
  <c r="T554" i="10"/>
  <c r="U554" i="10" s="1"/>
  <c r="S554" i="10"/>
  <c r="P554" i="10"/>
  <c r="AO554" i="10" s="1"/>
  <c r="AQ554" i="10" s="1"/>
  <c r="O554" i="10"/>
  <c r="N554" i="10"/>
  <c r="AK553" i="10"/>
  <c r="AB553" i="10"/>
  <c r="AA553" i="10"/>
  <c r="X553" i="10"/>
  <c r="Y553" i="10" s="1"/>
  <c r="V553" i="10"/>
  <c r="W553" i="10" s="1"/>
  <c r="T553" i="10"/>
  <c r="U553" i="10" s="1"/>
  <c r="S553" i="10"/>
  <c r="P553" i="10"/>
  <c r="AO553" i="10" s="1"/>
  <c r="AQ553" i="10" s="1"/>
  <c r="O553" i="10"/>
  <c r="N553" i="10"/>
  <c r="AK552" i="10"/>
  <c r="AB552" i="10"/>
  <c r="AA552" i="10"/>
  <c r="X552" i="10"/>
  <c r="Y552" i="10" s="1"/>
  <c r="V552" i="10"/>
  <c r="W552" i="10" s="1"/>
  <c r="T552" i="10"/>
  <c r="U552" i="10" s="1"/>
  <c r="S552" i="10"/>
  <c r="P552" i="10"/>
  <c r="AO552" i="10" s="1"/>
  <c r="AQ552" i="10" s="1"/>
  <c r="O552" i="10"/>
  <c r="N552" i="10"/>
  <c r="AK551" i="10"/>
  <c r="AB551" i="10"/>
  <c r="AA551" i="10"/>
  <c r="X551" i="10"/>
  <c r="Y551" i="10" s="1"/>
  <c r="V551" i="10"/>
  <c r="W551" i="10" s="1"/>
  <c r="T551" i="10"/>
  <c r="U551" i="10" s="1"/>
  <c r="S551" i="10"/>
  <c r="P551" i="10"/>
  <c r="AO551" i="10" s="1"/>
  <c r="AQ551" i="10" s="1"/>
  <c r="O551" i="10"/>
  <c r="N551" i="10"/>
  <c r="AK550" i="10"/>
  <c r="AB550" i="10"/>
  <c r="AA550" i="10"/>
  <c r="X550" i="10"/>
  <c r="Y550" i="10" s="1"/>
  <c r="V550" i="10"/>
  <c r="W550" i="10" s="1"/>
  <c r="T550" i="10"/>
  <c r="U550" i="10" s="1"/>
  <c r="S550" i="10"/>
  <c r="P550" i="10"/>
  <c r="AO550" i="10" s="1"/>
  <c r="AQ550" i="10" s="1"/>
  <c r="O550" i="10"/>
  <c r="N550" i="10"/>
  <c r="AK549" i="10"/>
  <c r="AB549" i="10"/>
  <c r="AA549" i="10"/>
  <c r="X549" i="10"/>
  <c r="Y549" i="10" s="1"/>
  <c r="V549" i="10"/>
  <c r="W549" i="10" s="1"/>
  <c r="T549" i="10"/>
  <c r="U549" i="10" s="1"/>
  <c r="S549" i="10"/>
  <c r="P549" i="10"/>
  <c r="AO549" i="10" s="1"/>
  <c r="AQ549" i="10" s="1"/>
  <c r="O549" i="10"/>
  <c r="N549" i="10"/>
  <c r="AK548" i="10"/>
  <c r="AB548" i="10"/>
  <c r="AA548" i="10"/>
  <c r="X548" i="10"/>
  <c r="Y548" i="10" s="1"/>
  <c r="V548" i="10"/>
  <c r="W548" i="10" s="1"/>
  <c r="T548" i="10"/>
  <c r="U548" i="10" s="1"/>
  <c r="S548" i="10"/>
  <c r="P548" i="10"/>
  <c r="AO548" i="10" s="1"/>
  <c r="AQ548" i="10" s="1"/>
  <c r="O548" i="10"/>
  <c r="N548" i="10"/>
  <c r="AK547" i="10"/>
  <c r="AB547" i="10"/>
  <c r="AA547" i="10"/>
  <c r="X547" i="10"/>
  <c r="Y547" i="10" s="1"/>
  <c r="V547" i="10"/>
  <c r="W547" i="10" s="1"/>
  <c r="T547" i="10"/>
  <c r="U547" i="10" s="1"/>
  <c r="S547" i="10"/>
  <c r="P547" i="10"/>
  <c r="AO547" i="10" s="1"/>
  <c r="AQ547" i="10" s="1"/>
  <c r="O547" i="10"/>
  <c r="N547" i="10"/>
  <c r="AK546" i="10"/>
  <c r="AB546" i="10"/>
  <c r="AA546" i="10"/>
  <c r="X546" i="10"/>
  <c r="Y546" i="10" s="1"/>
  <c r="V546" i="10"/>
  <c r="W546" i="10" s="1"/>
  <c r="T546" i="10"/>
  <c r="U546" i="10" s="1"/>
  <c r="S546" i="10"/>
  <c r="P546" i="10"/>
  <c r="AO546" i="10" s="1"/>
  <c r="AQ546" i="10" s="1"/>
  <c r="O546" i="10"/>
  <c r="N546" i="10"/>
  <c r="AK545" i="10"/>
  <c r="AB545" i="10"/>
  <c r="AA545" i="10"/>
  <c r="X545" i="10"/>
  <c r="Y545" i="10" s="1"/>
  <c r="V545" i="10"/>
  <c r="W545" i="10" s="1"/>
  <c r="T545" i="10"/>
  <c r="U545" i="10" s="1"/>
  <c r="S545" i="10"/>
  <c r="P545" i="10"/>
  <c r="AO545" i="10" s="1"/>
  <c r="AQ545" i="10" s="1"/>
  <c r="O545" i="10"/>
  <c r="N545" i="10"/>
  <c r="AK544" i="10"/>
  <c r="AB544" i="10"/>
  <c r="AA544" i="10"/>
  <c r="X544" i="10"/>
  <c r="Y544" i="10" s="1"/>
  <c r="V544" i="10"/>
  <c r="W544" i="10" s="1"/>
  <c r="T544" i="10"/>
  <c r="U544" i="10" s="1"/>
  <c r="S544" i="10"/>
  <c r="P544" i="10"/>
  <c r="AO544" i="10" s="1"/>
  <c r="AQ544" i="10" s="1"/>
  <c r="O544" i="10"/>
  <c r="N544" i="10"/>
  <c r="AK543" i="10"/>
  <c r="AB543" i="10"/>
  <c r="AA543" i="10"/>
  <c r="X543" i="10"/>
  <c r="Y543" i="10" s="1"/>
  <c r="V543" i="10"/>
  <c r="W543" i="10" s="1"/>
  <c r="T543" i="10"/>
  <c r="U543" i="10" s="1"/>
  <c r="S543" i="10"/>
  <c r="P543" i="10"/>
  <c r="AO543" i="10" s="1"/>
  <c r="AQ543" i="10" s="1"/>
  <c r="O543" i="10"/>
  <c r="N543" i="10"/>
  <c r="AK542" i="10"/>
  <c r="AB542" i="10"/>
  <c r="AA542" i="10"/>
  <c r="X542" i="10"/>
  <c r="Y542" i="10" s="1"/>
  <c r="V542" i="10"/>
  <c r="W542" i="10" s="1"/>
  <c r="T542" i="10"/>
  <c r="U542" i="10" s="1"/>
  <c r="S542" i="10"/>
  <c r="P542" i="10"/>
  <c r="AO542" i="10" s="1"/>
  <c r="AQ542" i="10" s="1"/>
  <c r="O542" i="10"/>
  <c r="N542" i="10"/>
  <c r="AK541" i="10"/>
  <c r="AB541" i="10"/>
  <c r="AA541" i="10"/>
  <c r="X541" i="10"/>
  <c r="Y541" i="10" s="1"/>
  <c r="V541" i="10"/>
  <c r="W541" i="10" s="1"/>
  <c r="T541" i="10"/>
  <c r="U541" i="10" s="1"/>
  <c r="S541" i="10"/>
  <c r="P541" i="10"/>
  <c r="AO541" i="10" s="1"/>
  <c r="AQ541" i="10" s="1"/>
  <c r="O541" i="10"/>
  <c r="N541" i="10"/>
  <c r="AK540" i="10"/>
  <c r="AB540" i="10"/>
  <c r="AA540" i="10"/>
  <c r="X540" i="10"/>
  <c r="Y540" i="10" s="1"/>
  <c r="V540" i="10"/>
  <c r="W540" i="10" s="1"/>
  <c r="T540" i="10"/>
  <c r="U540" i="10" s="1"/>
  <c r="S540" i="10"/>
  <c r="P540" i="10"/>
  <c r="AO540" i="10" s="1"/>
  <c r="AQ540" i="10" s="1"/>
  <c r="O540" i="10"/>
  <c r="N540" i="10"/>
  <c r="AK539" i="10"/>
  <c r="AB539" i="10"/>
  <c r="AA539" i="10"/>
  <c r="X539" i="10"/>
  <c r="Y539" i="10" s="1"/>
  <c r="V539" i="10"/>
  <c r="W539" i="10" s="1"/>
  <c r="T539" i="10"/>
  <c r="U539" i="10" s="1"/>
  <c r="S539" i="10"/>
  <c r="P539" i="10"/>
  <c r="AO539" i="10" s="1"/>
  <c r="AQ539" i="10" s="1"/>
  <c r="O539" i="10"/>
  <c r="N539" i="10"/>
  <c r="AK538" i="10"/>
  <c r="AB538" i="10"/>
  <c r="AA538" i="10"/>
  <c r="X538" i="10"/>
  <c r="Y538" i="10" s="1"/>
  <c r="V538" i="10"/>
  <c r="W538" i="10" s="1"/>
  <c r="T538" i="10"/>
  <c r="U538" i="10" s="1"/>
  <c r="S538" i="10"/>
  <c r="P538" i="10"/>
  <c r="AO538" i="10" s="1"/>
  <c r="AQ538" i="10" s="1"/>
  <c r="O538" i="10"/>
  <c r="N538" i="10"/>
  <c r="AK537" i="10"/>
  <c r="AB537" i="10"/>
  <c r="AA537" i="10"/>
  <c r="X537" i="10"/>
  <c r="Y537" i="10" s="1"/>
  <c r="V537" i="10"/>
  <c r="W537" i="10" s="1"/>
  <c r="T537" i="10"/>
  <c r="U537" i="10" s="1"/>
  <c r="S537" i="10"/>
  <c r="P537" i="10"/>
  <c r="AO537" i="10" s="1"/>
  <c r="AQ537" i="10" s="1"/>
  <c r="O537" i="10"/>
  <c r="N537" i="10"/>
  <c r="AK536" i="10"/>
  <c r="AB536" i="10"/>
  <c r="AA536" i="10"/>
  <c r="X536" i="10"/>
  <c r="Y536" i="10" s="1"/>
  <c r="V536" i="10"/>
  <c r="W536" i="10" s="1"/>
  <c r="T536" i="10"/>
  <c r="U536" i="10" s="1"/>
  <c r="S536" i="10"/>
  <c r="P536" i="10"/>
  <c r="AO536" i="10" s="1"/>
  <c r="AQ536" i="10" s="1"/>
  <c r="O536" i="10"/>
  <c r="N536" i="10"/>
  <c r="AK535" i="10"/>
  <c r="AB535" i="10"/>
  <c r="AA535" i="10"/>
  <c r="X535" i="10"/>
  <c r="Y535" i="10" s="1"/>
  <c r="V535" i="10"/>
  <c r="W535" i="10" s="1"/>
  <c r="T535" i="10"/>
  <c r="U535" i="10" s="1"/>
  <c r="S535" i="10"/>
  <c r="P535" i="10"/>
  <c r="AO535" i="10" s="1"/>
  <c r="AQ535" i="10" s="1"/>
  <c r="O535" i="10"/>
  <c r="N535" i="10"/>
  <c r="AK534" i="10"/>
  <c r="AB534" i="10"/>
  <c r="AA534" i="10"/>
  <c r="X534" i="10"/>
  <c r="Y534" i="10" s="1"/>
  <c r="V534" i="10"/>
  <c r="W534" i="10" s="1"/>
  <c r="T534" i="10"/>
  <c r="U534" i="10" s="1"/>
  <c r="S534" i="10"/>
  <c r="P534" i="10"/>
  <c r="AO534" i="10" s="1"/>
  <c r="AQ534" i="10" s="1"/>
  <c r="O534" i="10"/>
  <c r="N534" i="10"/>
  <c r="AK533" i="10"/>
  <c r="AB533" i="10"/>
  <c r="AA533" i="10"/>
  <c r="X533" i="10"/>
  <c r="Y533" i="10" s="1"/>
  <c r="V533" i="10"/>
  <c r="W533" i="10" s="1"/>
  <c r="T533" i="10"/>
  <c r="U533" i="10" s="1"/>
  <c r="S533" i="10"/>
  <c r="P533" i="10"/>
  <c r="AO533" i="10" s="1"/>
  <c r="AQ533" i="10" s="1"/>
  <c r="O533" i="10"/>
  <c r="N533" i="10"/>
  <c r="AK532" i="10"/>
  <c r="AB532" i="10"/>
  <c r="AA532" i="10"/>
  <c r="X532" i="10"/>
  <c r="Y532" i="10" s="1"/>
  <c r="V532" i="10"/>
  <c r="W532" i="10" s="1"/>
  <c r="T532" i="10"/>
  <c r="U532" i="10" s="1"/>
  <c r="S532" i="10"/>
  <c r="P532" i="10"/>
  <c r="AO532" i="10" s="1"/>
  <c r="AQ532" i="10" s="1"/>
  <c r="O532" i="10"/>
  <c r="N532" i="10"/>
  <c r="AK531" i="10"/>
  <c r="AB531" i="10"/>
  <c r="AA531" i="10"/>
  <c r="X531" i="10"/>
  <c r="Y531" i="10" s="1"/>
  <c r="V531" i="10"/>
  <c r="W531" i="10" s="1"/>
  <c r="T531" i="10"/>
  <c r="U531" i="10" s="1"/>
  <c r="S531" i="10"/>
  <c r="P531" i="10"/>
  <c r="AO531" i="10" s="1"/>
  <c r="AQ531" i="10" s="1"/>
  <c r="O531" i="10"/>
  <c r="N531" i="10"/>
  <c r="AK530" i="10"/>
  <c r="AB530" i="10"/>
  <c r="AA530" i="10"/>
  <c r="X530" i="10"/>
  <c r="Y530" i="10" s="1"/>
  <c r="V530" i="10"/>
  <c r="W530" i="10" s="1"/>
  <c r="T530" i="10"/>
  <c r="U530" i="10" s="1"/>
  <c r="S530" i="10"/>
  <c r="P530" i="10"/>
  <c r="AO530" i="10" s="1"/>
  <c r="AQ530" i="10" s="1"/>
  <c r="O530" i="10"/>
  <c r="N530" i="10"/>
  <c r="AK529" i="10"/>
  <c r="AB529" i="10"/>
  <c r="AA529" i="10"/>
  <c r="X529" i="10"/>
  <c r="Y529" i="10" s="1"/>
  <c r="V529" i="10"/>
  <c r="W529" i="10" s="1"/>
  <c r="T529" i="10"/>
  <c r="U529" i="10" s="1"/>
  <c r="S529" i="10"/>
  <c r="P529" i="10"/>
  <c r="AO529" i="10" s="1"/>
  <c r="AQ529" i="10" s="1"/>
  <c r="O529" i="10"/>
  <c r="N529" i="10"/>
  <c r="AK528" i="10"/>
  <c r="AB528" i="10"/>
  <c r="AA528" i="10"/>
  <c r="X528" i="10"/>
  <c r="Y528" i="10" s="1"/>
  <c r="V528" i="10"/>
  <c r="W528" i="10" s="1"/>
  <c r="T528" i="10"/>
  <c r="U528" i="10" s="1"/>
  <c r="S528" i="10"/>
  <c r="P528" i="10"/>
  <c r="AO528" i="10" s="1"/>
  <c r="AQ528" i="10" s="1"/>
  <c r="O528" i="10"/>
  <c r="N528" i="10"/>
  <c r="AK527" i="10"/>
  <c r="AB527" i="10"/>
  <c r="AA527" i="10"/>
  <c r="X527" i="10"/>
  <c r="Y527" i="10" s="1"/>
  <c r="V527" i="10"/>
  <c r="W527" i="10" s="1"/>
  <c r="T527" i="10"/>
  <c r="U527" i="10" s="1"/>
  <c r="S527" i="10"/>
  <c r="P527" i="10"/>
  <c r="AO527" i="10" s="1"/>
  <c r="AQ527" i="10" s="1"/>
  <c r="O527" i="10"/>
  <c r="N527" i="10"/>
  <c r="AK526" i="10"/>
  <c r="AB526" i="10"/>
  <c r="AA526" i="10"/>
  <c r="X526" i="10"/>
  <c r="Y526" i="10" s="1"/>
  <c r="V526" i="10"/>
  <c r="W526" i="10" s="1"/>
  <c r="T526" i="10"/>
  <c r="U526" i="10" s="1"/>
  <c r="S526" i="10"/>
  <c r="P526" i="10"/>
  <c r="AO526" i="10" s="1"/>
  <c r="AQ526" i="10" s="1"/>
  <c r="O526" i="10"/>
  <c r="N526" i="10"/>
  <c r="AK525" i="10"/>
  <c r="AB525" i="10"/>
  <c r="AA525" i="10"/>
  <c r="X525" i="10"/>
  <c r="Y525" i="10" s="1"/>
  <c r="V525" i="10"/>
  <c r="W525" i="10" s="1"/>
  <c r="T525" i="10"/>
  <c r="U525" i="10" s="1"/>
  <c r="S525" i="10"/>
  <c r="P525" i="10"/>
  <c r="AO525" i="10" s="1"/>
  <c r="AQ525" i="10" s="1"/>
  <c r="O525" i="10"/>
  <c r="N525" i="10"/>
  <c r="AK524" i="10"/>
  <c r="AB524" i="10"/>
  <c r="AA524" i="10"/>
  <c r="X524" i="10"/>
  <c r="Y524" i="10" s="1"/>
  <c r="V524" i="10"/>
  <c r="W524" i="10" s="1"/>
  <c r="T524" i="10"/>
  <c r="U524" i="10" s="1"/>
  <c r="S524" i="10"/>
  <c r="P524" i="10"/>
  <c r="AO524" i="10" s="1"/>
  <c r="AQ524" i="10" s="1"/>
  <c r="O524" i="10"/>
  <c r="N524" i="10"/>
  <c r="AK523" i="10"/>
  <c r="AB523" i="10"/>
  <c r="AA523" i="10"/>
  <c r="X523" i="10"/>
  <c r="Y523" i="10" s="1"/>
  <c r="V523" i="10"/>
  <c r="W523" i="10" s="1"/>
  <c r="T523" i="10"/>
  <c r="U523" i="10" s="1"/>
  <c r="S523" i="10"/>
  <c r="P523" i="10"/>
  <c r="AO523" i="10" s="1"/>
  <c r="AQ523" i="10" s="1"/>
  <c r="O523" i="10"/>
  <c r="N523" i="10"/>
  <c r="AK522" i="10"/>
  <c r="AB522" i="10"/>
  <c r="AA522" i="10"/>
  <c r="X522" i="10"/>
  <c r="Y522" i="10" s="1"/>
  <c r="V522" i="10"/>
  <c r="W522" i="10" s="1"/>
  <c r="T522" i="10"/>
  <c r="U522" i="10" s="1"/>
  <c r="S522" i="10"/>
  <c r="P522" i="10"/>
  <c r="AO522" i="10" s="1"/>
  <c r="AQ522" i="10" s="1"/>
  <c r="O522" i="10"/>
  <c r="N522" i="10"/>
  <c r="AK521" i="10"/>
  <c r="AB521" i="10"/>
  <c r="AA521" i="10"/>
  <c r="X521" i="10"/>
  <c r="Y521" i="10" s="1"/>
  <c r="V521" i="10"/>
  <c r="W521" i="10" s="1"/>
  <c r="T521" i="10"/>
  <c r="U521" i="10" s="1"/>
  <c r="S521" i="10"/>
  <c r="P521" i="10"/>
  <c r="AO521" i="10" s="1"/>
  <c r="AQ521" i="10" s="1"/>
  <c r="O521" i="10"/>
  <c r="N521" i="10"/>
  <c r="AK520" i="10"/>
  <c r="AB520" i="10"/>
  <c r="AA520" i="10"/>
  <c r="X520" i="10"/>
  <c r="Y520" i="10" s="1"/>
  <c r="V520" i="10"/>
  <c r="W520" i="10" s="1"/>
  <c r="T520" i="10"/>
  <c r="U520" i="10" s="1"/>
  <c r="S520" i="10"/>
  <c r="P520" i="10"/>
  <c r="AO520" i="10" s="1"/>
  <c r="AQ520" i="10" s="1"/>
  <c r="O520" i="10"/>
  <c r="N520" i="10"/>
  <c r="AK519" i="10"/>
  <c r="AB519" i="10"/>
  <c r="AA519" i="10"/>
  <c r="X519" i="10"/>
  <c r="Y519" i="10" s="1"/>
  <c r="V519" i="10"/>
  <c r="W519" i="10" s="1"/>
  <c r="T519" i="10"/>
  <c r="U519" i="10" s="1"/>
  <c r="S519" i="10"/>
  <c r="P519" i="10"/>
  <c r="AO519" i="10" s="1"/>
  <c r="AQ519" i="10" s="1"/>
  <c r="O519" i="10"/>
  <c r="N519" i="10"/>
  <c r="AK518" i="10"/>
  <c r="AB518" i="10"/>
  <c r="AA518" i="10"/>
  <c r="X518" i="10"/>
  <c r="Y518" i="10" s="1"/>
  <c r="V518" i="10"/>
  <c r="W518" i="10" s="1"/>
  <c r="T518" i="10"/>
  <c r="U518" i="10" s="1"/>
  <c r="S518" i="10"/>
  <c r="P518" i="10"/>
  <c r="AO518" i="10" s="1"/>
  <c r="AQ518" i="10" s="1"/>
  <c r="O518" i="10"/>
  <c r="N518" i="10"/>
  <c r="AK517" i="10"/>
  <c r="AB517" i="10"/>
  <c r="AA517" i="10"/>
  <c r="X517" i="10"/>
  <c r="Y517" i="10" s="1"/>
  <c r="V517" i="10"/>
  <c r="W517" i="10" s="1"/>
  <c r="T517" i="10"/>
  <c r="U517" i="10" s="1"/>
  <c r="S517" i="10"/>
  <c r="P517" i="10"/>
  <c r="AO517" i="10" s="1"/>
  <c r="AQ517" i="10" s="1"/>
  <c r="O517" i="10"/>
  <c r="N517" i="10"/>
  <c r="AK516" i="10"/>
  <c r="AB516" i="10"/>
  <c r="AA516" i="10"/>
  <c r="X516" i="10"/>
  <c r="Y516" i="10" s="1"/>
  <c r="V516" i="10"/>
  <c r="W516" i="10" s="1"/>
  <c r="T516" i="10"/>
  <c r="U516" i="10" s="1"/>
  <c r="S516" i="10"/>
  <c r="P516" i="10"/>
  <c r="AO516" i="10" s="1"/>
  <c r="AQ516" i="10" s="1"/>
  <c r="O516" i="10"/>
  <c r="N516" i="10"/>
  <c r="AK515" i="10"/>
  <c r="AB515" i="10"/>
  <c r="AA515" i="10"/>
  <c r="X515" i="10"/>
  <c r="Y515" i="10" s="1"/>
  <c r="V515" i="10"/>
  <c r="W515" i="10" s="1"/>
  <c r="T515" i="10"/>
  <c r="U515" i="10" s="1"/>
  <c r="S515" i="10"/>
  <c r="P515" i="10"/>
  <c r="AO515" i="10" s="1"/>
  <c r="AQ515" i="10" s="1"/>
  <c r="O515" i="10"/>
  <c r="N515" i="10"/>
  <c r="AK514" i="10"/>
  <c r="AB514" i="10"/>
  <c r="AA514" i="10"/>
  <c r="X514" i="10"/>
  <c r="Y514" i="10" s="1"/>
  <c r="V514" i="10"/>
  <c r="W514" i="10" s="1"/>
  <c r="T514" i="10"/>
  <c r="U514" i="10" s="1"/>
  <c r="S514" i="10"/>
  <c r="P514" i="10"/>
  <c r="AO514" i="10" s="1"/>
  <c r="AQ514" i="10" s="1"/>
  <c r="O514" i="10"/>
  <c r="N514" i="10"/>
  <c r="AK513" i="10"/>
  <c r="AB513" i="10"/>
  <c r="AA513" i="10"/>
  <c r="X513" i="10"/>
  <c r="Y513" i="10" s="1"/>
  <c r="V513" i="10"/>
  <c r="W513" i="10" s="1"/>
  <c r="T513" i="10"/>
  <c r="U513" i="10" s="1"/>
  <c r="S513" i="10"/>
  <c r="P513" i="10"/>
  <c r="AO513" i="10" s="1"/>
  <c r="AQ513" i="10" s="1"/>
  <c r="O513" i="10"/>
  <c r="N513" i="10"/>
  <c r="AK512" i="10"/>
  <c r="AB512" i="10"/>
  <c r="AA512" i="10"/>
  <c r="X512" i="10"/>
  <c r="Y512" i="10" s="1"/>
  <c r="V512" i="10"/>
  <c r="W512" i="10" s="1"/>
  <c r="T512" i="10"/>
  <c r="U512" i="10" s="1"/>
  <c r="S512" i="10"/>
  <c r="P512" i="10"/>
  <c r="AO512" i="10" s="1"/>
  <c r="AQ512" i="10" s="1"/>
  <c r="O512" i="10"/>
  <c r="N512" i="10"/>
  <c r="AK511" i="10"/>
  <c r="AB511" i="10"/>
  <c r="AA511" i="10"/>
  <c r="X511" i="10"/>
  <c r="Y511" i="10" s="1"/>
  <c r="V511" i="10"/>
  <c r="W511" i="10" s="1"/>
  <c r="T511" i="10"/>
  <c r="U511" i="10" s="1"/>
  <c r="S511" i="10"/>
  <c r="P511" i="10"/>
  <c r="AO511" i="10" s="1"/>
  <c r="AQ511" i="10" s="1"/>
  <c r="O511" i="10"/>
  <c r="N511" i="10"/>
  <c r="AK510" i="10"/>
  <c r="AB510" i="10"/>
  <c r="AA510" i="10"/>
  <c r="X510" i="10"/>
  <c r="Y510" i="10" s="1"/>
  <c r="V510" i="10"/>
  <c r="W510" i="10" s="1"/>
  <c r="T510" i="10"/>
  <c r="U510" i="10" s="1"/>
  <c r="S510" i="10"/>
  <c r="P510" i="10"/>
  <c r="AO510" i="10" s="1"/>
  <c r="AQ510" i="10" s="1"/>
  <c r="O510" i="10"/>
  <c r="N510" i="10"/>
  <c r="AK509" i="10"/>
  <c r="AB509" i="10"/>
  <c r="AA509" i="10"/>
  <c r="X509" i="10"/>
  <c r="Y509" i="10" s="1"/>
  <c r="V509" i="10"/>
  <c r="W509" i="10" s="1"/>
  <c r="T509" i="10"/>
  <c r="U509" i="10" s="1"/>
  <c r="S509" i="10"/>
  <c r="P509" i="10"/>
  <c r="AO509" i="10" s="1"/>
  <c r="AQ509" i="10" s="1"/>
  <c r="O509" i="10"/>
  <c r="N509" i="10"/>
  <c r="AK508" i="10"/>
  <c r="AB508" i="10"/>
  <c r="AA508" i="10"/>
  <c r="X508" i="10"/>
  <c r="Y508" i="10" s="1"/>
  <c r="V508" i="10"/>
  <c r="W508" i="10" s="1"/>
  <c r="T508" i="10"/>
  <c r="U508" i="10" s="1"/>
  <c r="S508" i="10"/>
  <c r="P508" i="10"/>
  <c r="AO508" i="10" s="1"/>
  <c r="AQ508" i="10" s="1"/>
  <c r="O508" i="10"/>
  <c r="N508" i="10"/>
  <c r="AK507" i="10"/>
  <c r="AB507" i="10"/>
  <c r="AA507" i="10"/>
  <c r="X507" i="10"/>
  <c r="Y507" i="10" s="1"/>
  <c r="V507" i="10"/>
  <c r="W507" i="10" s="1"/>
  <c r="T507" i="10"/>
  <c r="U507" i="10" s="1"/>
  <c r="S507" i="10"/>
  <c r="P507" i="10"/>
  <c r="AO507" i="10" s="1"/>
  <c r="AQ507" i="10" s="1"/>
  <c r="O507" i="10"/>
  <c r="N507" i="10"/>
  <c r="AK506" i="10"/>
  <c r="AB506" i="10"/>
  <c r="AA506" i="10"/>
  <c r="X506" i="10"/>
  <c r="Y506" i="10" s="1"/>
  <c r="V506" i="10"/>
  <c r="W506" i="10" s="1"/>
  <c r="T506" i="10"/>
  <c r="U506" i="10" s="1"/>
  <c r="S506" i="10"/>
  <c r="P506" i="10"/>
  <c r="AO506" i="10" s="1"/>
  <c r="AQ506" i="10" s="1"/>
  <c r="O506" i="10"/>
  <c r="N506" i="10"/>
  <c r="AK505" i="10"/>
  <c r="AB505" i="10"/>
  <c r="AA505" i="10"/>
  <c r="X505" i="10"/>
  <c r="Y505" i="10" s="1"/>
  <c r="V505" i="10"/>
  <c r="W505" i="10" s="1"/>
  <c r="T505" i="10"/>
  <c r="U505" i="10" s="1"/>
  <c r="S505" i="10"/>
  <c r="P505" i="10"/>
  <c r="AO505" i="10" s="1"/>
  <c r="AQ505" i="10" s="1"/>
  <c r="O505" i="10"/>
  <c r="N505" i="10"/>
  <c r="AK504" i="10"/>
  <c r="AB504" i="10"/>
  <c r="AA504" i="10"/>
  <c r="X504" i="10"/>
  <c r="Y504" i="10" s="1"/>
  <c r="V504" i="10"/>
  <c r="W504" i="10" s="1"/>
  <c r="T504" i="10"/>
  <c r="U504" i="10" s="1"/>
  <c r="S504" i="10"/>
  <c r="P504" i="10"/>
  <c r="AO504" i="10" s="1"/>
  <c r="AQ504" i="10" s="1"/>
  <c r="O504" i="10"/>
  <c r="N504" i="10"/>
  <c r="AK503" i="10"/>
  <c r="AB503" i="10"/>
  <c r="AA503" i="10"/>
  <c r="X503" i="10"/>
  <c r="Y503" i="10" s="1"/>
  <c r="V503" i="10"/>
  <c r="W503" i="10" s="1"/>
  <c r="T503" i="10"/>
  <c r="U503" i="10" s="1"/>
  <c r="S503" i="10"/>
  <c r="P503" i="10"/>
  <c r="AO503" i="10" s="1"/>
  <c r="AQ503" i="10" s="1"/>
  <c r="O503" i="10"/>
  <c r="N503" i="10"/>
  <c r="AK502" i="10"/>
  <c r="AB502" i="10"/>
  <c r="AA502" i="10"/>
  <c r="X502" i="10"/>
  <c r="Y502" i="10" s="1"/>
  <c r="V502" i="10"/>
  <c r="W502" i="10" s="1"/>
  <c r="T502" i="10"/>
  <c r="U502" i="10" s="1"/>
  <c r="S502" i="10"/>
  <c r="P502" i="10"/>
  <c r="AO502" i="10" s="1"/>
  <c r="AQ502" i="10" s="1"/>
  <c r="O502" i="10"/>
  <c r="N502" i="10"/>
  <c r="AK501" i="10"/>
  <c r="AB501" i="10"/>
  <c r="AA501" i="10"/>
  <c r="X501" i="10"/>
  <c r="Y501" i="10" s="1"/>
  <c r="V501" i="10"/>
  <c r="W501" i="10" s="1"/>
  <c r="T501" i="10"/>
  <c r="U501" i="10" s="1"/>
  <c r="S501" i="10"/>
  <c r="P501" i="10"/>
  <c r="AO501" i="10" s="1"/>
  <c r="AQ501" i="10" s="1"/>
  <c r="O501" i="10"/>
  <c r="N501" i="10"/>
  <c r="AK500" i="10"/>
  <c r="AB500" i="10"/>
  <c r="AA500" i="10"/>
  <c r="X500" i="10"/>
  <c r="Y500" i="10" s="1"/>
  <c r="V500" i="10"/>
  <c r="W500" i="10" s="1"/>
  <c r="T500" i="10"/>
  <c r="U500" i="10" s="1"/>
  <c r="S500" i="10"/>
  <c r="P500" i="10"/>
  <c r="AO500" i="10" s="1"/>
  <c r="AQ500" i="10" s="1"/>
  <c r="O500" i="10"/>
  <c r="N500" i="10"/>
  <c r="AK499" i="10"/>
  <c r="AB499" i="10"/>
  <c r="AA499" i="10"/>
  <c r="X499" i="10"/>
  <c r="Y499" i="10" s="1"/>
  <c r="V499" i="10"/>
  <c r="W499" i="10" s="1"/>
  <c r="T499" i="10"/>
  <c r="U499" i="10" s="1"/>
  <c r="S499" i="10"/>
  <c r="P499" i="10"/>
  <c r="AO499" i="10" s="1"/>
  <c r="AQ499" i="10" s="1"/>
  <c r="O499" i="10"/>
  <c r="N499" i="10"/>
  <c r="AK498" i="10"/>
  <c r="AB498" i="10"/>
  <c r="AA498" i="10"/>
  <c r="X498" i="10"/>
  <c r="Y498" i="10" s="1"/>
  <c r="V498" i="10"/>
  <c r="W498" i="10" s="1"/>
  <c r="T498" i="10"/>
  <c r="U498" i="10" s="1"/>
  <c r="S498" i="10"/>
  <c r="P498" i="10"/>
  <c r="AO498" i="10" s="1"/>
  <c r="AQ498" i="10" s="1"/>
  <c r="O498" i="10"/>
  <c r="N498" i="10"/>
  <c r="AK497" i="10"/>
  <c r="AB497" i="10"/>
  <c r="AA497" i="10"/>
  <c r="X497" i="10"/>
  <c r="Y497" i="10" s="1"/>
  <c r="V497" i="10"/>
  <c r="W497" i="10" s="1"/>
  <c r="T497" i="10"/>
  <c r="U497" i="10" s="1"/>
  <c r="S497" i="10"/>
  <c r="P497" i="10"/>
  <c r="AO497" i="10" s="1"/>
  <c r="AQ497" i="10" s="1"/>
  <c r="O497" i="10"/>
  <c r="N497" i="10"/>
  <c r="AK496" i="10"/>
  <c r="AB496" i="10"/>
  <c r="AA496" i="10"/>
  <c r="X496" i="10"/>
  <c r="Y496" i="10" s="1"/>
  <c r="V496" i="10"/>
  <c r="W496" i="10" s="1"/>
  <c r="T496" i="10"/>
  <c r="U496" i="10" s="1"/>
  <c r="S496" i="10"/>
  <c r="P496" i="10"/>
  <c r="AO496" i="10" s="1"/>
  <c r="AQ496" i="10" s="1"/>
  <c r="O496" i="10"/>
  <c r="N496" i="10"/>
  <c r="AK495" i="10"/>
  <c r="AB495" i="10"/>
  <c r="AA495" i="10"/>
  <c r="X495" i="10"/>
  <c r="Y495" i="10" s="1"/>
  <c r="V495" i="10"/>
  <c r="W495" i="10" s="1"/>
  <c r="T495" i="10"/>
  <c r="U495" i="10" s="1"/>
  <c r="S495" i="10"/>
  <c r="P495" i="10"/>
  <c r="AO495" i="10" s="1"/>
  <c r="AQ495" i="10" s="1"/>
  <c r="O495" i="10"/>
  <c r="N495" i="10"/>
  <c r="AK494" i="10"/>
  <c r="AB494" i="10"/>
  <c r="AA494" i="10"/>
  <c r="X494" i="10"/>
  <c r="Y494" i="10" s="1"/>
  <c r="V494" i="10"/>
  <c r="W494" i="10" s="1"/>
  <c r="T494" i="10"/>
  <c r="U494" i="10" s="1"/>
  <c r="S494" i="10"/>
  <c r="P494" i="10"/>
  <c r="AO494" i="10" s="1"/>
  <c r="AQ494" i="10" s="1"/>
  <c r="O494" i="10"/>
  <c r="N494" i="10"/>
  <c r="AK493" i="10"/>
  <c r="AB493" i="10"/>
  <c r="AA493" i="10"/>
  <c r="X493" i="10"/>
  <c r="Y493" i="10" s="1"/>
  <c r="V493" i="10"/>
  <c r="W493" i="10" s="1"/>
  <c r="T493" i="10"/>
  <c r="U493" i="10" s="1"/>
  <c r="S493" i="10"/>
  <c r="P493" i="10"/>
  <c r="AO493" i="10" s="1"/>
  <c r="AQ493" i="10" s="1"/>
  <c r="O493" i="10"/>
  <c r="N493" i="10"/>
  <c r="AK492" i="10"/>
  <c r="AB492" i="10"/>
  <c r="AA492" i="10"/>
  <c r="X492" i="10"/>
  <c r="Y492" i="10" s="1"/>
  <c r="V492" i="10"/>
  <c r="W492" i="10" s="1"/>
  <c r="T492" i="10"/>
  <c r="U492" i="10" s="1"/>
  <c r="S492" i="10"/>
  <c r="P492" i="10"/>
  <c r="AO492" i="10" s="1"/>
  <c r="AQ492" i="10" s="1"/>
  <c r="O492" i="10"/>
  <c r="N492" i="10"/>
  <c r="AK491" i="10"/>
  <c r="AB491" i="10"/>
  <c r="AA491" i="10"/>
  <c r="X491" i="10"/>
  <c r="Y491" i="10" s="1"/>
  <c r="V491" i="10"/>
  <c r="W491" i="10" s="1"/>
  <c r="T491" i="10"/>
  <c r="U491" i="10" s="1"/>
  <c r="S491" i="10"/>
  <c r="P491" i="10"/>
  <c r="AO491" i="10" s="1"/>
  <c r="AQ491" i="10" s="1"/>
  <c r="O491" i="10"/>
  <c r="N491" i="10"/>
  <c r="AO490" i="10"/>
  <c r="AQ490" i="10" s="1"/>
  <c r="AK490" i="10"/>
  <c r="AL490" i="10" s="1"/>
  <c r="AI490" i="10"/>
  <c r="AC490" i="10"/>
  <c r="AB490" i="10"/>
  <c r="AA490" i="10"/>
  <c r="Z490" i="10"/>
  <c r="AN490" i="10" s="1"/>
  <c r="X490" i="10"/>
  <c r="Y490" i="10" s="1"/>
  <c r="V490" i="10"/>
  <c r="W490" i="10" s="1"/>
  <c r="T490" i="10"/>
  <c r="U490" i="10" s="1"/>
  <c r="S490" i="10"/>
  <c r="P490" i="10"/>
  <c r="O490" i="10"/>
  <c r="N490" i="10"/>
  <c r="AK489" i="10"/>
  <c r="AB489" i="10"/>
  <c r="AA489" i="10"/>
  <c r="X489" i="10"/>
  <c r="Y489" i="10" s="1"/>
  <c r="V489" i="10"/>
  <c r="W489" i="10" s="1"/>
  <c r="T489" i="10"/>
  <c r="U489" i="10" s="1"/>
  <c r="S489" i="10"/>
  <c r="P489" i="10"/>
  <c r="AO489" i="10" s="1"/>
  <c r="AQ489" i="10" s="1"/>
  <c r="O489" i="10"/>
  <c r="N489" i="10"/>
  <c r="AK488" i="10"/>
  <c r="AB488" i="10"/>
  <c r="AA488" i="10"/>
  <c r="X488" i="10"/>
  <c r="Y488" i="10" s="1"/>
  <c r="V488" i="10"/>
  <c r="W488" i="10" s="1"/>
  <c r="T488" i="10"/>
  <c r="U488" i="10" s="1"/>
  <c r="S488" i="10"/>
  <c r="P488" i="10"/>
  <c r="AO488" i="10" s="1"/>
  <c r="AQ488" i="10" s="1"/>
  <c r="O488" i="10"/>
  <c r="N488" i="10"/>
  <c r="AK487" i="10"/>
  <c r="AB487" i="10"/>
  <c r="AA487" i="10"/>
  <c r="X487" i="10"/>
  <c r="Y487" i="10" s="1"/>
  <c r="V487" i="10"/>
  <c r="W487" i="10" s="1"/>
  <c r="T487" i="10"/>
  <c r="U487" i="10" s="1"/>
  <c r="S487" i="10"/>
  <c r="P487" i="10"/>
  <c r="AO487" i="10" s="1"/>
  <c r="AQ487" i="10" s="1"/>
  <c r="O487" i="10"/>
  <c r="N487" i="10"/>
  <c r="AK486" i="10"/>
  <c r="AB486" i="10"/>
  <c r="AA486" i="10"/>
  <c r="X486" i="10"/>
  <c r="Y486" i="10" s="1"/>
  <c r="V486" i="10"/>
  <c r="W486" i="10" s="1"/>
  <c r="T486" i="10"/>
  <c r="U486" i="10" s="1"/>
  <c r="S486" i="10"/>
  <c r="P486" i="10"/>
  <c r="AO486" i="10" s="1"/>
  <c r="AQ486" i="10" s="1"/>
  <c r="O486" i="10"/>
  <c r="N486" i="10"/>
  <c r="AK485" i="10"/>
  <c r="AB485" i="10"/>
  <c r="AA485" i="10"/>
  <c r="X485" i="10"/>
  <c r="Y485" i="10" s="1"/>
  <c r="V485" i="10"/>
  <c r="W485" i="10" s="1"/>
  <c r="T485" i="10"/>
  <c r="U485" i="10" s="1"/>
  <c r="S485" i="10"/>
  <c r="P485" i="10"/>
  <c r="AO485" i="10" s="1"/>
  <c r="AQ485" i="10" s="1"/>
  <c r="O485" i="10"/>
  <c r="N485" i="10"/>
  <c r="AK484" i="10"/>
  <c r="AB484" i="10"/>
  <c r="AA484" i="10"/>
  <c r="X484" i="10"/>
  <c r="Y484" i="10" s="1"/>
  <c r="V484" i="10"/>
  <c r="W484" i="10" s="1"/>
  <c r="T484" i="10"/>
  <c r="U484" i="10" s="1"/>
  <c r="S484" i="10"/>
  <c r="P484" i="10"/>
  <c r="AO484" i="10" s="1"/>
  <c r="AQ484" i="10" s="1"/>
  <c r="O484" i="10"/>
  <c r="N484" i="10"/>
  <c r="AK483" i="10"/>
  <c r="AB483" i="10"/>
  <c r="AA483" i="10"/>
  <c r="X483" i="10"/>
  <c r="Y483" i="10" s="1"/>
  <c r="V483" i="10"/>
  <c r="W483" i="10" s="1"/>
  <c r="T483" i="10"/>
  <c r="U483" i="10" s="1"/>
  <c r="S483" i="10"/>
  <c r="P483" i="10"/>
  <c r="AO483" i="10" s="1"/>
  <c r="AQ483" i="10" s="1"/>
  <c r="O483" i="10"/>
  <c r="N483" i="10"/>
  <c r="AK482" i="10"/>
  <c r="AB482" i="10"/>
  <c r="AA482" i="10"/>
  <c r="X482" i="10"/>
  <c r="Y482" i="10" s="1"/>
  <c r="V482" i="10"/>
  <c r="W482" i="10" s="1"/>
  <c r="T482" i="10"/>
  <c r="U482" i="10" s="1"/>
  <c r="S482" i="10"/>
  <c r="P482" i="10"/>
  <c r="AO482" i="10" s="1"/>
  <c r="AQ482" i="10" s="1"/>
  <c r="O482" i="10"/>
  <c r="N482" i="10"/>
  <c r="AK481" i="10"/>
  <c r="AB481" i="10"/>
  <c r="AA481" i="10"/>
  <c r="X481" i="10"/>
  <c r="Y481" i="10" s="1"/>
  <c r="V481" i="10"/>
  <c r="W481" i="10" s="1"/>
  <c r="T481" i="10"/>
  <c r="U481" i="10" s="1"/>
  <c r="S481" i="10"/>
  <c r="P481" i="10"/>
  <c r="AO481" i="10" s="1"/>
  <c r="AQ481" i="10" s="1"/>
  <c r="O481" i="10"/>
  <c r="N481" i="10"/>
  <c r="AK480" i="10"/>
  <c r="AB480" i="10"/>
  <c r="AA480" i="10"/>
  <c r="X480" i="10"/>
  <c r="Y480" i="10" s="1"/>
  <c r="V480" i="10"/>
  <c r="W480" i="10" s="1"/>
  <c r="T480" i="10"/>
  <c r="U480" i="10" s="1"/>
  <c r="S480" i="10"/>
  <c r="P480" i="10"/>
  <c r="AO480" i="10" s="1"/>
  <c r="AQ480" i="10" s="1"/>
  <c r="O480" i="10"/>
  <c r="N480" i="10"/>
  <c r="AK479" i="10"/>
  <c r="AB479" i="10"/>
  <c r="AA479" i="10"/>
  <c r="X479" i="10"/>
  <c r="Y479" i="10" s="1"/>
  <c r="V479" i="10"/>
  <c r="W479" i="10" s="1"/>
  <c r="T479" i="10"/>
  <c r="U479" i="10" s="1"/>
  <c r="S479" i="10"/>
  <c r="P479" i="10"/>
  <c r="AO479" i="10" s="1"/>
  <c r="AQ479" i="10" s="1"/>
  <c r="O479" i="10"/>
  <c r="N479" i="10"/>
  <c r="AK478" i="10"/>
  <c r="AB478" i="10"/>
  <c r="AA478" i="10"/>
  <c r="X478" i="10"/>
  <c r="Y478" i="10" s="1"/>
  <c r="V478" i="10"/>
  <c r="W478" i="10" s="1"/>
  <c r="T478" i="10"/>
  <c r="U478" i="10" s="1"/>
  <c r="S478" i="10"/>
  <c r="P478" i="10"/>
  <c r="AO478" i="10" s="1"/>
  <c r="AQ478" i="10" s="1"/>
  <c r="O478" i="10"/>
  <c r="N478" i="10"/>
  <c r="AK477" i="10"/>
  <c r="AB477" i="10"/>
  <c r="AA477" i="10"/>
  <c r="X477" i="10"/>
  <c r="Y477" i="10" s="1"/>
  <c r="V477" i="10"/>
  <c r="W477" i="10" s="1"/>
  <c r="T477" i="10"/>
  <c r="U477" i="10" s="1"/>
  <c r="S477" i="10"/>
  <c r="P477" i="10"/>
  <c r="AO477" i="10" s="1"/>
  <c r="AQ477" i="10" s="1"/>
  <c r="O477" i="10"/>
  <c r="N477" i="10"/>
  <c r="AK476" i="10"/>
  <c r="AB476" i="10"/>
  <c r="AA476" i="10"/>
  <c r="X476" i="10"/>
  <c r="Y476" i="10" s="1"/>
  <c r="V476" i="10"/>
  <c r="W476" i="10" s="1"/>
  <c r="T476" i="10"/>
  <c r="U476" i="10" s="1"/>
  <c r="S476" i="10"/>
  <c r="P476" i="10"/>
  <c r="AO476" i="10" s="1"/>
  <c r="AQ476" i="10" s="1"/>
  <c r="O476" i="10"/>
  <c r="N476" i="10"/>
  <c r="AK475" i="10"/>
  <c r="AB475" i="10"/>
  <c r="AA475" i="10"/>
  <c r="X475" i="10"/>
  <c r="Y475" i="10" s="1"/>
  <c r="V475" i="10"/>
  <c r="W475" i="10" s="1"/>
  <c r="T475" i="10"/>
  <c r="U475" i="10" s="1"/>
  <c r="S475" i="10"/>
  <c r="P475" i="10"/>
  <c r="AO475" i="10" s="1"/>
  <c r="AQ475" i="10" s="1"/>
  <c r="O475" i="10"/>
  <c r="N475" i="10"/>
  <c r="AK474" i="10"/>
  <c r="AB474" i="10"/>
  <c r="AA474" i="10"/>
  <c r="X474" i="10"/>
  <c r="Y474" i="10" s="1"/>
  <c r="V474" i="10"/>
  <c r="W474" i="10" s="1"/>
  <c r="T474" i="10"/>
  <c r="U474" i="10" s="1"/>
  <c r="S474" i="10"/>
  <c r="P474" i="10"/>
  <c r="AO474" i="10" s="1"/>
  <c r="AQ474" i="10" s="1"/>
  <c r="O474" i="10"/>
  <c r="N474" i="10"/>
  <c r="AK473" i="10"/>
  <c r="AB473" i="10"/>
  <c r="AA473" i="10"/>
  <c r="X473" i="10"/>
  <c r="Y473" i="10" s="1"/>
  <c r="V473" i="10"/>
  <c r="W473" i="10" s="1"/>
  <c r="T473" i="10"/>
  <c r="U473" i="10" s="1"/>
  <c r="S473" i="10"/>
  <c r="P473" i="10"/>
  <c r="AO473" i="10" s="1"/>
  <c r="AQ473" i="10" s="1"/>
  <c r="O473" i="10"/>
  <c r="N473" i="10"/>
  <c r="AK472" i="10"/>
  <c r="AB472" i="10"/>
  <c r="AA472" i="10"/>
  <c r="X472" i="10"/>
  <c r="Y472" i="10" s="1"/>
  <c r="V472" i="10"/>
  <c r="W472" i="10" s="1"/>
  <c r="T472" i="10"/>
  <c r="U472" i="10" s="1"/>
  <c r="S472" i="10"/>
  <c r="P472" i="10"/>
  <c r="AO472" i="10" s="1"/>
  <c r="AQ472" i="10" s="1"/>
  <c r="O472" i="10"/>
  <c r="N472" i="10"/>
  <c r="AK471" i="10"/>
  <c r="AB471" i="10"/>
  <c r="AA471" i="10"/>
  <c r="X471" i="10"/>
  <c r="Y471" i="10" s="1"/>
  <c r="V471" i="10"/>
  <c r="W471" i="10" s="1"/>
  <c r="T471" i="10"/>
  <c r="U471" i="10" s="1"/>
  <c r="S471" i="10"/>
  <c r="P471" i="10"/>
  <c r="AO471" i="10" s="1"/>
  <c r="AQ471" i="10" s="1"/>
  <c r="O471" i="10"/>
  <c r="N471" i="10"/>
  <c r="AK470" i="10"/>
  <c r="AB470" i="10"/>
  <c r="AA470" i="10"/>
  <c r="X470" i="10"/>
  <c r="Y470" i="10" s="1"/>
  <c r="V470" i="10"/>
  <c r="W470" i="10" s="1"/>
  <c r="T470" i="10"/>
  <c r="U470" i="10" s="1"/>
  <c r="S470" i="10"/>
  <c r="P470" i="10"/>
  <c r="AO470" i="10" s="1"/>
  <c r="AQ470" i="10" s="1"/>
  <c r="O470" i="10"/>
  <c r="N470" i="10"/>
  <c r="AK469" i="10"/>
  <c r="AB469" i="10"/>
  <c r="AA469" i="10"/>
  <c r="X469" i="10"/>
  <c r="Y469" i="10" s="1"/>
  <c r="V469" i="10"/>
  <c r="W469" i="10" s="1"/>
  <c r="T469" i="10"/>
  <c r="U469" i="10" s="1"/>
  <c r="S469" i="10"/>
  <c r="P469" i="10"/>
  <c r="AO469" i="10" s="1"/>
  <c r="AQ469" i="10" s="1"/>
  <c r="O469" i="10"/>
  <c r="N469" i="10"/>
  <c r="AK468" i="10"/>
  <c r="AB468" i="10"/>
  <c r="AA468" i="10"/>
  <c r="X468" i="10"/>
  <c r="Y468" i="10" s="1"/>
  <c r="V468" i="10"/>
  <c r="W468" i="10" s="1"/>
  <c r="T468" i="10"/>
  <c r="U468" i="10" s="1"/>
  <c r="S468" i="10"/>
  <c r="P468" i="10"/>
  <c r="AO468" i="10" s="1"/>
  <c r="AQ468" i="10" s="1"/>
  <c r="O468" i="10"/>
  <c r="N468" i="10"/>
  <c r="AK467" i="10"/>
  <c r="AB467" i="10"/>
  <c r="AA467" i="10"/>
  <c r="X467" i="10"/>
  <c r="Y467" i="10" s="1"/>
  <c r="V467" i="10"/>
  <c r="W467" i="10" s="1"/>
  <c r="T467" i="10"/>
  <c r="U467" i="10" s="1"/>
  <c r="S467" i="10"/>
  <c r="P467" i="10"/>
  <c r="AO467" i="10" s="1"/>
  <c r="AQ467" i="10" s="1"/>
  <c r="O467" i="10"/>
  <c r="N467" i="10"/>
  <c r="AK466" i="10"/>
  <c r="AB466" i="10"/>
  <c r="AA466" i="10"/>
  <c r="X466" i="10"/>
  <c r="Y466" i="10" s="1"/>
  <c r="V466" i="10"/>
  <c r="W466" i="10" s="1"/>
  <c r="T466" i="10"/>
  <c r="U466" i="10" s="1"/>
  <c r="S466" i="10"/>
  <c r="P466" i="10"/>
  <c r="AO466" i="10" s="1"/>
  <c r="AQ466" i="10" s="1"/>
  <c r="O466" i="10"/>
  <c r="N466" i="10"/>
  <c r="AK465" i="10"/>
  <c r="AB465" i="10"/>
  <c r="AA465" i="10"/>
  <c r="X465" i="10"/>
  <c r="Y465" i="10" s="1"/>
  <c r="V465" i="10"/>
  <c r="W465" i="10" s="1"/>
  <c r="T465" i="10"/>
  <c r="U465" i="10" s="1"/>
  <c r="S465" i="10"/>
  <c r="P465" i="10"/>
  <c r="AO465" i="10" s="1"/>
  <c r="AQ465" i="10" s="1"/>
  <c r="O465" i="10"/>
  <c r="N465" i="10"/>
  <c r="AK464" i="10"/>
  <c r="AB464" i="10"/>
  <c r="AA464" i="10"/>
  <c r="X464" i="10"/>
  <c r="Y464" i="10" s="1"/>
  <c r="V464" i="10"/>
  <c r="W464" i="10" s="1"/>
  <c r="T464" i="10"/>
  <c r="U464" i="10" s="1"/>
  <c r="S464" i="10"/>
  <c r="P464" i="10"/>
  <c r="AO464" i="10" s="1"/>
  <c r="AQ464" i="10" s="1"/>
  <c r="O464" i="10"/>
  <c r="N464" i="10"/>
  <c r="AK463" i="10"/>
  <c r="AB463" i="10"/>
  <c r="AA463" i="10"/>
  <c r="X463" i="10"/>
  <c r="Y463" i="10" s="1"/>
  <c r="V463" i="10"/>
  <c r="W463" i="10" s="1"/>
  <c r="T463" i="10"/>
  <c r="U463" i="10" s="1"/>
  <c r="S463" i="10"/>
  <c r="P463" i="10"/>
  <c r="AO463" i="10" s="1"/>
  <c r="AQ463" i="10" s="1"/>
  <c r="O463" i="10"/>
  <c r="N463" i="10"/>
  <c r="AK462" i="10"/>
  <c r="AB462" i="10"/>
  <c r="AA462" i="10"/>
  <c r="X462" i="10"/>
  <c r="Y462" i="10" s="1"/>
  <c r="V462" i="10"/>
  <c r="W462" i="10" s="1"/>
  <c r="T462" i="10"/>
  <c r="U462" i="10" s="1"/>
  <c r="S462" i="10"/>
  <c r="P462" i="10"/>
  <c r="AO462" i="10" s="1"/>
  <c r="AQ462" i="10" s="1"/>
  <c r="O462" i="10"/>
  <c r="N462" i="10"/>
  <c r="AK461" i="10"/>
  <c r="AB461" i="10"/>
  <c r="AA461" i="10"/>
  <c r="X461" i="10"/>
  <c r="Y461" i="10" s="1"/>
  <c r="V461" i="10"/>
  <c r="W461" i="10" s="1"/>
  <c r="T461" i="10"/>
  <c r="U461" i="10" s="1"/>
  <c r="S461" i="10"/>
  <c r="P461" i="10"/>
  <c r="AO461" i="10" s="1"/>
  <c r="AQ461" i="10" s="1"/>
  <c r="O461" i="10"/>
  <c r="N461" i="10"/>
  <c r="AK460" i="10"/>
  <c r="AB460" i="10"/>
  <c r="AA460" i="10"/>
  <c r="X460" i="10"/>
  <c r="Y460" i="10" s="1"/>
  <c r="V460" i="10"/>
  <c r="W460" i="10" s="1"/>
  <c r="T460" i="10"/>
  <c r="U460" i="10" s="1"/>
  <c r="S460" i="10"/>
  <c r="P460" i="10"/>
  <c r="AO460" i="10" s="1"/>
  <c r="AQ460" i="10" s="1"/>
  <c r="O460" i="10"/>
  <c r="N460" i="10"/>
  <c r="AK459" i="10"/>
  <c r="AB459" i="10"/>
  <c r="AA459" i="10"/>
  <c r="X459" i="10"/>
  <c r="Y459" i="10" s="1"/>
  <c r="V459" i="10"/>
  <c r="W459" i="10" s="1"/>
  <c r="T459" i="10"/>
  <c r="U459" i="10" s="1"/>
  <c r="S459" i="10"/>
  <c r="P459" i="10"/>
  <c r="AO459" i="10" s="1"/>
  <c r="AQ459" i="10" s="1"/>
  <c r="O459" i="10"/>
  <c r="N459" i="10"/>
  <c r="AK458" i="10"/>
  <c r="AB458" i="10"/>
  <c r="AA458" i="10"/>
  <c r="X458" i="10"/>
  <c r="Y458" i="10" s="1"/>
  <c r="V458" i="10"/>
  <c r="W458" i="10" s="1"/>
  <c r="T458" i="10"/>
  <c r="U458" i="10" s="1"/>
  <c r="S458" i="10"/>
  <c r="P458" i="10"/>
  <c r="AO458" i="10" s="1"/>
  <c r="AQ458" i="10" s="1"/>
  <c r="O458" i="10"/>
  <c r="N458" i="10"/>
  <c r="AK457" i="10"/>
  <c r="AB457" i="10"/>
  <c r="AA457" i="10"/>
  <c r="X457" i="10"/>
  <c r="Y457" i="10" s="1"/>
  <c r="V457" i="10"/>
  <c r="W457" i="10" s="1"/>
  <c r="T457" i="10"/>
  <c r="U457" i="10" s="1"/>
  <c r="S457" i="10"/>
  <c r="P457" i="10"/>
  <c r="AO457" i="10" s="1"/>
  <c r="AQ457" i="10" s="1"/>
  <c r="O457" i="10"/>
  <c r="N457" i="10"/>
  <c r="AK456" i="10"/>
  <c r="AB456" i="10"/>
  <c r="AA456" i="10"/>
  <c r="X456" i="10"/>
  <c r="Y456" i="10" s="1"/>
  <c r="V456" i="10"/>
  <c r="W456" i="10" s="1"/>
  <c r="T456" i="10"/>
  <c r="U456" i="10" s="1"/>
  <c r="S456" i="10"/>
  <c r="P456" i="10"/>
  <c r="AO456" i="10" s="1"/>
  <c r="AQ456" i="10" s="1"/>
  <c r="O456" i="10"/>
  <c r="N456" i="10"/>
  <c r="AK455" i="10"/>
  <c r="AB455" i="10"/>
  <c r="AA455" i="10"/>
  <c r="X455" i="10"/>
  <c r="Y455" i="10" s="1"/>
  <c r="V455" i="10"/>
  <c r="W455" i="10" s="1"/>
  <c r="T455" i="10"/>
  <c r="U455" i="10" s="1"/>
  <c r="S455" i="10"/>
  <c r="P455" i="10"/>
  <c r="AO455" i="10" s="1"/>
  <c r="AQ455" i="10" s="1"/>
  <c r="O455" i="10"/>
  <c r="N455" i="10"/>
  <c r="AK454" i="10"/>
  <c r="AB454" i="10"/>
  <c r="AA454" i="10"/>
  <c r="X454" i="10"/>
  <c r="Y454" i="10" s="1"/>
  <c r="V454" i="10"/>
  <c r="W454" i="10" s="1"/>
  <c r="T454" i="10"/>
  <c r="U454" i="10" s="1"/>
  <c r="S454" i="10"/>
  <c r="P454" i="10"/>
  <c r="AO454" i="10" s="1"/>
  <c r="AQ454" i="10" s="1"/>
  <c r="O454" i="10"/>
  <c r="N454" i="10"/>
  <c r="AK453" i="10"/>
  <c r="AB453" i="10"/>
  <c r="AA453" i="10"/>
  <c r="X453" i="10"/>
  <c r="Y453" i="10" s="1"/>
  <c r="V453" i="10"/>
  <c r="W453" i="10" s="1"/>
  <c r="T453" i="10"/>
  <c r="U453" i="10" s="1"/>
  <c r="S453" i="10"/>
  <c r="P453" i="10"/>
  <c r="AO453" i="10" s="1"/>
  <c r="AQ453" i="10" s="1"/>
  <c r="O453" i="10"/>
  <c r="N453" i="10"/>
  <c r="AK452" i="10"/>
  <c r="AB452" i="10"/>
  <c r="AA452" i="10"/>
  <c r="X452" i="10"/>
  <c r="Y452" i="10" s="1"/>
  <c r="V452" i="10"/>
  <c r="W452" i="10" s="1"/>
  <c r="T452" i="10"/>
  <c r="U452" i="10" s="1"/>
  <c r="S452" i="10"/>
  <c r="P452" i="10"/>
  <c r="AO452" i="10" s="1"/>
  <c r="AQ452" i="10" s="1"/>
  <c r="O452" i="10"/>
  <c r="N452" i="10"/>
  <c r="AK451" i="10"/>
  <c r="AB451" i="10"/>
  <c r="AA451" i="10"/>
  <c r="X451" i="10"/>
  <c r="Y451" i="10" s="1"/>
  <c r="V451" i="10"/>
  <c r="W451" i="10" s="1"/>
  <c r="T451" i="10"/>
  <c r="U451" i="10" s="1"/>
  <c r="S451" i="10"/>
  <c r="P451" i="10"/>
  <c r="AO451" i="10" s="1"/>
  <c r="AQ451" i="10" s="1"/>
  <c r="O451" i="10"/>
  <c r="N451" i="10"/>
  <c r="AK450" i="10"/>
  <c r="AB450" i="10"/>
  <c r="AA450" i="10"/>
  <c r="X450" i="10"/>
  <c r="Y450" i="10" s="1"/>
  <c r="V450" i="10"/>
  <c r="W450" i="10" s="1"/>
  <c r="T450" i="10"/>
  <c r="U450" i="10" s="1"/>
  <c r="S450" i="10"/>
  <c r="P450" i="10"/>
  <c r="AO450" i="10" s="1"/>
  <c r="AQ450" i="10" s="1"/>
  <c r="O450" i="10"/>
  <c r="N450" i="10"/>
  <c r="AK449" i="10"/>
  <c r="AB449" i="10"/>
  <c r="AA449" i="10"/>
  <c r="X449" i="10"/>
  <c r="Y449" i="10" s="1"/>
  <c r="V449" i="10"/>
  <c r="W449" i="10" s="1"/>
  <c r="T449" i="10"/>
  <c r="U449" i="10" s="1"/>
  <c r="S449" i="10"/>
  <c r="P449" i="10"/>
  <c r="AO449" i="10" s="1"/>
  <c r="AQ449" i="10" s="1"/>
  <c r="O449" i="10"/>
  <c r="N449" i="10"/>
  <c r="AK448" i="10"/>
  <c r="AB448" i="10"/>
  <c r="AA448" i="10"/>
  <c r="X448" i="10"/>
  <c r="Y448" i="10" s="1"/>
  <c r="V448" i="10"/>
  <c r="W448" i="10" s="1"/>
  <c r="T448" i="10"/>
  <c r="U448" i="10" s="1"/>
  <c r="S448" i="10"/>
  <c r="P448" i="10"/>
  <c r="AO448" i="10" s="1"/>
  <c r="AQ448" i="10" s="1"/>
  <c r="O448" i="10"/>
  <c r="N448" i="10"/>
  <c r="AK447" i="10"/>
  <c r="AB447" i="10"/>
  <c r="AA447" i="10"/>
  <c r="X447" i="10"/>
  <c r="Y447" i="10" s="1"/>
  <c r="V447" i="10"/>
  <c r="W447" i="10" s="1"/>
  <c r="T447" i="10"/>
  <c r="U447" i="10" s="1"/>
  <c r="S447" i="10"/>
  <c r="P447" i="10"/>
  <c r="AO447" i="10" s="1"/>
  <c r="AQ447" i="10" s="1"/>
  <c r="O447" i="10"/>
  <c r="N447" i="10"/>
  <c r="AK446" i="10"/>
  <c r="AB446" i="10"/>
  <c r="AA446" i="10"/>
  <c r="X446" i="10"/>
  <c r="Y446" i="10" s="1"/>
  <c r="V446" i="10"/>
  <c r="W446" i="10" s="1"/>
  <c r="T446" i="10"/>
  <c r="U446" i="10" s="1"/>
  <c r="S446" i="10"/>
  <c r="P446" i="10"/>
  <c r="AO446" i="10" s="1"/>
  <c r="AQ446" i="10" s="1"/>
  <c r="O446" i="10"/>
  <c r="N446" i="10"/>
  <c r="AK445" i="10"/>
  <c r="AB445" i="10"/>
  <c r="AA445" i="10"/>
  <c r="X445" i="10"/>
  <c r="Y445" i="10" s="1"/>
  <c r="V445" i="10"/>
  <c r="W445" i="10" s="1"/>
  <c r="T445" i="10"/>
  <c r="U445" i="10" s="1"/>
  <c r="S445" i="10"/>
  <c r="P445" i="10"/>
  <c r="AO445" i="10" s="1"/>
  <c r="AQ445" i="10" s="1"/>
  <c r="O445" i="10"/>
  <c r="N445" i="10"/>
  <c r="AK444" i="10"/>
  <c r="AB444" i="10"/>
  <c r="AA444" i="10"/>
  <c r="X444" i="10"/>
  <c r="Y444" i="10" s="1"/>
  <c r="V444" i="10"/>
  <c r="W444" i="10" s="1"/>
  <c r="T444" i="10"/>
  <c r="U444" i="10" s="1"/>
  <c r="S444" i="10"/>
  <c r="P444" i="10"/>
  <c r="AO444" i="10" s="1"/>
  <c r="AQ444" i="10" s="1"/>
  <c r="O444" i="10"/>
  <c r="N444" i="10"/>
  <c r="AK443" i="10"/>
  <c r="AB443" i="10"/>
  <c r="AA443" i="10"/>
  <c r="X443" i="10"/>
  <c r="Y443" i="10" s="1"/>
  <c r="V443" i="10"/>
  <c r="W443" i="10" s="1"/>
  <c r="T443" i="10"/>
  <c r="U443" i="10" s="1"/>
  <c r="S443" i="10"/>
  <c r="P443" i="10"/>
  <c r="AO443" i="10" s="1"/>
  <c r="AQ443" i="10" s="1"/>
  <c r="O443" i="10"/>
  <c r="N443" i="10"/>
  <c r="AK442" i="10"/>
  <c r="AB442" i="10"/>
  <c r="AA442" i="10"/>
  <c r="X442" i="10"/>
  <c r="Y442" i="10" s="1"/>
  <c r="V442" i="10"/>
  <c r="W442" i="10" s="1"/>
  <c r="T442" i="10"/>
  <c r="U442" i="10" s="1"/>
  <c r="S442" i="10"/>
  <c r="P442" i="10"/>
  <c r="AO442" i="10" s="1"/>
  <c r="AQ442" i="10" s="1"/>
  <c r="O442" i="10"/>
  <c r="N442" i="10"/>
  <c r="AK441" i="10"/>
  <c r="AB441" i="10"/>
  <c r="AA441" i="10"/>
  <c r="X441" i="10"/>
  <c r="Y441" i="10" s="1"/>
  <c r="V441" i="10"/>
  <c r="W441" i="10" s="1"/>
  <c r="T441" i="10"/>
  <c r="U441" i="10" s="1"/>
  <c r="S441" i="10"/>
  <c r="P441" i="10"/>
  <c r="AO441" i="10" s="1"/>
  <c r="AQ441" i="10" s="1"/>
  <c r="O441" i="10"/>
  <c r="N441" i="10"/>
  <c r="AK440" i="10"/>
  <c r="AB440" i="10"/>
  <c r="AA440" i="10"/>
  <c r="X440" i="10"/>
  <c r="Y440" i="10" s="1"/>
  <c r="V440" i="10"/>
  <c r="W440" i="10" s="1"/>
  <c r="T440" i="10"/>
  <c r="U440" i="10" s="1"/>
  <c r="S440" i="10"/>
  <c r="P440" i="10"/>
  <c r="AO440" i="10" s="1"/>
  <c r="AQ440" i="10" s="1"/>
  <c r="O440" i="10"/>
  <c r="N440" i="10"/>
  <c r="AK439" i="10"/>
  <c r="AB439" i="10"/>
  <c r="AA439" i="10"/>
  <c r="X439" i="10"/>
  <c r="Y439" i="10" s="1"/>
  <c r="V439" i="10"/>
  <c r="W439" i="10" s="1"/>
  <c r="T439" i="10"/>
  <c r="U439" i="10" s="1"/>
  <c r="S439" i="10"/>
  <c r="P439" i="10"/>
  <c r="AO439" i="10" s="1"/>
  <c r="AQ439" i="10" s="1"/>
  <c r="O439" i="10"/>
  <c r="N439" i="10"/>
  <c r="AK438" i="10"/>
  <c r="AB438" i="10"/>
  <c r="AA438" i="10"/>
  <c r="X438" i="10"/>
  <c r="Y438" i="10" s="1"/>
  <c r="V438" i="10"/>
  <c r="W438" i="10" s="1"/>
  <c r="T438" i="10"/>
  <c r="U438" i="10" s="1"/>
  <c r="S438" i="10"/>
  <c r="P438" i="10"/>
  <c r="AO438" i="10" s="1"/>
  <c r="AQ438" i="10" s="1"/>
  <c r="O438" i="10"/>
  <c r="N438" i="10"/>
  <c r="AK437" i="10"/>
  <c r="AB437" i="10"/>
  <c r="AA437" i="10"/>
  <c r="X437" i="10"/>
  <c r="Y437" i="10" s="1"/>
  <c r="V437" i="10"/>
  <c r="W437" i="10" s="1"/>
  <c r="T437" i="10"/>
  <c r="U437" i="10" s="1"/>
  <c r="S437" i="10"/>
  <c r="P437" i="10"/>
  <c r="AO437" i="10" s="1"/>
  <c r="AQ437" i="10" s="1"/>
  <c r="O437" i="10"/>
  <c r="N437" i="10"/>
  <c r="AK436" i="10"/>
  <c r="AB436" i="10"/>
  <c r="AA436" i="10"/>
  <c r="X436" i="10"/>
  <c r="Y436" i="10" s="1"/>
  <c r="V436" i="10"/>
  <c r="W436" i="10" s="1"/>
  <c r="T436" i="10"/>
  <c r="U436" i="10" s="1"/>
  <c r="S436" i="10"/>
  <c r="P436" i="10"/>
  <c r="AO436" i="10" s="1"/>
  <c r="AQ436" i="10" s="1"/>
  <c r="O436" i="10"/>
  <c r="N436" i="10"/>
  <c r="AK435" i="10"/>
  <c r="AB435" i="10"/>
  <c r="AA435" i="10"/>
  <c r="X435" i="10"/>
  <c r="Y435" i="10" s="1"/>
  <c r="V435" i="10"/>
  <c r="W435" i="10" s="1"/>
  <c r="T435" i="10"/>
  <c r="U435" i="10" s="1"/>
  <c r="S435" i="10"/>
  <c r="P435" i="10"/>
  <c r="AO435" i="10" s="1"/>
  <c r="AQ435" i="10" s="1"/>
  <c r="O435" i="10"/>
  <c r="N435" i="10"/>
  <c r="AK434" i="10"/>
  <c r="AB434" i="10"/>
  <c r="AA434" i="10"/>
  <c r="X434" i="10"/>
  <c r="Y434" i="10" s="1"/>
  <c r="V434" i="10"/>
  <c r="W434" i="10" s="1"/>
  <c r="T434" i="10"/>
  <c r="U434" i="10" s="1"/>
  <c r="S434" i="10"/>
  <c r="P434" i="10"/>
  <c r="AO434" i="10" s="1"/>
  <c r="AQ434" i="10" s="1"/>
  <c r="O434" i="10"/>
  <c r="N434" i="10"/>
  <c r="AK433" i="10"/>
  <c r="AB433" i="10"/>
  <c r="AA433" i="10"/>
  <c r="X433" i="10"/>
  <c r="Y433" i="10" s="1"/>
  <c r="V433" i="10"/>
  <c r="W433" i="10" s="1"/>
  <c r="T433" i="10"/>
  <c r="U433" i="10" s="1"/>
  <c r="S433" i="10"/>
  <c r="P433" i="10"/>
  <c r="AO433" i="10" s="1"/>
  <c r="AQ433" i="10" s="1"/>
  <c r="O433" i="10"/>
  <c r="N433" i="10"/>
  <c r="AK432" i="10"/>
  <c r="AB432" i="10"/>
  <c r="AA432" i="10"/>
  <c r="X432" i="10"/>
  <c r="Y432" i="10" s="1"/>
  <c r="V432" i="10"/>
  <c r="W432" i="10" s="1"/>
  <c r="T432" i="10"/>
  <c r="U432" i="10" s="1"/>
  <c r="S432" i="10"/>
  <c r="P432" i="10"/>
  <c r="AO432" i="10" s="1"/>
  <c r="AQ432" i="10" s="1"/>
  <c r="O432" i="10"/>
  <c r="N432" i="10"/>
  <c r="AK431" i="10"/>
  <c r="AB431" i="10"/>
  <c r="AA431" i="10"/>
  <c r="X431" i="10"/>
  <c r="Y431" i="10" s="1"/>
  <c r="V431" i="10"/>
  <c r="W431" i="10" s="1"/>
  <c r="T431" i="10"/>
  <c r="U431" i="10" s="1"/>
  <c r="S431" i="10"/>
  <c r="P431" i="10"/>
  <c r="AO431" i="10" s="1"/>
  <c r="AQ431" i="10" s="1"/>
  <c r="O431" i="10"/>
  <c r="N431" i="10"/>
  <c r="AK430" i="10"/>
  <c r="AB430" i="10"/>
  <c r="AA430" i="10"/>
  <c r="X430" i="10"/>
  <c r="Y430" i="10" s="1"/>
  <c r="V430" i="10"/>
  <c r="W430" i="10" s="1"/>
  <c r="T430" i="10"/>
  <c r="U430" i="10" s="1"/>
  <c r="S430" i="10"/>
  <c r="P430" i="10"/>
  <c r="AO430" i="10" s="1"/>
  <c r="AQ430" i="10" s="1"/>
  <c r="O430" i="10"/>
  <c r="N430" i="10"/>
  <c r="AK429" i="10"/>
  <c r="AB429" i="10"/>
  <c r="AA429" i="10"/>
  <c r="X429" i="10"/>
  <c r="Y429" i="10" s="1"/>
  <c r="V429" i="10"/>
  <c r="W429" i="10" s="1"/>
  <c r="T429" i="10"/>
  <c r="U429" i="10" s="1"/>
  <c r="S429" i="10"/>
  <c r="P429" i="10"/>
  <c r="AO429" i="10" s="1"/>
  <c r="AQ429" i="10" s="1"/>
  <c r="O429" i="10"/>
  <c r="N429" i="10"/>
  <c r="AK428" i="10"/>
  <c r="AB428" i="10"/>
  <c r="AA428" i="10"/>
  <c r="X428" i="10"/>
  <c r="Y428" i="10" s="1"/>
  <c r="V428" i="10"/>
  <c r="W428" i="10" s="1"/>
  <c r="T428" i="10"/>
  <c r="U428" i="10" s="1"/>
  <c r="S428" i="10"/>
  <c r="P428" i="10"/>
  <c r="AO428" i="10" s="1"/>
  <c r="AQ428" i="10" s="1"/>
  <c r="O428" i="10"/>
  <c r="N428" i="10"/>
  <c r="AK427" i="10"/>
  <c r="AB427" i="10"/>
  <c r="AA427" i="10"/>
  <c r="X427" i="10"/>
  <c r="Y427" i="10" s="1"/>
  <c r="V427" i="10"/>
  <c r="W427" i="10" s="1"/>
  <c r="T427" i="10"/>
  <c r="U427" i="10" s="1"/>
  <c r="S427" i="10"/>
  <c r="P427" i="10"/>
  <c r="AO427" i="10" s="1"/>
  <c r="AQ427" i="10" s="1"/>
  <c r="O427" i="10"/>
  <c r="N427" i="10"/>
  <c r="AK426" i="10"/>
  <c r="AB426" i="10"/>
  <c r="AA426" i="10"/>
  <c r="X426" i="10"/>
  <c r="Y426" i="10" s="1"/>
  <c r="V426" i="10"/>
  <c r="W426" i="10" s="1"/>
  <c r="T426" i="10"/>
  <c r="U426" i="10" s="1"/>
  <c r="S426" i="10"/>
  <c r="P426" i="10"/>
  <c r="AO426" i="10" s="1"/>
  <c r="AQ426" i="10" s="1"/>
  <c r="O426" i="10"/>
  <c r="N426" i="10"/>
  <c r="AO425" i="10"/>
  <c r="AQ425" i="10" s="1"/>
  <c r="AK425" i="10"/>
  <c r="AL425" i="10" s="1"/>
  <c r="AI425" i="10"/>
  <c r="AB425" i="10"/>
  <c r="AA425" i="10"/>
  <c r="X425" i="10"/>
  <c r="Y425" i="10" s="1"/>
  <c r="V425" i="10"/>
  <c r="W425" i="10" s="1"/>
  <c r="T425" i="10"/>
  <c r="U425" i="10" s="1"/>
  <c r="S425" i="10"/>
  <c r="P425" i="10"/>
  <c r="O425" i="10"/>
  <c r="N425" i="10"/>
  <c r="Z425" i="10" s="1"/>
  <c r="AN425" i="10" s="1"/>
  <c r="AK424" i="10"/>
  <c r="AB424" i="10"/>
  <c r="AA424" i="10"/>
  <c r="X424" i="10"/>
  <c r="Y424" i="10" s="1"/>
  <c r="V424" i="10"/>
  <c r="W424" i="10" s="1"/>
  <c r="T424" i="10"/>
  <c r="U424" i="10" s="1"/>
  <c r="S424" i="10"/>
  <c r="P424" i="10"/>
  <c r="AO424" i="10" s="1"/>
  <c r="AQ424" i="10" s="1"/>
  <c r="O424" i="10"/>
  <c r="N424" i="10"/>
  <c r="AK423" i="10"/>
  <c r="AB423" i="10"/>
  <c r="AA423" i="10"/>
  <c r="X423" i="10"/>
  <c r="Y423" i="10" s="1"/>
  <c r="V423" i="10"/>
  <c r="W423" i="10" s="1"/>
  <c r="T423" i="10"/>
  <c r="U423" i="10" s="1"/>
  <c r="S423" i="10"/>
  <c r="P423" i="10"/>
  <c r="AO423" i="10" s="1"/>
  <c r="AQ423" i="10" s="1"/>
  <c r="O423" i="10"/>
  <c r="N423" i="10"/>
  <c r="AK422" i="10"/>
  <c r="AB422" i="10"/>
  <c r="AA422" i="10"/>
  <c r="X422" i="10"/>
  <c r="Y422" i="10" s="1"/>
  <c r="V422" i="10"/>
  <c r="W422" i="10" s="1"/>
  <c r="T422" i="10"/>
  <c r="U422" i="10" s="1"/>
  <c r="S422" i="10"/>
  <c r="P422" i="10"/>
  <c r="AO422" i="10" s="1"/>
  <c r="AQ422" i="10" s="1"/>
  <c r="O422" i="10"/>
  <c r="N422" i="10"/>
  <c r="AK421" i="10"/>
  <c r="AB421" i="10"/>
  <c r="AA421" i="10"/>
  <c r="X421" i="10"/>
  <c r="Y421" i="10" s="1"/>
  <c r="V421" i="10"/>
  <c r="W421" i="10" s="1"/>
  <c r="T421" i="10"/>
  <c r="U421" i="10" s="1"/>
  <c r="S421" i="10"/>
  <c r="P421" i="10"/>
  <c r="AO421" i="10" s="1"/>
  <c r="AQ421" i="10" s="1"/>
  <c r="O421" i="10"/>
  <c r="N421" i="10"/>
  <c r="AK420" i="10"/>
  <c r="AB420" i="10"/>
  <c r="AA420" i="10"/>
  <c r="X420" i="10"/>
  <c r="Y420" i="10" s="1"/>
  <c r="V420" i="10"/>
  <c r="W420" i="10" s="1"/>
  <c r="T420" i="10"/>
  <c r="U420" i="10" s="1"/>
  <c r="S420" i="10"/>
  <c r="P420" i="10"/>
  <c r="AO420" i="10" s="1"/>
  <c r="AQ420" i="10" s="1"/>
  <c r="O420" i="10"/>
  <c r="N420" i="10"/>
  <c r="AK419" i="10"/>
  <c r="AB419" i="10"/>
  <c r="AA419" i="10"/>
  <c r="X419" i="10"/>
  <c r="Y419" i="10" s="1"/>
  <c r="V419" i="10"/>
  <c r="W419" i="10" s="1"/>
  <c r="T419" i="10"/>
  <c r="U419" i="10" s="1"/>
  <c r="S419" i="10"/>
  <c r="P419" i="10"/>
  <c r="AO419" i="10" s="1"/>
  <c r="AQ419" i="10" s="1"/>
  <c r="O419" i="10"/>
  <c r="N419" i="10"/>
  <c r="AK418" i="10"/>
  <c r="AB418" i="10"/>
  <c r="AA418" i="10"/>
  <c r="X418" i="10"/>
  <c r="Y418" i="10" s="1"/>
  <c r="V418" i="10"/>
  <c r="W418" i="10" s="1"/>
  <c r="T418" i="10"/>
  <c r="U418" i="10" s="1"/>
  <c r="S418" i="10"/>
  <c r="P418" i="10"/>
  <c r="AO418" i="10" s="1"/>
  <c r="AQ418" i="10" s="1"/>
  <c r="O418" i="10"/>
  <c r="N418" i="10"/>
  <c r="AK417" i="10"/>
  <c r="AB417" i="10"/>
  <c r="AA417" i="10"/>
  <c r="X417" i="10"/>
  <c r="Y417" i="10" s="1"/>
  <c r="V417" i="10"/>
  <c r="W417" i="10" s="1"/>
  <c r="T417" i="10"/>
  <c r="U417" i="10" s="1"/>
  <c r="S417" i="10"/>
  <c r="P417" i="10"/>
  <c r="AO417" i="10" s="1"/>
  <c r="AQ417" i="10" s="1"/>
  <c r="O417" i="10"/>
  <c r="N417" i="10"/>
  <c r="AK416" i="10"/>
  <c r="AB416" i="10"/>
  <c r="AA416" i="10"/>
  <c r="X416" i="10"/>
  <c r="Y416" i="10" s="1"/>
  <c r="V416" i="10"/>
  <c r="W416" i="10" s="1"/>
  <c r="T416" i="10"/>
  <c r="U416" i="10" s="1"/>
  <c r="S416" i="10"/>
  <c r="P416" i="10"/>
  <c r="AO416" i="10" s="1"/>
  <c r="AQ416" i="10" s="1"/>
  <c r="O416" i="10"/>
  <c r="N416" i="10"/>
  <c r="AK415" i="10"/>
  <c r="AB415" i="10"/>
  <c r="AA415" i="10"/>
  <c r="X415" i="10"/>
  <c r="Y415" i="10" s="1"/>
  <c r="V415" i="10"/>
  <c r="W415" i="10" s="1"/>
  <c r="T415" i="10"/>
  <c r="U415" i="10" s="1"/>
  <c r="S415" i="10"/>
  <c r="P415" i="10"/>
  <c r="AO415" i="10" s="1"/>
  <c r="AQ415" i="10" s="1"/>
  <c r="O415" i="10"/>
  <c r="N415" i="10"/>
  <c r="AK414" i="10"/>
  <c r="AB414" i="10"/>
  <c r="AA414" i="10"/>
  <c r="X414" i="10"/>
  <c r="Y414" i="10" s="1"/>
  <c r="V414" i="10"/>
  <c r="W414" i="10" s="1"/>
  <c r="T414" i="10"/>
  <c r="U414" i="10" s="1"/>
  <c r="S414" i="10"/>
  <c r="P414" i="10"/>
  <c r="AO414" i="10" s="1"/>
  <c r="AQ414" i="10" s="1"/>
  <c r="O414" i="10"/>
  <c r="N414" i="10"/>
  <c r="AK413" i="10"/>
  <c r="AB413" i="10"/>
  <c r="AA413" i="10"/>
  <c r="X413" i="10"/>
  <c r="Y413" i="10" s="1"/>
  <c r="V413" i="10"/>
  <c r="W413" i="10" s="1"/>
  <c r="T413" i="10"/>
  <c r="U413" i="10" s="1"/>
  <c r="S413" i="10"/>
  <c r="P413" i="10"/>
  <c r="AO413" i="10" s="1"/>
  <c r="AQ413" i="10" s="1"/>
  <c r="O413" i="10"/>
  <c r="N413" i="10"/>
  <c r="AK412" i="10"/>
  <c r="AB412" i="10"/>
  <c r="AA412" i="10"/>
  <c r="X412" i="10"/>
  <c r="Y412" i="10" s="1"/>
  <c r="V412" i="10"/>
  <c r="W412" i="10" s="1"/>
  <c r="T412" i="10"/>
  <c r="U412" i="10" s="1"/>
  <c r="S412" i="10"/>
  <c r="P412" i="10"/>
  <c r="AO412" i="10" s="1"/>
  <c r="AQ412" i="10" s="1"/>
  <c r="O412" i="10"/>
  <c r="N412" i="10"/>
  <c r="AK411" i="10"/>
  <c r="AB411" i="10"/>
  <c r="AA411" i="10"/>
  <c r="X411" i="10"/>
  <c r="Y411" i="10" s="1"/>
  <c r="V411" i="10"/>
  <c r="W411" i="10" s="1"/>
  <c r="T411" i="10"/>
  <c r="U411" i="10" s="1"/>
  <c r="S411" i="10"/>
  <c r="P411" i="10"/>
  <c r="AO411" i="10" s="1"/>
  <c r="AQ411" i="10" s="1"/>
  <c r="O411" i="10"/>
  <c r="N411" i="10"/>
  <c r="AK410" i="10"/>
  <c r="AB410" i="10"/>
  <c r="AA410" i="10"/>
  <c r="X410" i="10"/>
  <c r="Y410" i="10" s="1"/>
  <c r="V410" i="10"/>
  <c r="W410" i="10" s="1"/>
  <c r="T410" i="10"/>
  <c r="U410" i="10" s="1"/>
  <c r="S410" i="10"/>
  <c r="P410" i="10"/>
  <c r="AO410" i="10" s="1"/>
  <c r="AQ410" i="10" s="1"/>
  <c r="O410" i="10"/>
  <c r="N410" i="10"/>
  <c r="AK409" i="10"/>
  <c r="AB409" i="10"/>
  <c r="AA409" i="10"/>
  <c r="X409" i="10"/>
  <c r="Y409" i="10" s="1"/>
  <c r="V409" i="10"/>
  <c r="W409" i="10" s="1"/>
  <c r="T409" i="10"/>
  <c r="U409" i="10" s="1"/>
  <c r="S409" i="10"/>
  <c r="P409" i="10"/>
  <c r="AO409" i="10" s="1"/>
  <c r="AQ409" i="10" s="1"/>
  <c r="O409" i="10"/>
  <c r="N409" i="10"/>
  <c r="AK408" i="10"/>
  <c r="AB408" i="10"/>
  <c r="AA408" i="10"/>
  <c r="X408" i="10"/>
  <c r="Y408" i="10" s="1"/>
  <c r="V408" i="10"/>
  <c r="W408" i="10" s="1"/>
  <c r="T408" i="10"/>
  <c r="U408" i="10" s="1"/>
  <c r="S408" i="10"/>
  <c r="P408" i="10"/>
  <c r="AO408" i="10" s="1"/>
  <c r="AQ408" i="10" s="1"/>
  <c r="O408" i="10"/>
  <c r="N408" i="10"/>
  <c r="AK407" i="10"/>
  <c r="AB407" i="10"/>
  <c r="AA407" i="10"/>
  <c r="X407" i="10"/>
  <c r="Y407" i="10" s="1"/>
  <c r="V407" i="10"/>
  <c r="W407" i="10" s="1"/>
  <c r="T407" i="10"/>
  <c r="U407" i="10" s="1"/>
  <c r="S407" i="10"/>
  <c r="P407" i="10"/>
  <c r="AO407" i="10" s="1"/>
  <c r="AQ407" i="10" s="1"/>
  <c r="O407" i="10"/>
  <c r="N407" i="10"/>
  <c r="AK406" i="10"/>
  <c r="AB406" i="10"/>
  <c r="AA406" i="10"/>
  <c r="X406" i="10"/>
  <c r="Y406" i="10" s="1"/>
  <c r="V406" i="10"/>
  <c r="W406" i="10" s="1"/>
  <c r="T406" i="10"/>
  <c r="U406" i="10" s="1"/>
  <c r="S406" i="10"/>
  <c r="P406" i="10"/>
  <c r="AO406" i="10" s="1"/>
  <c r="AQ406" i="10" s="1"/>
  <c r="O406" i="10"/>
  <c r="N406" i="10"/>
  <c r="AK405" i="10"/>
  <c r="AB405" i="10"/>
  <c r="AA405" i="10"/>
  <c r="X405" i="10"/>
  <c r="Y405" i="10" s="1"/>
  <c r="V405" i="10"/>
  <c r="W405" i="10" s="1"/>
  <c r="T405" i="10"/>
  <c r="U405" i="10" s="1"/>
  <c r="S405" i="10"/>
  <c r="P405" i="10"/>
  <c r="AO405" i="10" s="1"/>
  <c r="AQ405" i="10" s="1"/>
  <c r="O405" i="10"/>
  <c r="N405" i="10"/>
  <c r="AK404" i="10"/>
  <c r="AB404" i="10"/>
  <c r="AA404" i="10"/>
  <c r="X404" i="10"/>
  <c r="Y404" i="10" s="1"/>
  <c r="V404" i="10"/>
  <c r="W404" i="10" s="1"/>
  <c r="T404" i="10"/>
  <c r="U404" i="10" s="1"/>
  <c r="S404" i="10"/>
  <c r="P404" i="10"/>
  <c r="AO404" i="10" s="1"/>
  <c r="AQ404" i="10" s="1"/>
  <c r="O404" i="10"/>
  <c r="N404" i="10"/>
  <c r="AK403" i="10"/>
  <c r="AB403" i="10"/>
  <c r="AA403" i="10"/>
  <c r="X403" i="10"/>
  <c r="Y403" i="10" s="1"/>
  <c r="V403" i="10"/>
  <c r="W403" i="10" s="1"/>
  <c r="T403" i="10"/>
  <c r="U403" i="10" s="1"/>
  <c r="S403" i="10"/>
  <c r="P403" i="10"/>
  <c r="AO403" i="10" s="1"/>
  <c r="AQ403" i="10" s="1"/>
  <c r="O403" i="10"/>
  <c r="N403" i="10"/>
  <c r="AK402" i="10"/>
  <c r="AB402" i="10"/>
  <c r="AA402" i="10"/>
  <c r="X402" i="10"/>
  <c r="Y402" i="10" s="1"/>
  <c r="V402" i="10"/>
  <c r="W402" i="10" s="1"/>
  <c r="T402" i="10"/>
  <c r="U402" i="10" s="1"/>
  <c r="S402" i="10"/>
  <c r="P402" i="10"/>
  <c r="AO402" i="10" s="1"/>
  <c r="AQ402" i="10" s="1"/>
  <c r="O402" i="10"/>
  <c r="N402" i="10"/>
  <c r="AK401" i="10"/>
  <c r="AB401" i="10"/>
  <c r="AA401" i="10"/>
  <c r="X401" i="10"/>
  <c r="Y401" i="10" s="1"/>
  <c r="V401" i="10"/>
  <c r="W401" i="10" s="1"/>
  <c r="T401" i="10"/>
  <c r="U401" i="10" s="1"/>
  <c r="S401" i="10"/>
  <c r="P401" i="10"/>
  <c r="AO401" i="10" s="1"/>
  <c r="AQ401" i="10" s="1"/>
  <c r="O401" i="10"/>
  <c r="N401" i="10"/>
  <c r="AK400" i="10"/>
  <c r="AB400" i="10"/>
  <c r="AA400" i="10"/>
  <c r="X400" i="10"/>
  <c r="Y400" i="10" s="1"/>
  <c r="V400" i="10"/>
  <c r="W400" i="10" s="1"/>
  <c r="T400" i="10"/>
  <c r="U400" i="10" s="1"/>
  <c r="S400" i="10"/>
  <c r="P400" i="10"/>
  <c r="AO400" i="10" s="1"/>
  <c r="AQ400" i="10" s="1"/>
  <c r="O400" i="10"/>
  <c r="N400" i="10"/>
  <c r="AK399" i="10"/>
  <c r="AB399" i="10"/>
  <c r="AA399" i="10"/>
  <c r="X399" i="10"/>
  <c r="Y399" i="10" s="1"/>
  <c r="V399" i="10"/>
  <c r="W399" i="10" s="1"/>
  <c r="T399" i="10"/>
  <c r="U399" i="10" s="1"/>
  <c r="S399" i="10"/>
  <c r="P399" i="10"/>
  <c r="AO399" i="10" s="1"/>
  <c r="AQ399" i="10" s="1"/>
  <c r="O399" i="10"/>
  <c r="N399" i="10"/>
  <c r="AK398" i="10"/>
  <c r="AB398" i="10"/>
  <c r="AA398" i="10"/>
  <c r="X398" i="10"/>
  <c r="Y398" i="10" s="1"/>
  <c r="V398" i="10"/>
  <c r="W398" i="10" s="1"/>
  <c r="T398" i="10"/>
  <c r="U398" i="10" s="1"/>
  <c r="S398" i="10"/>
  <c r="P398" i="10"/>
  <c r="AO398" i="10" s="1"/>
  <c r="AQ398" i="10" s="1"/>
  <c r="O398" i="10"/>
  <c r="N398" i="10"/>
  <c r="AK397" i="10"/>
  <c r="AB397" i="10"/>
  <c r="AA397" i="10"/>
  <c r="X397" i="10"/>
  <c r="Y397" i="10" s="1"/>
  <c r="V397" i="10"/>
  <c r="W397" i="10" s="1"/>
  <c r="T397" i="10"/>
  <c r="U397" i="10" s="1"/>
  <c r="S397" i="10"/>
  <c r="P397" i="10"/>
  <c r="AO397" i="10" s="1"/>
  <c r="AQ397" i="10" s="1"/>
  <c r="O397" i="10"/>
  <c r="N397" i="10"/>
  <c r="AK396" i="10"/>
  <c r="AB396" i="10"/>
  <c r="AA396" i="10"/>
  <c r="X396" i="10"/>
  <c r="Y396" i="10" s="1"/>
  <c r="V396" i="10"/>
  <c r="W396" i="10" s="1"/>
  <c r="T396" i="10"/>
  <c r="U396" i="10" s="1"/>
  <c r="S396" i="10"/>
  <c r="P396" i="10"/>
  <c r="AO396" i="10" s="1"/>
  <c r="AQ396" i="10" s="1"/>
  <c r="O396" i="10"/>
  <c r="N396" i="10"/>
  <c r="AK395" i="10"/>
  <c r="AB395" i="10"/>
  <c r="AA395" i="10"/>
  <c r="X395" i="10"/>
  <c r="Y395" i="10" s="1"/>
  <c r="V395" i="10"/>
  <c r="W395" i="10" s="1"/>
  <c r="T395" i="10"/>
  <c r="U395" i="10" s="1"/>
  <c r="S395" i="10"/>
  <c r="P395" i="10"/>
  <c r="AO395" i="10" s="1"/>
  <c r="AQ395" i="10" s="1"/>
  <c r="O395" i="10"/>
  <c r="N395" i="10"/>
  <c r="AK394" i="10"/>
  <c r="AB394" i="10"/>
  <c r="AA394" i="10"/>
  <c r="X394" i="10"/>
  <c r="Y394" i="10" s="1"/>
  <c r="V394" i="10"/>
  <c r="W394" i="10" s="1"/>
  <c r="T394" i="10"/>
  <c r="U394" i="10" s="1"/>
  <c r="S394" i="10"/>
  <c r="P394" i="10"/>
  <c r="AO394" i="10" s="1"/>
  <c r="AQ394" i="10" s="1"/>
  <c r="O394" i="10"/>
  <c r="N394" i="10"/>
  <c r="AK393" i="10"/>
  <c r="AB393" i="10"/>
  <c r="AA393" i="10"/>
  <c r="X393" i="10"/>
  <c r="Y393" i="10" s="1"/>
  <c r="V393" i="10"/>
  <c r="W393" i="10" s="1"/>
  <c r="T393" i="10"/>
  <c r="U393" i="10" s="1"/>
  <c r="S393" i="10"/>
  <c r="P393" i="10"/>
  <c r="AO393" i="10" s="1"/>
  <c r="AQ393" i="10" s="1"/>
  <c r="O393" i="10"/>
  <c r="N393" i="10"/>
  <c r="AK392" i="10"/>
  <c r="AB392" i="10"/>
  <c r="AA392" i="10"/>
  <c r="X392" i="10"/>
  <c r="Y392" i="10" s="1"/>
  <c r="V392" i="10"/>
  <c r="W392" i="10" s="1"/>
  <c r="T392" i="10"/>
  <c r="U392" i="10" s="1"/>
  <c r="S392" i="10"/>
  <c r="P392" i="10"/>
  <c r="AO392" i="10" s="1"/>
  <c r="AQ392" i="10" s="1"/>
  <c r="O392" i="10"/>
  <c r="N392" i="10"/>
  <c r="AK391" i="10"/>
  <c r="AC391" i="10"/>
  <c r="AB391" i="10"/>
  <c r="AA391" i="10"/>
  <c r="X391" i="10"/>
  <c r="Y391" i="10" s="1"/>
  <c r="V391" i="10"/>
  <c r="W391" i="10" s="1"/>
  <c r="T391" i="10"/>
  <c r="U391" i="10" s="1"/>
  <c r="S391" i="10"/>
  <c r="P391" i="10"/>
  <c r="AO391" i="10" s="1"/>
  <c r="AQ391" i="10" s="1"/>
  <c r="O391" i="10"/>
  <c r="N391" i="10"/>
  <c r="AK390" i="10"/>
  <c r="AB390" i="10"/>
  <c r="AA390" i="10"/>
  <c r="X390" i="10"/>
  <c r="Y390" i="10" s="1"/>
  <c r="V390" i="10"/>
  <c r="W390" i="10" s="1"/>
  <c r="T390" i="10"/>
  <c r="U390" i="10" s="1"/>
  <c r="S390" i="10"/>
  <c r="P390" i="10"/>
  <c r="AO390" i="10" s="1"/>
  <c r="AQ390" i="10" s="1"/>
  <c r="O390" i="10"/>
  <c r="N390" i="10"/>
  <c r="AK389" i="10"/>
  <c r="AB389" i="10"/>
  <c r="AA389" i="10"/>
  <c r="X389" i="10"/>
  <c r="Y389" i="10" s="1"/>
  <c r="V389" i="10"/>
  <c r="W389" i="10" s="1"/>
  <c r="T389" i="10"/>
  <c r="U389" i="10" s="1"/>
  <c r="S389" i="10"/>
  <c r="P389" i="10"/>
  <c r="AO389" i="10" s="1"/>
  <c r="AQ389" i="10" s="1"/>
  <c r="O389" i="10"/>
  <c r="N389" i="10"/>
  <c r="AK388" i="10"/>
  <c r="AB388" i="10"/>
  <c r="AA388" i="10"/>
  <c r="X388" i="10"/>
  <c r="Y388" i="10" s="1"/>
  <c r="V388" i="10"/>
  <c r="W388" i="10" s="1"/>
  <c r="T388" i="10"/>
  <c r="U388" i="10" s="1"/>
  <c r="S388" i="10"/>
  <c r="P388" i="10"/>
  <c r="AO388" i="10" s="1"/>
  <c r="AQ388" i="10" s="1"/>
  <c r="O388" i="10"/>
  <c r="N388" i="10"/>
  <c r="AK387" i="10"/>
  <c r="AB387" i="10"/>
  <c r="AA387" i="10"/>
  <c r="X387" i="10"/>
  <c r="Y387" i="10" s="1"/>
  <c r="V387" i="10"/>
  <c r="W387" i="10" s="1"/>
  <c r="T387" i="10"/>
  <c r="U387" i="10" s="1"/>
  <c r="S387" i="10"/>
  <c r="P387" i="10"/>
  <c r="AO387" i="10" s="1"/>
  <c r="AQ387" i="10" s="1"/>
  <c r="O387" i="10"/>
  <c r="N387" i="10"/>
  <c r="AK386" i="10"/>
  <c r="AB386" i="10"/>
  <c r="AA386" i="10"/>
  <c r="X386" i="10"/>
  <c r="Y386" i="10" s="1"/>
  <c r="V386" i="10"/>
  <c r="W386" i="10" s="1"/>
  <c r="T386" i="10"/>
  <c r="U386" i="10" s="1"/>
  <c r="S386" i="10"/>
  <c r="P386" i="10"/>
  <c r="AO386" i="10" s="1"/>
  <c r="AQ386" i="10" s="1"/>
  <c r="O386" i="10"/>
  <c r="N386" i="10"/>
  <c r="AK385" i="10"/>
  <c r="AB385" i="10"/>
  <c r="AA385" i="10"/>
  <c r="X385" i="10"/>
  <c r="Y385" i="10" s="1"/>
  <c r="V385" i="10"/>
  <c r="W385" i="10" s="1"/>
  <c r="T385" i="10"/>
  <c r="U385" i="10" s="1"/>
  <c r="S385" i="10"/>
  <c r="P385" i="10"/>
  <c r="AO385" i="10" s="1"/>
  <c r="AQ385" i="10" s="1"/>
  <c r="O385" i="10"/>
  <c r="N385" i="10"/>
  <c r="AK384" i="10"/>
  <c r="AB384" i="10"/>
  <c r="AA384" i="10"/>
  <c r="X384" i="10"/>
  <c r="Y384" i="10" s="1"/>
  <c r="V384" i="10"/>
  <c r="W384" i="10" s="1"/>
  <c r="T384" i="10"/>
  <c r="U384" i="10" s="1"/>
  <c r="S384" i="10"/>
  <c r="P384" i="10"/>
  <c r="AO384" i="10" s="1"/>
  <c r="AQ384" i="10" s="1"/>
  <c r="O384" i="10"/>
  <c r="N384" i="10"/>
  <c r="AK383" i="10"/>
  <c r="AB383" i="10"/>
  <c r="AA383" i="10"/>
  <c r="X383" i="10"/>
  <c r="Y383" i="10" s="1"/>
  <c r="V383" i="10"/>
  <c r="W383" i="10" s="1"/>
  <c r="T383" i="10"/>
  <c r="U383" i="10" s="1"/>
  <c r="S383" i="10"/>
  <c r="P383" i="10"/>
  <c r="AO383" i="10" s="1"/>
  <c r="AQ383" i="10" s="1"/>
  <c r="O383" i="10"/>
  <c r="N383" i="10"/>
  <c r="AK382" i="10"/>
  <c r="AB382" i="10"/>
  <c r="AA382" i="10"/>
  <c r="X382" i="10"/>
  <c r="Y382" i="10" s="1"/>
  <c r="V382" i="10"/>
  <c r="W382" i="10" s="1"/>
  <c r="T382" i="10"/>
  <c r="U382" i="10" s="1"/>
  <c r="S382" i="10"/>
  <c r="P382" i="10"/>
  <c r="AO382" i="10" s="1"/>
  <c r="AQ382" i="10" s="1"/>
  <c r="O382" i="10"/>
  <c r="N382" i="10"/>
  <c r="AK381" i="10"/>
  <c r="AB381" i="10"/>
  <c r="AA381" i="10"/>
  <c r="X381" i="10"/>
  <c r="Y381" i="10" s="1"/>
  <c r="V381" i="10"/>
  <c r="W381" i="10" s="1"/>
  <c r="T381" i="10"/>
  <c r="U381" i="10" s="1"/>
  <c r="S381" i="10"/>
  <c r="P381" i="10"/>
  <c r="AO381" i="10" s="1"/>
  <c r="AQ381" i="10" s="1"/>
  <c r="O381" i="10"/>
  <c r="N381" i="10"/>
  <c r="AK380" i="10"/>
  <c r="AB380" i="10"/>
  <c r="AA380" i="10"/>
  <c r="X380" i="10"/>
  <c r="Y380" i="10" s="1"/>
  <c r="V380" i="10"/>
  <c r="W380" i="10" s="1"/>
  <c r="T380" i="10"/>
  <c r="U380" i="10" s="1"/>
  <c r="S380" i="10"/>
  <c r="P380" i="10"/>
  <c r="AO380" i="10" s="1"/>
  <c r="AQ380" i="10" s="1"/>
  <c r="O380" i="10"/>
  <c r="N380" i="10"/>
  <c r="AK379" i="10"/>
  <c r="AB379" i="10"/>
  <c r="AA379" i="10"/>
  <c r="X379" i="10"/>
  <c r="Y379" i="10" s="1"/>
  <c r="V379" i="10"/>
  <c r="W379" i="10" s="1"/>
  <c r="T379" i="10"/>
  <c r="U379" i="10" s="1"/>
  <c r="S379" i="10"/>
  <c r="P379" i="10"/>
  <c r="AO379" i="10" s="1"/>
  <c r="AQ379" i="10" s="1"/>
  <c r="O379" i="10"/>
  <c r="N379" i="10"/>
  <c r="AK378" i="10"/>
  <c r="AB378" i="10"/>
  <c r="AA378" i="10"/>
  <c r="X378" i="10"/>
  <c r="Y378" i="10" s="1"/>
  <c r="V378" i="10"/>
  <c r="W378" i="10" s="1"/>
  <c r="T378" i="10"/>
  <c r="U378" i="10" s="1"/>
  <c r="S378" i="10"/>
  <c r="P378" i="10"/>
  <c r="AO378" i="10" s="1"/>
  <c r="AQ378" i="10" s="1"/>
  <c r="O378" i="10"/>
  <c r="N378" i="10"/>
  <c r="AK377" i="10"/>
  <c r="AB377" i="10"/>
  <c r="AA377" i="10"/>
  <c r="X377" i="10"/>
  <c r="Y377" i="10" s="1"/>
  <c r="V377" i="10"/>
  <c r="W377" i="10" s="1"/>
  <c r="T377" i="10"/>
  <c r="U377" i="10" s="1"/>
  <c r="S377" i="10"/>
  <c r="P377" i="10"/>
  <c r="AO377" i="10" s="1"/>
  <c r="AQ377" i="10" s="1"/>
  <c r="O377" i="10"/>
  <c r="N377" i="10"/>
  <c r="AK376" i="10"/>
  <c r="AB376" i="10"/>
  <c r="AA376" i="10"/>
  <c r="X376" i="10"/>
  <c r="Y376" i="10" s="1"/>
  <c r="V376" i="10"/>
  <c r="W376" i="10" s="1"/>
  <c r="T376" i="10"/>
  <c r="U376" i="10" s="1"/>
  <c r="S376" i="10"/>
  <c r="P376" i="10"/>
  <c r="AO376" i="10" s="1"/>
  <c r="AQ376" i="10" s="1"/>
  <c r="O376" i="10"/>
  <c r="N376" i="10"/>
  <c r="AK375" i="10"/>
  <c r="AB375" i="10"/>
  <c r="AA375" i="10"/>
  <c r="X375" i="10"/>
  <c r="Y375" i="10" s="1"/>
  <c r="V375" i="10"/>
  <c r="W375" i="10" s="1"/>
  <c r="T375" i="10"/>
  <c r="U375" i="10" s="1"/>
  <c r="S375" i="10"/>
  <c r="P375" i="10"/>
  <c r="AO375" i="10" s="1"/>
  <c r="AQ375" i="10" s="1"/>
  <c r="O375" i="10"/>
  <c r="N375" i="10"/>
  <c r="AK374" i="10"/>
  <c r="AB374" i="10"/>
  <c r="AA374" i="10"/>
  <c r="X374" i="10"/>
  <c r="Y374" i="10" s="1"/>
  <c r="V374" i="10"/>
  <c r="W374" i="10" s="1"/>
  <c r="T374" i="10"/>
  <c r="U374" i="10" s="1"/>
  <c r="S374" i="10"/>
  <c r="P374" i="10"/>
  <c r="AO374" i="10" s="1"/>
  <c r="AQ374" i="10" s="1"/>
  <c r="O374" i="10"/>
  <c r="N374" i="10"/>
  <c r="AK373" i="10"/>
  <c r="AB373" i="10"/>
  <c r="AA373" i="10"/>
  <c r="X373" i="10"/>
  <c r="Y373" i="10" s="1"/>
  <c r="V373" i="10"/>
  <c r="W373" i="10" s="1"/>
  <c r="T373" i="10"/>
  <c r="U373" i="10" s="1"/>
  <c r="S373" i="10"/>
  <c r="P373" i="10"/>
  <c r="AO373" i="10" s="1"/>
  <c r="AQ373" i="10" s="1"/>
  <c r="O373" i="10"/>
  <c r="N373" i="10"/>
  <c r="AK372" i="10"/>
  <c r="AB372" i="10"/>
  <c r="AA372" i="10"/>
  <c r="X372" i="10"/>
  <c r="Y372" i="10" s="1"/>
  <c r="V372" i="10"/>
  <c r="W372" i="10" s="1"/>
  <c r="T372" i="10"/>
  <c r="U372" i="10" s="1"/>
  <c r="S372" i="10"/>
  <c r="P372" i="10"/>
  <c r="AO372" i="10" s="1"/>
  <c r="AQ372" i="10" s="1"/>
  <c r="O372" i="10"/>
  <c r="N372" i="10"/>
  <c r="AK371" i="10"/>
  <c r="AB371" i="10"/>
  <c r="AA371" i="10"/>
  <c r="X371" i="10"/>
  <c r="Y371" i="10" s="1"/>
  <c r="V371" i="10"/>
  <c r="W371" i="10" s="1"/>
  <c r="T371" i="10"/>
  <c r="U371" i="10" s="1"/>
  <c r="S371" i="10"/>
  <c r="P371" i="10"/>
  <c r="AO371" i="10" s="1"/>
  <c r="AQ371" i="10" s="1"/>
  <c r="O371" i="10"/>
  <c r="N371" i="10"/>
  <c r="AK370" i="10"/>
  <c r="AB370" i="10"/>
  <c r="AA370" i="10"/>
  <c r="X370" i="10"/>
  <c r="Y370" i="10" s="1"/>
  <c r="V370" i="10"/>
  <c r="W370" i="10" s="1"/>
  <c r="T370" i="10"/>
  <c r="U370" i="10" s="1"/>
  <c r="S370" i="10"/>
  <c r="P370" i="10"/>
  <c r="AO370" i="10" s="1"/>
  <c r="AQ370" i="10" s="1"/>
  <c r="O370" i="10"/>
  <c r="N370" i="10"/>
  <c r="AK369" i="10"/>
  <c r="AB369" i="10"/>
  <c r="AA369" i="10"/>
  <c r="X369" i="10"/>
  <c r="Y369" i="10" s="1"/>
  <c r="V369" i="10"/>
  <c r="W369" i="10" s="1"/>
  <c r="T369" i="10"/>
  <c r="U369" i="10" s="1"/>
  <c r="S369" i="10"/>
  <c r="P369" i="10"/>
  <c r="AO369" i="10" s="1"/>
  <c r="AQ369" i="10" s="1"/>
  <c r="O369" i="10"/>
  <c r="N369" i="10"/>
  <c r="AK368" i="10"/>
  <c r="AB368" i="10"/>
  <c r="AA368" i="10"/>
  <c r="X368" i="10"/>
  <c r="Y368" i="10" s="1"/>
  <c r="V368" i="10"/>
  <c r="W368" i="10" s="1"/>
  <c r="T368" i="10"/>
  <c r="U368" i="10" s="1"/>
  <c r="S368" i="10"/>
  <c r="P368" i="10"/>
  <c r="AO368" i="10" s="1"/>
  <c r="AQ368" i="10" s="1"/>
  <c r="O368" i="10"/>
  <c r="N368" i="10"/>
  <c r="AK367" i="10"/>
  <c r="AB367" i="10"/>
  <c r="AA367" i="10"/>
  <c r="X367" i="10"/>
  <c r="Y367" i="10" s="1"/>
  <c r="V367" i="10"/>
  <c r="W367" i="10" s="1"/>
  <c r="T367" i="10"/>
  <c r="U367" i="10" s="1"/>
  <c r="S367" i="10"/>
  <c r="P367" i="10"/>
  <c r="AO367" i="10" s="1"/>
  <c r="AQ367" i="10" s="1"/>
  <c r="O367" i="10"/>
  <c r="N367" i="10"/>
  <c r="AK366" i="10"/>
  <c r="AB366" i="10"/>
  <c r="AA366" i="10"/>
  <c r="X366" i="10"/>
  <c r="Y366" i="10" s="1"/>
  <c r="V366" i="10"/>
  <c r="W366" i="10" s="1"/>
  <c r="T366" i="10"/>
  <c r="U366" i="10" s="1"/>
  <c r="S366" i="10"/>
  <c r="P366" i="10"/>
  <c r="AO366" i="10" s="1"/>
  <c r="AQ366" i="10" s="1"/>
  <c r="O366" i="10"/>
  <c r="N366" i="10"/>
  <c r="AK365" i="10"/>
  <c r="AB365" i="10"/>
  <c r="AA365" i="10"/>
  <c r="X365" i="10"/>
  <c r="Y365" i="10" s="1"/>
  <c r="V365" i="10"/>
  <c r="W365" i="10" s="1"/>
  <c r="T365" i="10"/>
  <c r="U365" i="10" s="1"/>
  <c r="S365" i="10"/>
  <c r="P365" i="10"/>
  <c r="AO365" i="10" s="1"/>
  <c r="AQ365" i="10" s="1"/>
  <c r="O365" i="10"/>
  <c r="N365" i="10"/>
  <c r="AK364" i="10"/>
  <c r="AB364" i="10"/>
  <c r="AA364" i="10"/>
  <c r="X364" i="10"/>
  <c r="Y364" i="10" s="1"/>
  <c r="V364" i="10"/>
  <c r="W364" i="10" s="1"/>
  <c r="T364" i="10"/>
  <c r="U364" i="10" s="1"/>
  <c r="S364" i="10"/>
  <c r="P364" i="10"/>
  <c r="AO364" i="10" s="1"/>
  <c r="AQ364" i="10" s="1"/>
  <c r="O364" i="10"/>
  <c r="N364" i="10"/>
  <c r="AK363" i="10"/>
  <c r="AB363" i="10"/>
  <c r="AA363" i="10"/>
  <c r="X363" i="10"/>
  <c r="Y363" i="10" s="1"/>
  <c r="V363" i="10"/>
  <c r="W363" i="10" s="1"/>
  <c r="T363" i="10"/>
  <c r="U363" i="10" s="1"/>
  <c r="S363" i="10"/>
  <c r="P363" i="10"/>
  <c r="AO363" i="10" s="1"/>
  <c r="AQ363" i="10" s="1"/>
  <c r="O363" i="10"/>
  <c r="N363" i="10"/>
  <c r="AK362" i="10"/>
  <c r="AB362" i="10"/>
  <c r="AA362" i="10"/>
  <c r="X362" i="10"/>
  <c r="Y362" i="10" s="1"/>
  <c r="V362" i="10"/>
  <c r="W362" i="10" s="1"/>
  <c r="T362" i="10"/>
  <c r="U362" i="10" s="1"/>
  <c r="S362" i="10"/>
  <c r="P362" i="10"/>
  <c r="AO362" i="10" s="1"/>
  <c r="AQ362" i="10" s="1"/>
  <c r="O362" i="10"/>
  <c r="N362" i="10"/>
  <c r="AK361" i="10"/>
  <c r="AB361" i="10"/>
  <c r="AA361" i="10"/>
  <c r="X361" i="10"/>
  <c r="V361" i="10"/>
  <c r="W361" i="10" s="1"/>
  <c r="T361" i="10"/>
  <c r="U361" i="10" s="1"/>
  <c r="S361" i="10"/>
  <c r="P361" i="10"/>
  <c r="AO361" i="10" s="1"/>
  <c r="AQ361" i="10" s="1"/>
  <c r="O361" i="10"/>
  <c r="N361" i="10"/>
  <c r="AO360" i="10"/>
  <c r="AQ360" i="10" s="1"/>
  <c r="AK360" i="10"/>
  <c r="AB360" i="10"/>
  <c r="AA360" i="10"/>
  <c r="X360" i="10"/>
  <c r="Y360" i="10" s="1"/>
  <c r="V360" i="10"/>
  <c r="W360" i="10" s="1"/>
  <c r="T360" i="10"/>
  <c r="U360" i="10" s="1"/>
  <c r="S360" i="10"/>
  <c r="P360" i="10"/>
  <c r="O360" i="10"/>
  <c r="N360" i="10"/>
  <c r="AK359" i="10"/>
  <c r="AB359" i="10"/>
  <c r="AA359" i="10"/>
  <c r="X359" i="10"/>
  <c r="Y359" i="10" s="1"/>
  <c r="V359" i="10"/>
  <c r="W359" i="10" s="1"/>
  <c r="T359" i="10"/>
  <c r="U359" i="10" s="1"/>
  <c r="S359" i="10"/>
  <c r="P359" i="10"/>
  <c r="AO359" i="10" s="1"/>
  <c r="AQ359" i="10" s="1"/>
  <c r="O359" i="10"/>
  <c r="N359" i="10"/>
  <c r="AK358" i="10"/>
  <c r="AB358" i="10"/>
  <c r="AA358" i="10"/>
  <c r="X358" i="10"/>
  <c r="Y358" i="10" s="1"/>
  <c r="V358" i="10"/>
  <c r="W358" i="10" s="1"/>
  <c r="T358" i="10"/>
  <c r="U358" i="10" s="1"/>
  <c r="S358" i="10"/>
  <c r="P358" i="10"/>
  <c r="AO358" i="10" s="1"/>
  <c r="AQ358" i="10" s="1"/>
  <c r="O358" i="10"/>
  <c r="N358" i="10"/>
  <c r="AK357" i="10"/>
  <c r="AB357" i="10"/>
  <c r="AA357" i="10"/>
  <c r="X357" i="10"/>
  <c r="Y357" i="10" s="1"/>
  <c r="V357" i="10"/>
  <c r="W357" i="10" s="1"/>
  <c r="T357" i="10"/>
  <c r="U357" i="10" s="1"/>
  <c r="S357" i="10"/>
  <c r="P357" i="10"/>
  <c r="AO357" i="10" s="1"/>
  <c r="AQ357" i="10" s="1"/>
  <c r="O357" i="10"/>
  <c r="N357" i="10"/>
  <c r="AK356" i="10"/>
  <c r="AB356" i="10"/>
  <c r="AA356" i="10"/>
  <c r="X356" i="10"/>
  <c r="Y356" i="10" s="1"/>
  <c r="V356" i="10"/>
  <c r="W356" i="10" s="1"/>
  <c r="T356" i="10"/>
  <c r="U356" i="10" s="1"/>
  <c r="S356" i="10"/>
  <c r="P356" i="10"/>
  <c r="AO356" i="10" s="1"/>
  <c r="AQ356" i="10" s="1"/>
  <c r="O356" i="10"/>
  <c r="N356" i="10"/>
  <c r="AK355" i="10"/>
  <c r="AB355" i="10"/>
  <c r="AA355" i="10"/>
  <c r="X355" i="10"/>
  <c r="Y355" i="10" s="1"/>
  <c r="V355" i="10"/>
  <c r="W355" i="10" s="1"/>
  <c r="T355" i="10"/>
  <c r="U355" i="10" s="1"/>
  <c r="S355" i="10"/>
  <c r="P355" i="10"/>
  <c r="AO355" i="10" s="1"/>
  <c r="AQ355" i="10" s="1"/>
  <c r="O355" i="10"/>
  <c r="N355" i="10"/>
  <c r="AK354" i="10"/>
  <c r="AB354" i="10"/>
  <c r="AA354" i="10"/>
  <c r="X354" i="10"/>
  <c r="Y354" i="10" s="1"/>
  <c r="V354" i="10"/>
  <c r="W354" i="10" s="1"/>
  <c r="T354" i="10"/>
  <c r="U354" i="10" s="1"/>
  <c r="S354" i="10"/>
  <c r="P354" i="10"/>
  <c r="AO354" i="10" s="1"/>
  <c r="AQ354" i="10" s="1"/>
  <c r="O354" i="10"/>
  <c r="N354" i="10"/>
  <c r="AK353" i="10"/>
  <c r="AB353" i="10"/>
  <c r="AA353" i="10"/>
  <c r="X353" i="10"/>
  <c r="Y353" i="10" s="1"/>
  <c r="V353" i="10"/>
  <c r="W353" i="10" s="1"/>
  <c r="T353" i="10"/>
  <c r="U353" i="10" s="1"/>
  <c r="S353" i="10"/>
  <c r="P353" i="10"/>
  <c r="AO353" i="10" s="1"/>
  <c r="AQ353" i="10" s="1"/>
  <c r="O353" i="10"/>
  <c r="N353" i="10"/>
  <c r="AK352" i="10"/>
  <c r="AB352" i="10"/>
  <c r="AA352" i="10"/>
  <c r="X352" i="10"/>
  <c r="Y352" i="10" s="1"/>
  <c r="V352" i="10"/>
  <c r="W352" i="10" s="1"/>
  <c r="T352" i="10"/>
  <c r="U352" i="10" s="1"/>
  <c r="S352" i="10"/>
  <c r="P352" i="10"/>
  <c r="AO352" i="10" s="1"/>
  <c r="AQ352" i="10" s="1"/>
  <c r="O352" i="10"/>
  <c r="N352" i="10"/>
  <c r="AK351" i="10"/>
  <c r="AB351" i="10"/>
  <c r="AA351" i="10"/>
  <c r="X351" i="10"/>
  <c r="Y351" i="10" s="1"/>
  <c r="V351" i="10"/>
  <c r="W351" i="10" s="1"/>
  <c r="T351" i="10"/>
  <c r="U351" i="10" s="1"/>
  <c r="S351" i="10"/>
  <c r="P351" i="10"/>
  <c r="AO351" i="10" s="1"/>
  <c r="AQ351" i="10" s="1"/>
  <c r="O351" i="10"/>
  <c r="N351" i="10"/>
  <c r="AK350" i="10"/>
  <c r="AB350" i="10"/>
  <c r="AA350" i="10"/>
  <c r="X350" i="10"/>
  <c r="Y350" i="10" s="1"/>
  <c r="V350" i="10"/>
  <c r="W350" i="10" s="1"/>
  <c r="T350" i="10"/>
  <c r="U350" i="10" s="1"/>
  <c r="S350" i="10"/>
  <c r="P350" i="10"/>
  <c r="AO350" i="10" s="1"/>
  <c r="AQ350" i="10" s="1"/>
  <c r="O350" i="10"/>
  <c r="N350" i="10"/>
  <c r="AK349" i="10"/>
  <c r="AB349" i="10"/>
  <c r="AA349" i="10"/>
  <c r="X349" i="10"/>
  <c r="Y349" i="10" s="1"/>
  <c r="V349" i="10"/>
  <c r="W349" i="10" s="1"/>
  <c r="T349" i="10"/>
  <c r="U349" i="10" s="1"/>
  <c r="S349" i="10"/>
  <c r="P349" i="10"/>
  <c r="AO349" i="10" s="1"/>
  <c r="AQ349" i="10" s="1"/>
  <c r="O349" i="10"/>
  <c r="N349" i="10"/>
  <c r="AK348" i="10"/>
  <c r="AB348" i="10"/>
  <c r="AA348" i="10"/>
  <c r="X348" i="10"/>
  <c r="Y348" i="10" s="1"/>
  <c r="V348" i="10"/>
  <c r="W348" i="10" s="1"/>
  <c r="T348" i="10"/>
  <c r="U348" i="10" s="1"/>
  <c r="S348" i="10"/>
  <c r="P348" i="10"/>
  <c r="AO348" i="10" s="1"/>
  <c r="AQ348" i="10" s="1"/>
  <c r="O348" i="10"/>
  <c r="N348" i="10"/>
  <c r="AK347" i="10"/>
  <c r="AB347" i="10"/>
  <c r="AA347" i="10"/>
  <c r="X347" i="10"/>
  <c r="Y347" i="10" s="1"/>
  <c r="V347" i="10"/>
  <c r="W347" i="10" s="1"/>
  <c r="T347" i="10"/>
  <c r="U347" i="10" s="1"/>
  <c r="S347" i="10"/>
  <c r="P347" i="10"/>
  <c r="AO347" i="10" s="1"/>
  <c r="AQ347" i="10" s="1"/>
  <c r="O347" i="10"/>
  <c r="N347" i="10"/>
  <c r="AK346" i="10"/>
  <c r="AB346" i="10"/>
  <c r="AA346" i="10"/>
  <c r="X346" i="10"/>
  <c r="Y346" i="10" s="1"/>
  <c r="V346" i="10"/>
  <c r="W346" i="10" s="1"/>
  <c r="T346" i="10"/>
  <c r="U346" i="10" s="1"/>
  <c r="S346" i="10"/>
  <c r="P346" i="10"/>
  <c r="AO346" i="10" s="1"/>
  <c r="AQ346" i="10" s="1"/>
  <c r="O346" i="10"/>
  <c r="N346" i="10"/>
  <c r="AK345" i="10"/>
  <c r="AB345" i="10"/>
  <c r="AA345" i="10"/>
  <c r="X345" i="10"/>
  <c r="Y345" i="10" s="1"/>
  <c r="V345" i="10"/>
  <c r="W345" i="10" s="1"/>
  <c r="T345" i="10"/>
  <c r="U345" i="10" s="1"/>
  <c r="S345" i="10"/>
  <c r="P345" i="10"/>
  <c r="AO345" i="10" s="1"/>
  <c r="AQ345" i="10" s="1"/>
  <c r="O345" i="10"/>
  <c r="N345" i="10"/>
  <c r="AK344" i="10"/>
  <c r="AB344" i="10"/>
  <c r="AA344" i="10"/>
  <c r="X344" i="10"/>
  <c r="Y344" i="10" s="1"/>
  <c r="V344" i="10"/>
  <c r="W344" i="10" s="1"/>
  <c r="T344" i="10"/>
  <c r="U344" i="10" s="1"/>
  <c r="S344" i="10"/>
  <c r="P344" i="10"/>
  <c r="AO344" i="10" s="1"/>
  <c r="AQ344" i="10" s="1"/>
  <c r="O344" i="10"/>
  <c r="N344" i="10"/>
  <c r="AK343" i="10"/>
  <c r="AB343" i="10"/>
  <c r="AA343" i="10"/>
  <c r="X343" i="10"/>
  <c r="Y343" i="10" s="1"/>
  <c r="V343" i="10"/>
  <c r="W343" i="10" s="1"/>
  <c r="T343" i="10"/>
  <c r="U343" i="10" s="1"/>
  <c r="S343" i="10"/>
  <c r="P343" i="10"/>
  <c r="AO343" i="10" s="1"/>
  <c r="AQ343" i="10" s="1"/>
  <c r="O343" i="10"/>
  <c r="N343" i="10"/>
  <c r="AK342" i="10"/>
  <c r="AB342" i="10"/>
  <c r="AA342" i="10"/>
  <c r="X342" i="10"/>
  <c r="Y342" i="10" s="1"/>
  <c r="V342" i="10"/>
  <c r="W342" i="10" s="1"/>
  <c r="T342" i="10"/>
  <c r="U342" i="10" s="1"/>
  <c r="S342" i="10"/>
  <c r="P342" i="10"/>
  <c r="AO342" i="10" s="1"/>
  <c r="AQ342" i="10" s="1"/>
  <c r="O342" i="10"/>
  <c r="N342" i="10"/>
  <c r="AK341" i="10"/>
  <c r="AB341" i="10"/>
  <c r="AA341" i="10"/>
  <c r="X341" i="10"/>
  <c r="Y341" i="10" s="1"/>
  <c r="V341" i="10"/>
  <c r="W341" i="10" s="1"/>
  <c r="T341" i="10"/>
  <c r="U341" i="10" s="1"/>
  <c r="S341" i="10"/>
  <c r="P341" i="10"/>
  <c r="AO341" i="10" s="1"/>
  <c r="AQ341" i="10" s="1"/>
  <c r="O341" i="10"/>
  <c r="N341" i="10"/>
  <c r="AK340" i="10"/>
  <c r="AB340" i="10"/>
  <c r="AA340" i="10"/>
  <c r="X340" i="10"/>
  <c r="Y340" i="10" s="1"/>
  <c r="V340" i="10"/>
  <c r="W340" i="10" s="1"/>
  <c r="T340" i="10"/>
  <c r="U340" i="10" s="1"/>
  <c r="S340" i="10"/>
  <c r="P340" i="10"/>
  <c r="AO340" i="10" s="1"/>
  <c r="AQ340" i="10" s="1"/>
  <c r="O340" i="10"/>
  <c r="N340" i="10"/>
  <c r="AK339" i="10"/>
  <c r="AB339" i="10"/>
  <c r="AA339" i="10"/>
  <c r="X339" i="10"/>
  <c r="Y339" i="10" s="1"/>
  <c r="V339" i="10"/>
  <c r="W339" i="10" s="1"/>
  <c r="T339" i="10"/>
  <c r="U339" i="10" s="1"/>
  <c r="S339" i="10"/>
  <c r="P339" i="10"/>
  <c r="AO339" i="10" s="1"/>
  <c r="AQ339" i="10" s="1"/>
  <c r="O339" i="10"/>
  <c r="N339" i="10"/>
  <c r="AK338" i="10"/>
  <c r="AB338" i="10"/>
  <c r="AA338" i="10"/>
  <c r="X338" i="10"/>
  <c r="Y338" i="10" s="1"/>
  <c r="V338" i="10"/>
  <c r="W338" i="10" s="1"/>
  <c r="T338" i="10"/>
  <c r="U338" i="10" s="1"/>
  <c r="S338" i="10"/>
  <c r="P338" i="10"/>
  <c r="AO338" i="10" s="1"/>
  <c r="AQ338" i="10" s="1"/>
  <c r="O338" i="10"/>
  <c r="N338" i="10"/>
  <c r="AK337" i="10"/>
  <c r="AB337" i="10"/>
  <c r="AA337" i="10"/>
  <c r="X337" i="10"/>
  <c r="Y337" i="10" s="1"/>
  <c r="V337" i="10"/>
  <c r="W337" i="10" s="1"/>
  <c r="T337" i="10"/>
  <c r="U337" i="10" s="1"/>
  <c r="S337" i="10"/>
  <c r="P337" i="10"/>
  <c r="AO337" i="10" s="1"/>
  <c r="AQ337" i="10" s="1"/>
  <c r="O337" i="10"/>
  <c r="N337" i="10"/>
  <c r="AK336" i="10"/>
  <c r="AB336" i="10"/>
  <c r="AA336" i="10"/>
  <c r="X336" i="10"/>
  <c r="Y336" i="10" s="1"/>
  <c r="V336" i="10"/>
  <c r="W336" i="10" s="1"/>
  <c r="T336" i="10"/>
  <c r="U336" i="10" s="1"/>
  <c r="S336" i="10"/>
  <c r="P336" i="10"/>
  <c r="AO336" i="10" s="1"/>
  <c r="AQ336" i="10" s="1"/>
  <c r="O336" i="10"/>
  <c r="N336" i="10"/>
  <c r="AK335" i="10"/>
  <c r="AB335" i="10"/>
  <c r="AA335" i="10"/>
  <c r="X335" i="10"/>
  <c r="Y335" i="10" s="1"/>
  <c r="V335" i="10"/>
  <c r="W335" i="10" s="1"/>
  <c r="T335" i="10"/>
  <c r="U335" i="10" s="1"/>
  <c r="S335" i="10"/>
  <c r="P335" i="10"/>
  <c r="AO335" i="10" s="1"/>
  <c r="AQ335" i="10" s="1"/>
  <c r="O335" i="10"/>
  <c r="N335" i="10"/>
  <c r="AK334" i="10"/>
  <c r="AB334" i="10"/>
  <c r="AA334" i="10"/>
  <c r="X334" i="10"/>
  <c r="Y334" i="10" s="1"/>
  <c r="V334" i="10"/>
  <c r="W334" i="10" s="1"/>
  <c r="T334" i="10"/>
  <c r="U334" i="10" s="1"/>
  <c r="S334" i="10"/>
  <c r="P334" i="10"/>
  <c r="AO334" i="10" s="1"/>
  <c r="AQ334" i="10" s="1"/>
  <c r="O334" i="10"/>
  <c r="N334" i="10"/>
  <c r="AK333" i="10"/>
  <c r="AB333" i="10"/>
  <c r="AA333" i="10"/>
  <c r="X333" i="10"/>
  <c r="Y333" i="10" s="1"/>
  <c r="V333" i="10"/>
  <c r="W333" i="10" s="1"/>
  <c r="T333" i="10"/>
  <c r="U333" i="10" s="1"/>
  <c r="S333" i="10"/>
  <c r="P333" i="10"/>
  <c r="AO333" i="10" s="1"/>
  <c r="AQ333" i="10" s="1"/>
  <c r="O333" i="10"/>
  <c r="N333" i="10"/>
  <c r="AK332" i="10"/>
  <c r="AB332" i="10"/>
  <c r="AA332" i="10"/>
  <c r="X332" i="10"/>
  <c r="Y332" i="10" s="1"/>
  <c r="V332" i="10"/>
  <c r="W332" i="10" s="1"/>
  <c r="T332" i="10"/>
  <c r="U332" i="10" s="1"/>
  <c r="S332" i="10"/>
  <c r="P332" i="10"/>
  <c r="AO332" i="10" s="1"/>
  <c r="AQ332" i="10" s="1"/>
  <c r="O332" i="10"/>
  <c r="N332" i="10"/>
  <c r="AK331" i="10"/>
  <c r="AB331" i="10"/>
  <c r="AA331" i="10"/>
  <c r="X331" i="10"/>
  <c r="Y331" i="10" s="1"/>
  <c r="V331" i="10"/>
  <c r="W331" i="10" s="1"/>
  <c r="T331" i="10"/>
  <c r="U331" i="10" s="1"/>
  <c r="S331" i="10"/>
  <c r="P331" i="10"/>
  <c r="AO331" i="10" s="1"/>
  <c r="AQ331" i="10" s="1"/>
  <c r="O331" i="10"/>
  <c r="N331" i="10"/>
  <c r="AK330" i="10"/>
  <c r="AB330" i="10"/>
  <c r="AA330" i="10"/>
  <c r="X330" i="10"/>
  <c r="Y330" i="10" s="1"/>
  <c r="V330" i="10"/>
  <c r="W330" i="10" s="1"/>
  <c r="T330" i="10"/>
  <c r="U330" i="10" s="1"/>
  <c r="S330" i="10"/>
  <c r="P330" i="10"/>
  <c r="AO330" i="10" s="1"/>
  <c r="AQ330" i="10" s="1"/>
  <c r="O330" i="10"/>
  <c r="N330" i="10"/>
  <c r="AK329" i="10"/>
  <c r="AB329" i="10"/>
  <c r="AA329" i="10"/>
  <c r="X329" i="10"/>
  <c r="Y329" i="10" s="1"/>
  <c r="V329" i="10"/>
  <c r="W329" i="10" s="1"/>
  <c r="T329" i="10"/>
  <c r="U329" i="10" s="1"/>
  <c r="S329" i="10"/>
  <c r="P329" i="10"/>
  <c r="AO329" i="10" s="1"/>
  <c r="AQ329" i="10" s="1"/>
  <c r="O329" i="10"/>
  <c r="N329" i="10"/>
  <c r="AK328" i="10"/>
  <c r="AB328" i="10"/>
  <c r="AA328" i="10"/>
  <c r="X328" i="10"/>
  <c r="Y328" i="10" s="1"/>
  <c r="V328" i="10"/>
  <c r="W328" i="10" s="1"/>
  <c r="T328" i="10"/>
  <c r="U328" i="10" s="1"/>
  <c r="S328" i="10"/>
  <c r="P328" i="10"/>
  <c r="AO328" i="10" s="1"/>
  <c r="AQ328" i="10" s="1"/>
  <c r="O328" i="10"/>
  <c r="N328" i="10"/>
  <c r="AK327" i="10"/>
  <c r="AB327" i="10"/>
  <c r="AA327" i="10"/>
  <c r="X327" i="10"/>
  <c r="Y327" i="10" s="1"/>
  <c r="V327" i="10"/>
  <c r="W327" i="10" s="1"/>
  <c r="T327" i="10"/>
  <c r="U327" i="10" s="1"/>
  <c r="S327" i="10"/>
  <c r="P327" i="10"/>
  <c r="AO327" i="10" s="1"/>
  <c r="AQ327" i="10" s="1"/>
  <c r="O327" i="10"/>
  <c r="N327" i="10"/>
  <c r="AK326" i="10"/>
  <c r="AB326" i="10"/>
  <c r="AA326" i="10"/>
  <c r="X326" i="10"/>
  <c r="Y326" i="10" s="1"/>
  <c r="V326" i="10"/>
  <c r="W326" i="10" s="1"/>
  <c r="T326" i="10"/>
  <c r="U326" i="10" s="1"/>
  <c r="S326" i="10"/>
  <c r="P326" i="10"/>
  <c r="AO326" i="10" s="1"/>
  <c r="AQ326" i="10" s="1"/>
  <c r="O326" i="10"/>
  <c r="N326" i="10"/>
  <c r="AK325" i="10"/>
  <c r="AB325" i="10"/>
  <c r="AA325" i="10"/>
  <c r="X325" i="10"/>
  <c r="Y325" i="10" s="1"/>
  <c r="V325" i="10"/>
  <c r="W325" i="10" s="1"/>
  <c r="T325" i="10"/>
  <c r="U325" i="10" s="1"/>
  <c r="S325" i="10"/>
  <c r="P325" i="10"/>
  <c r="AO325" i="10" s="1"/>
  <c r="AQ325" i="10" s="1"/>
  <c r="O325" i="10"/>
  <c r="N325" i="10"/>
  <c r="AK324" i="10"/>
  <c r="AB324" i="10"/>
  <c r="AA324" i="10"/>
  <c r="X324" i="10"/>
  <c r="Y324" i="10" s="1"/>
  <c r="V324" i="10"/>
  <c r="W324" i="10" s="1"/>
  <c r="T324" i="10"/>
  <c r="U324" i="10" s="1"/>
  <c r="S324" i="10"/>
  <c r="P324" i="10"/>
  <c r="AO324" i="10" s="1"/>
  <c r="AQ324" i="10" s="1"/>
  <c r="O324" i="10"/>
  <c r="N324" i="10"/>
  <c r="AK323" i="10"/>
  <c r="AB323" i="10"/>
  <c r="AA323" i="10"/>
  <c r="X323" i="10"/>
  <c r="Y323" i="10" s="1"/>
  <c r="V323" i="10"/>
  <c r="W323" i="10" s="1"/>
  <c r="T323" i="10"/>
  <c r="U323" i="10" s="1"/>
  <c r="S323" i="10"/>
  <c r="P323" i="10"/>
  <c r="AO323" i="10" s="1"/>
  <c r="AQ323" i="10" s="1"/>
  <c r="O323" i="10"/>
  <c r="N323" i="10"/>
  <c r="AK322" i="10"/>
  <c r="AB322" i="10"/>
  <c r="AA322" i="10"/>
  <c r="X322" i="10"/>
  <c r="Y322" i="10" s="1"/>
  <c r="V322" i="10"/>
  <c r="W322" i="10" s="1"/>
  <c r="T322" i="10"/>
  <c r="U322" i="10" s="1"/>
  <c r="S322" i="10"/>
  <c r="P322" i="10"/>
  <c r="AO322" i="10" s="1"/>
  <c r="AQ322" i="10" s="1"/>
  <c r="O322" i="10"/>
  <c r="N322" i="10"/>
  <c r="AK321" i="10"/>
  <c r="AB321" i="10"/>
  <c r="AA321" i="10"/>
  <c r="X321" i="10"/>
  <c r="Y321" i="10" s="1"/>
  <c r="V321" i="10"/>
  <c r="W321" i="10" s="1"/>
  <c r="T321" i="10"/>
  <c r="U321" i="10" s="1"/>
  <c r="S321" i="10"/>
  <c r="P321" i="10"/>
  <c r="AO321" i="10" s="1"/>
  <c r="AQ321" i="10" s="1"/>
  <c r="O321" i="10"/>
  <c r="N321" i="10"/>
  <c r="AK320" i="10"/>
  <c r="AB320" i="10"/>
  <c r="AA320" i="10"/>
  <c r="X320" i="10"/>
  <c r="Y320" i="10" s="1"/>
  <c r="V320" i="10"/>
  <c r="W320" i="10" s="1"/>
  <c r="T320" i="10"/>
  <c r="U320" i="10" s="1"/>
  <c r="S320" i="10"/>
  <c r="P320" i="10"/>
  <c r="AO320" i="10" s="1"/>
  <c r="AQ320" i="10" s="1"/>
  <c r="O320" i="10"/>
  <c r="N320" i="10"/>
  <c r="AK319" i="10"/>
  <c r="AB319" i="10"/>
  <c r="AA319" i="10"/>
  <c r="X319" i="10"/>
  <c r="Y319" i="10" s="1"/>
  <c r="V319" i="10"/>
  <c r="W319" i="10" s="1"/>
  <c r="T319" i="10"/>
  <c r="U319" i="10" s="1"/>
  <c r="S319" i="10"/>
  <c r="P319" i="10"/>
  <c r="AO319" i="10" s="1"/>
  <c r="AQ319" i="10" s="1"/>
  <c r="O319" i="10"/>
  <c r="N319" i="10"/>
  <c r="AK318" i="10"/>
  <c r="AB318" i="10"/>
  <c r="AA318" i="10"/>
  <c r="X318" i="10"/>
  <c r="Y318" i="10" s="1"/>
  <c r="V318" i="10"/>
  <c r="W318" i="10" s="1"/>
  <c r="T318" i="10"/>
  <c r="U318" i="10" s="1"/>
  <c r="S318" i="10"/>
  <c r="P318" i="10"/>
  <c r="AO318" i="10" s="1"/>
  <c r="AQ318" i="10" s="1"/>
  <c r="O318" i="10"/>
  <c r="N318" i="10"/>
  <c r="AK317" i="10"/>
  <c r="AB317" i="10"/>
  <c r="AA317" i="10"/>
  <c r="X317" i="10"/>
  <c r="Y317" i="10" s="1"/>
  <c r="V317" i="10"/>
  <c r="W317" i="10" s="1"/>
  <c r="T317" i="10"/>
  <c r="U317" i="10" s="1"/>
  <c r="S317" i="10"/>
  <c r="P317" i="10"/>
  <c r="AO317" i="10" s="1"/>
  <c r="AQ317" i="10" s="1"/>
  <c r="O317" i="10"/>
  <c r="N317" i="10"/>
  <c r="AK316" i="10"/>
  <c r="AB316" i="10"/>
  <c r="AA316" i="10"/>
  <c r="X316" i="10"/>
  <c r="Y316" i="10" s="1"/>
  <c r="V316" i="10"/>
  <c r="W316" i="10" s="1"/>
  <c r="T316" i="10"/>
  <c r="U316" i="10" s="1"/>
  <c r="S316" i="10"/>
  <c r="P316" i="10"/>
  <c r="AO316" i="10" s="1"/>
  <c r="AQ316" i="10" s="1"/>
  <c r="O316" i="10"/>
  <c r="N316" i="10"/>
  <c r="AK315" i="10"/>
  <c r="AB315" i="10"/>
  <c r="AA315" i="10"/>
  <c r="X315" i="10"/>
  <c r="Y315" i="10" s="1"/>
  <c r="V315" i="10"/>
  <c r="W315" i="10" s="1"/>
  <c r="T315" i="10"/>
  <c r="U315" i="10" s="1"/>
  <c r="S315" i="10"/>
  <c r="P315" i="10"/>
  <c r="AO315" i="10" s="1"/>
  <c r="AQ315" i="10" s="1"/>
  <c r="O315" i="10"/>
  <c r="N315" i="10"/>
  <c r="AK314" i="10"/>
  <c r="AB314" i="10"/>
  <c r="AA314" i="10"/>
  <c r="X314" i="10"/>
  <c r="Y314" i="10" s="1"/>
  <c r="V314" i="10"/>
  <c r="W314" i="10" s="1"/>
  <c r="T314" i="10"/>
  <c r="U314" i="10" s="1"/>
  <c r="S314" i="10"/>
  <c r="P314" i="10"/>
  <c r="AO314" i="10" s="1"/>
  <c r="AQ314" i="10" s="1"/>
  <c r="O314" i="10"/>
  <c r="N314" i="10"/>
  <c r="AK313" i="10"/>
  <c r="AB313" i="10"/>
  <c r="AA313" i="10"/>
  <c r="X313" i="10"/>
  <c r="Y313" i="10" s="1"/>
  <c r="V313" i="10"/>
  <c r="W313" i="10" s="1"/>
  <c r="T313" i="10"/>
  <c r="U313" i="10" s="1"/>
  <c r="S313" i="10"/>
  <c r="P313" i="10"/>
  <c r="AO313" i="10" s="1"/>
  <c r="AQ313" i="10" s="1"/>
  <c r="O313" i="10"/>
  <c r="N313" i="10"/>
  <c r="AK312" i="10"/>
  <c r="AB312" i="10"/>
  <c r="AA312" i="10"/>
  <c r="X312" i="10"/>
  <c r="Y312" i="10" s="1"/>
  <c r="V312" i="10"/>
  <c r="W312" i="10" s="1"/>
  <c r="T312" i="10"/>
  <c r="U312" i="10" s="1"/>
  <c r="S312" i="10"/>
  <c r="P312" i="10"/>
  <c r="AO312" i="10" s="1"/>
  <c r="AQ312" i="10" s="1"/>
  <c r="O312" i="10"/>
  <c r="N312" i="10"/>
  <c r="AK311" i="10"/>
  <c r="AB311" i="10"/>
  <c r="AA311" i="10"/>
  <c r="X311" i="10"/>
  <c r="Y311" i="10" s="1"/>
  <c r="V311" i="10"/>
  <c r="W311" i="10" s="1"/>
  <c r="T311" i="10"/>
  <c r="U311" i="10" s="1"/>
  <c r="S311" i="10"/>
  <c r="P311" i="10"/>
  <c r="AO311" i="10" s="1"/>
  <c r="AQ311" i="10" s="1"/>
  <c r="O311" i="10"/>
  <c r="N311" i="10"/>
  <c r="AK310" i="10"/>
  <c r="AB310" i="10"/>
  <c r="AA310" i="10"/>
  <c r="X310" i="10"/>
  <c r="Y310" i="10" s="1"/>
  <c r="V310" i="10"/>
  <c r="W310" i="10" s="1"/>
  <c r="T310" i="10"/>
  <c r="U310" i="10" s="1"/>
  <c r="S310" i="10"/>
  <c r="P310" i="10"/>
  <c r="AO310" i="10" s="1"/>
  <c r="AQ310" i="10" s="1"/>
  <c r="O310" i="10"/>
  <c r="N310" i="10"/>
  <c r="AK309" i="10"/>
  <c r="AB309" i="10"/>
  <c r="AA309" i="10"/>
  <c r="X309" i="10"/>
  <c r="Y309" i="10" s="1"/>
  <c r="V309" i="10"/>
  <c r="W309" i="10" s="1"/>
  <c r="T309" i="10"/>
  <c r="U309" i="10" s="1"/>
  <c r="S309" i="10"/>
  <c r="P309" i="10"/>
  <c r="AO309" i="10" s="1"/>
  <c r="AQ309" i="10" s="1"/>
  <c r="O309" i="10"/>
  <c r="N309" i="10"/>
  <c r="AK308" i="10"/>
  <c r="AB308" i="10"/>
  <c r="AA308" i="10"/>
  <c r="X308" i="10"/>
  <c r="Y308" i="10" s="1"/>
  <c r="V308" i="10"/>
  <c r="W308" i="10" s="1"/>
  <c r="T308" i="10"/>
  <c r="U308" i="10" s="1"/>
  <c r="S308" i="10"/>
  <c r="P308" i="10"/>
  <c r="AO308" i="10" s="1"/>
  <c r="AQ308" i="10" s="1"/>
  <c r="O308" i="10"/>
  <c r="N308" i="10"/>
  <c r="AK307" i="10"/>
  <c r="AB307" i="10"/>
  <c r="AA307" i="10"/>
  <c r="X307" i="10"/>
  <c r="Y307" i="10" s="1"/>
  <c r="V307" i="10"/>
  <c r="W307" i="10" s="1"/>
  <c r="T307" i="10"/>
  <c r="U307" i="10" s="1"/>
  <c r="S307" i="10"/>
  <c r="P307" i="10"/>
  <c r="AO307" i="10" s="1"/>
  <c r="AQ307" i="10" s="1"/>
  <c r="O307" i="10"/>
  <c r="N307" i="10"/>
  <c r="AK306" i="10"/>
  <c r="AB306" i="10"/>
  <c r="AA306" i="10"/>
  <c r="X306" i="10"/>
  <c r="Y306" i="10" s="1"/>
  <c r="V306" i="10"/>
  <c r="W306" i="10" s="1"/>
  <c r="T306" i="10"/>
  <c r="U306" i="10" s="1"/>
  <c r="S306" i="10"/>
  <c r="P306" i="10"/>
  <c r="AO306" i="10" s="1"/>
  <c r="AQ306" i="10" s="1"/>
  <c r="O306" i="10"/>
  <c r="N306" i="10"/>
  <c r="AK305" i="10"/>
  <c r="AB305" i="10"/>
  <c r="AA305" i="10"/>
  <c r="X305" i="10"/>
  <c r="Y305" i="10" s="1"/>
  <c r="V305" i="10"/>
  <c r="W305" i="10" s="1"/>
  <c r="T305" i="10"/>
  <c r="U305" i="10" s="1"/>
  <c r="S305" i="10"/>
  <c r="P305" i="10"/>
  <c r="AO305" i="10" s="1"/>
  <c r="AQ305" i="10" s="1"/>
  <c r="O305" i="10"/>
  <c r="N305" i="10"/>
  <c r="AK304" i="10"/>
  <c r="AB304" i="10"/>
  <c r="AA304" i="10"/>
  <c r="X304" i="10"/>
  <c r="Y304" i="10" s="1"/>
  <c r="V304" i="10"/>
  <c r="W304" i="10" s="1"/>
  <c r="T304" i="10"/>
  <c r="U304" i="10" s="1"/>
  <c r="S304" i="10"/>
  <c r="P304" i="10"/>
  <c r="AO304" i="10" s="1"/>
  <c r="AQ304" i="10" s="1"/>
  <c r="O304" i="10"/>
  <c r="N304" i="10"/>
  <c r="AK303" i="10"/>
  <c r="AB303" i="10"/>
  <c r="AA303" i="10"/>
  <c r="X303" i="10"/>
  <c r="Y303" i="10" s="1"/>
  <c r="V303" i="10"/>
  <c r="W303" i="10" s="1"/>
  <c r="T303" i="10"/>
  <c r="U303" i="10" s="1"/>
  <c r="S303" i="10"/>
  <c r="P303" i="10"/>
  <c r="AO303" i="10" s="1"/>
  <c r="AQ303" i="10" s="1"/>
  <c r="O303" i="10"/>
  <c r="N303" i="10"/>
  <c r="AK302" i="10"/>
  <c r="AB302" i="10"/>
  <c r="AA302" i="10"/>
  <c r="X302" i="10"/>
  <c r="Y302" i="10" s="1"/>
  <c r="V302" i="10"/>
  <c r="W302" i="10" s="1"/>
  <c r="T302" i="10"/>
  <c r="U302" i="10" s="1"/>
  <c r="S302" i="10"/>
  <c r="P302" i="10"/>
  <c r="AO302" i="10" s="1"/>
  <c r="AQ302" i="10" s="1"/>
  <c r="O302" i="10"/>
  <c r="N302" i="10"/>
  <c r="AK301" i="10"/>
  <c r="AB301" i="10"/>
  <c r="AA301" i="10"/>
  <c r="X301" i="10"/>
  <c r="Y301" i="10" s="1"/>
  <c r="V301" i="10"/>
  <c r="W301" i="10" s="1"/>
  <c r="T301" i="10"/>
  <c r="U301" i="10" s="1"/>
  <c r="S301" i="10"/>
  <c r="P301" i="10"/>
  <c r="AO301" i="10" s="1"/>
  <c r="AQ301" i="10" s="1"/>
  <c r="O301" i="10"/>
  <c r="N301" i="10"/>
  <c r="AK300" i="10"/>
  <c r="AB300" i="10"/>
  <c r="AA300" i="10"/>
  <c r="X300" i="10"/>
  <c r="Y300" i="10" s="1"/>
  <c r="V300" i="10"/>
  <c r="W300" i="10" s="1"/>
  <c r="T300" i="10"/>
  <c r="U300" i="10" s="1"/>
  <c r="S300" i="10"/>
  <c r="P300" i="10"/>
  <c r="AO300" i="10" s="1"/>
  <c r="AQ300" i="10" s="1"/>
  <c r="O300" i="10"/>
  <c r="N300" i="10"/>
  <c r="AK299" i="10"/>
  <c r="AB299" i="10"/>
  <c r="AA299" i="10"/>
  <c r="X299" i="10"/>
  <c r="Y299" i="10" s="1"/>
  <c r="V299" i="10"/>
  <c r="W299" i="10" s="1"/>
  <c r="T299" i="10"/>
  <c r="U299" i="10" s="1"/>
  <c r="S299" i="10"/>
  <c r="P299" i="10"/>
  <c r="AO299" i="10" s="1"/>
  <c r="AQ299" i="10" s="1"/>
  <c r="O299" i="10"/>
  <c r="N299" i="10"/>
  <c r="AK298" i="10"/>
  <c r="AB298" i="10"/>
  <c r="AA298" i="10"/>
  <c r="X298" i="10"/>
  <c r="Y298" i="10" s="1"/>
  <c r="V298" i="10"/>
  <c r="W298" i="10" s="1"/>
  <c r="T298" i="10"/>
  <c r="U298" i="10" s="1"/>
  <c r="S298" i="10"/>
  <c r="P298" i="10"/>
  <c r="AO298" i="10" s="1"/>
  <c r="AQ298" i="10" s="1"/>
  <c r="O298" i="10"/>
  <c r="N298" i="10"/>
  <c r="AK297" i="10"/>
  <c r="AB297" i="10"/>
  <c r="AA297" i="10"/>
  <c r="X297" i="10"/>
  <c r="Y297" i="10" s="1"/>
  <c r="V297" i="10"/>
  <c r="W297" i="10" s="1"/>
  <c r="T297" i="10"/>
  <c r="U297" i="10" s="1"/>
  <c r="S297" i="10"/>
  <c r="P297" i="10"/>
  <c r="AO297" i="10" s="1"/>
  <c r="AQ297" i="10" s="1"/>
  <c r="O297" i="10"/>
  <c r="N297" i="10"/>
  <c r="AO296" i="10"/>
  <c r="AQ296" i="10" s="1"/>
  <c r="AK296" i="10"/>
  <c r="AL296" i="10" s="1"/>
  <c r="AI296" i="10"/>
  <c r="AC296" i="10"/>
  <c r="AB296" i="10"/>
  <c r="AA296" i="10"/>
  <c r="Z296" i="10"/>
  <c r="AN296" i="10" s="1"/>
  <c r="X296" i="10"/>
  <c r="Y296" i="10" s="1"/>
  <c r="V296" i="10"/>
  <c r="W296" i="10" s="1"/>
  <c r="T296" i="10"/>
  <c r="U296" i="10" s="1"/>
  <c r="S296" i="10"/>
  <c r="P296" i="10"/>
  <c r="O296" i="10"/>
  <c r="N296" i="10"/>
  <c r="AK295" i="10"/>
  <c r="AB295" i="10"/>
  <c r="AA295" i="10"/>
  <c r="X295" i="10"/>
  <c r="Y295" i="10" s="1"/>
  <c r="V295" i="10"/>
  <c r="W295" i="10" s="1"/>
  <c r="T295" i="10"/>
  <c r="U295" i="10" s="1"/>
  <c r="S295" i="10"/>
  <c r="P295" i="10"/>
  <c r="AO295" i="10" s="1"/>
  <c r="AQ295" i="10" s="1"/>
  <c r="O295" i="10"/>
  <c r="N295" i="10"/>
  <c r="AK294" i="10"/>
  <c r="AB294" i="10"/>
  <c r="AA294" i="10"/>
  <c r="X294" i="10"/>
  <c r="Y294" i="10" s="1"/>
  <c r="V294" i="10"/>
  <c r="W294" i="10" s="1"/>
  <c r="T294" i="10"/>
  <c r="U294" i="10" s="1"/>
  <c r="S294" i="10"/>
  <c r="P294" i="10"/>
  <c r="AO294" i="10" s="1"/>
  <c r="AQ294" i="10" s="1"/>
  <c r="O294" i="10"/>
  <c r="N294" i="10"/>
  <c r="AK293" i="10"/>
  <c r="AB293" i="10"/>
  <c r="AA293" i="10"/>
  <c r="X293" i="10"/>
  <c r="Y293" i="10" s="1"/>
  <c r="V293" i="10"/>
  <c r="W293" i="10" s="1"/>
  <c r="T293" i="10"/>
  <c r="U293" i="10" s="1"/>
  <c r="S293" i="10"/>
  <c r="P293" i="10"/>
  <c r="AO293" i="10" s="1"/>
  <c r="AQ293" i="10" s="1"/>
  <c r="O293" i="10"/>
  <c r="N293" i="10"/>
  <c r="AK292" i="10"/>
  <c r="AB292" i="10"/>
  <c r="AA292" i="10"/>
  <c r="X292" i="10"/>
  <c r="Y292" i="10" s="1"/>
  <c r="V292" i="10"/>
  <c r="W292" i="10" s="1"/>
  <c r="T292" i="10"/>
  <c r="U292" i="10" s="1"/>
  <c r="S292" i="10"/>
  <c r="P292" i="10"/>
  <c r="AO292" i="10" s="1"/>
  <c r="AQ292" i="10" s="1"/>
  <c r="O292" i="10"/>
  <c r="N292" i="10"/>
  <c r="AK291" i="10"/>
  <c r="AB291" i="10"/>
  <c r="AA291" i="10"/>
  <c r="X291" i="10"/>
  <c r="Y291" i="10" s="1"/>
  <c r="V291" i="10"/>
  <c r="W291" i="10" s="1"/>
  <c r="T291" i="10"/>
  <c r="U291" i="10" s="1"/>
  <c r="S291" i="10"/>
  <c r="P291" i="10"/>
  <c r="AO291" i="10" s="1"/>
  <c r="AQ291" i="10" s="1"/>
  <c r="O291" i="10"/>
  <c r="N291" i="10"/>
  <c r="AK290" i="10"/>
  <c r="AB290" i="10"/>
  <c r="AA290" i="10"/>
  <c r="X290" i="10"/>
  <c r="Y290" i="10" s="1"/>
  <c r="V290" i="10"/>
  <c r="W290" i="10" s="1"/>
  <c r="T290" i="10"/>
  <c r="U290" i="10" s="1"/>
  <c r="S290" i="10"/>
  <c r="P290" i="10"/>
  <c r="AO290" i="10" s="1"/>
  <c r="AQ290" i="10" s="1"/>
  <c r="O290" i="10"/>
  <c r="N290" i="10"/>
  <c r="AK289" i="10"/>
  <c r="AB289" i="10"/>
  <c r="AA289" i="10"/>
  <c r="X289" i="10"/>
  <c r="Y289" i="10" s="1"/>
  <c r="V289" i="10"/>
  <c r="W289" i="10" s="1"/>
  <c r="T289" i="10"/>
  <c r="U289" i="10" s="1"/>
  <c r="S289" i="10"/>
  <c r="P289" i="10"/>
  <c r="AO289" i="10" s="1"/>
  <c r="AQ289" i="10" s="1"/>
  <c r="O289" i="10"/>
  <c r="N289" i="10"/>
  <c r="AK288" i="10"/>
  <c r="AB288" i="10"/>
  <c r="AA288" i="10"/>
  <c r="X288" i="10"/>
  <c r="Y288" i="10" s="1"/>
  <c r="V288" i="10"/>
  <c r="W288" i="10" s="1"/>
  <c r="T288" i="10"/>
  <c r="U288" i="10" s="1"/>
  <c r="S288" i="10"/>
  <c r="P288" i="10"/>
  <c r="AO288" i="10" s="1"/>
  <c r="AQ288" i="10" s="1"/>
  <c r="O288" i="10"/>
  <c r="N288" i="10"/>
  <c r="AK287" i="10"/>
  <c r="AB287" i="10"/>
  <c r="AA287" i="10"/>
  <c r="X287" i="10"/>
  <c r="Y287" i="10" s="1"/>
  <c r="V287" i="10"/>
  <c r="W287" i="10" s="1"/>
  <c r="T287" i="10"/>
  <c r="U287" i="10" s="1"/>
  <c r="S287" i="10"/>
  <c r="P287" i="10"/>
  <c r="AO287" i="10" s="1"/>
  <c r="AQ287" i="10" s="1"/>
  <c r="O287" i="10"/>
  <c r="N287" i="10"/>
  <c r="AK286" i="10"/>
  <c r="AB286" i="10"/>
  <c r="AA286" i="10"/>
  <c r="X286" i="10"/>
  <c r="Y286" i="10" s="1"/>
  <c r="V286" i="10"/>
  <c r="W286" i="10" s="1"/>
  <c r="T286" i="10"/>
  <c r="U286" i="10" s="1"/>
  <c r="S286" i="10"/>
  <c r="P286" i="10"/>
  <c r="AO286" i="10" s="1"/>
  <c r="AQ286" i="10" s="1"/>
  <c r="O286" i="10"/>
  <c r="N286" i="10"/>
  <c r="AK285" i="10"/>
  <c r="AB285" i="10"/>
  <c r="AA285" i="10"/>
  <c r="X285" i="10"/>
  <c r="Y285" i="10" s="1"/>
  <c r="V285" i="10"/>
  <c r="W285" i="10" s="1"/>
  <c r="T285" i="10"/>
  <c r="U285" i="10" s="1"/>
  <c r="S285" i="10"/>
  <c r="P285" i="10"/>
  <c r="AO285" i="10" s="1"/>
  <c r="AQ285" i="10" s="1"/>
  <c r="O285" i="10"/>
  <c r="N285" i="10"/>
  <c r="AK284" i="10"/>
  <c r="AB284" i="10"/>
  <c r="AA284" i="10"/>
  <c r="X284" i="10"/>
  <c r="Y284" i="10" s="1"/>
  <c r="V284" i="10"/>
  <c r="W284" i="10" s="1"/>
  <c r="T284" i="10"/>
  <c r="U284" i="10" s="1"/>
  <c r="S284" i="10"/>
  <c r="P284" i="10"/>
  <c r="AO284" i="10" s="1"/>
  <c r="AQ284" i="10" s="1"/>
  <c r="O284" i="10"/>
  <c r="N284" i="10"/>
  <c r="AK283" i="10"/>
  <c r="AB283" i="10"/>
  <c r="AA283" i="10"/>
  <c r="X283" i="10"/>
  <c r="Y283" i="10" s="1"/>
  <c r="V283" i="10"/>
  <c r="W283" i="10" s="1"/>
  <c r="T283" i="10"/>
  <c r="U283" i="10" s="1"/>
  <c r="S283" i="10"/>
  <c r="P283" i="10"/>
  <c r="AO283" i="10" s="1"/>
  <c r="AQ283" i="10" s="1"/>
  <c r="O283" i="10"/>
  <c r="N283" i="10"/>
  <c r="AK282" i="10"/>
  <c r="AB282" i="10"/>
  <c r="AA282" i="10"/>
  <c r="X282" i="10"/>
  <c r="Y282" i="10" s="1"/>
  <c r="V282" i="10"/>
  <c r="W282" i="10" s="1"/>
  <c r="T282" i="10"/>
  <c r="U282" i="10" s="1"/>
  <c r="S282" i="10"/>
  <c r="P282" i="10"/>
  <c r="AO282" i="10" s="1"/>
  <c r="AQ282" i="10" s="1"/>
  <c r="O282" i="10"/>
  <c r="N282" i="10"/>
  <c r="AK281" i="10"/>
  <c r="AB281" i="10"/>
  <c r="AA281" i="10"/>
  <c r="X281" i="10"/>
  <c r="Y281" i="10" s="1"/>
  <c r="V281" i="10"/>
  <c r="W281" i="10" s="1"/>
  <c r="T281" i="10"/>
  <c r="U281" i="10" s="1"/>
  <c r="S281" i="10"/>
  <c r="P281" i="10"/>
  <c r="AO281" i="10" s="1"/>
  <c r="AQ281" i="10" s="1"/>
  <c r="O281" i="10"/>
  <c r="N281" i="10"/>
  <c r="AK280" i="10"/>
  <c r="AB280" i="10"/>
  <c r="AA280" i="10"/>
  <c r="X280" i="10"/>
  <c r="Y280" i="10" s="1"/>
  <c r="V280" i="10"/>
  <c r="W280" i="10" s="1"/>
  <c r="T280" i="10"/>
  <c r="U280" i="10" s="1"/>
  <c r="S280" i="10"/>
  <c r="P280" i="10"/>
  <c r="AO280" i="10" s="1"/>
  <c r="AQ280" i="10" s="1"/>
  <c r="O280" i="10"/>
  <c r="N280" i="10"/>
  <c r="AK279" i="10"/>
  <c r="AB279" i="10"/>
  <c r="AA279" i="10"/>
  <c r="X279" i="10"/>
  <c r="Y279" i="10" s="1"/>
  <c r="V279" i="10"/>
  <c r="W279" i="10" s="1"/>
  <c r="T279" i="10"/>
  <c r="U279" i="10" s="1"/>
  <c r="S279" i="10"/>
  <c r="P279" i="10"/>
  <c r="AO279" i="10" s="1"/>
  <c r="AQ279" i="10" s="1"/>
  <c r="O279" i="10"/>
  <c r="N279" i="10"/>
  <c r="AK278" i="10"/>
  <c r="AB278" i="10"/>
  <c r="AA278" i="10"/>
  <c r="X278" i="10"/>
  <c r="Y278" i="10" s="1"/>
  <c r="V278" i="10"/>
  <c r="W278" i="10" s="1"/>
  <c r="T278" i="10"/>
  <c r="U278" i="10" s="1"/>
  <c r="S278" i="10"/>
  <c r="P278" i="10"/>
  <c r="AO278" i="10" s="1"/>
  <c r="AQ278" i="10" s="1"/>
  <c r="O278" i="10"/>
  <c r="N278" i="10"/>
  <c r="AK277" i="10"/>
  <c r="AB277" i="10"/>
  <c r="AA277" i="10"/>
  <c r="X277" i="10"/>
  <c r="Y277" i="10" s="1"/>
  <c r="V277" i="10"/>
  <c r="W277" i="10" s="1"/>
  <c r="T277" i="10"/>
  <c r="U277" i="10" s="1"/>
  <c r="S277" i="10"/>
  <c r="P277" i="10"/>
  <c r="AO277" i="10" s="1"/>
  <c r="AQ277" i="10" s="1"/>
  <c r="O277" i="10"/>
  <c r="N277" i="10"/>
  <c r="AK276" i="10"/>
  <c r="AB276" i="10"/>
  <c r="AA276" i="10"/>
  <c r="X276" i="10"/>
  <c r="Y276" i="10" s="1"/>
  <c r="V276" i="10"/>
  <c r="W276" i="10" s="1"/>
  <c r="T276" i="10"/>
  <c r="U276" i="10" s="1"/>
  <c r="S276" i="10"/>
  <c r="P276" i="10"/>
  <c r="AO276" i="10" s="1"/>
  <c r="AQ276" i="10" s="1"/>
  <c r="O276" i="10"/>
  <c r="N276" i="10"/>
  <c r="AK275" i="10"/>
  <c r="AB275" i="10"/>
  <c r="AA275" i="10"/>
  <c r="X275" i="10"/>
  <c r="Y275" i="10" s="1"/>
  <c r="V275" i="10"/>
  <c r="W275" i="10" s="1"/>
  <c r="T275" i="10"/>
  <c r="U275" i="10" s="1"/>
  <c r="S275" i="10"/>
  <c r="P275" i="10"/>
  <c r="AO275" i="10" s="1"/>
  <c r="AQ275" i="10" s="1"/>
  <c r="O275" i="10"/>
  <c r="N275" i="10"/>
  <c r="AK274" i="10"/>
  <c r="AB274" i="10"/>
  <c r="AA274" i="10"/>
  <c r="X274" i="10"/>
  <c r="Y274" i="10" s="1"/>
  <c r="V274" i="10"/>
  <c r="W274" i="10" s="1"/>
  <c r="T274" i="10"/>
  <c r="U274" i="10" s="1"/>
  <c r="S274" i="10"/>
  <c r="P274" i="10"/>
  <c r="AO274" i="10" s="1"/>
  <c r="AQ274" i="10" s="1"/>
  <c r="O274" i="10"/>
  <c r="N274" i="10"/>
  <c r="AK273" i="10"/>
  <c r="AB273" i="10"/>
  <c r="AA273" i="10"/>
  <c r="X273" i="10"/>
  <c r="Y273" i="10" s="1"/>
  <c r="V273" i="10"/>
  <c r="W273" i="10" s="1"/>
  <c r="T273" i="10"/>
  <c r="U273" i="10" s="1"/>
  <c r="S273" i="10"/>
  <c r="P273" i="10"/>
  <c r="AO273" i="10" s="1"/>
  <c r="AQ273" i="10" s="1"/>
  <c r="O273" i="10"/>
  <c r="N273" i="10"/>
  <c r="AK272" i="10"/>
  <c r="AB272" i="10"/>
  <c r="AA272" i="10"/>
  <c r="X272" i="10"/>
  <c r="Y272" i="10" s="1"/>
  <c r="V272" i="10"/>
  <c r="W272" i="10" s="1"/>
  <c r="T272" i="10"/>
  <c r="U272" i="10" s="1"/>
  <c r="S272" i="10"/>
  <c r="P272" i="10"/>
  <c r="AO272" i="10" s="1"/>
  <c r="AQ272" i="10" s="1"/>
  <c r="O272" i="10"/>
  <c r="N272" i="10"/>
  <c r="AK271" i="10"/>
  <c r="AB271" i="10"/>
  <c r="AA271" i="10"/>
  <c r="X271" i="10"/>
  <c r="Y271" i="10" s="1"/>
  <c r="V271" i="10"/>
  <c r="W271" i="10" s="1"/>
  <c r="T271" i="10"/>
  <c r="U271" i="10" s="1"/>
  <c r="S271" i="10"/>
  <c r="P271" i="10"/>
  <c r="AO271" i="10" s="1"/>
  <c r="AQ271" i="10" s="1"/>
  <c r="O271" i="10"/>
  <c r="N271" i="10"/>
  <c r="AK270" i="10"/>
  <c r="AB270" i="10"/>
  <c r="AA270" i="10"/>
  <c r="X270" i="10"/>
  <c r="Y270" i="10" s="1"/>
  <c r="V270" i="10"/>
  <c r="W270" i="10" s="1"/>
  <c r="T270" i="10"/>
  <c r="U270" i="10" s="1"/>
  <c r="S270" i="10"/>
  <c r="P270" i="10"/>
  <c r="AO270" i="10" s="1"/>
  <c r="AQ270" i="10" s="1"/>
  <c r="O270" i="10"/>
  <c r="N270" i="10"/>
  <c r="AK269" i="10"/>
  <c r="AB269" i="10"/>
  <c r="AA269" i="10"/>
  <c r="X269" i="10"/>
  <c r="Y269" i="10" s="1"/>
  <c r="V269" i="10"/>
  <c r="W269" i="10" s="1"/>
  <c r="T269" i="10"/>
  <c r="U269" i="10" s="1"/>
  <c r="S269" i="10"/>
  <c r="P269" i="10"/>
  <c r="AO269" i="10" s="1"/>
  <c r="AQ269" i="10" s="1"/>
  <c r="O269" i="10"/>
  <c r="N269" i="10"/>
  <c r="AK268" i="10"/>
  <c r="AB268" i="10"/>
  <c r="AA268" i="10"/>
  <c r="X268" i="10"/>
  <c r="Y268" i="10" s="1"/>
  <c r="V268" i="10"/>
  <c r="W268" i="10" s="1"/>
  <c r="T268" i="10"/>
  <c r="U268" i="10" s="1"/>
  <c r="S268" i="10"/>
  <c r="P268" i="10"/>
  <c r="AO268" i="10" s="1"/>
  <c r="AQ268" i="10" s="1"/>
  <c r="O268" i="10"/>
  <c r="N268" i="10"/>
  <c r="AK267" i="10"/>
  <c r="AB267" i="10"/>
  <c r="AA267" i="10"/>
  <c r="X267" i="10"/>
  <c r="Y267" i="10" s="1"/>
  <c r="V267" i="10"/>
  <c r="W267" i="10" s="1"/>
  <c r="T267" i="10"/>
  <c r="U267" i="10" s="1"/>
  <c r="S267" i="10"/>
  <c r="P267" i="10"/>
  <c r="AO267" i="10" s="1"/>
  <c r="AQ267" i="10" s="1"/>
  <c r="O267" i="10"/>
  <c r="N267" i="10"/>
  <c r="AK266" i="10"/>
  <c r="AB266" i="10"/>
  <c r="AA266" i="10"/>
  <c r="X266" i="10"/>
  <c r="Y266" i="10" s="1"/>
  <c r="V266" i="10"/>
  <c r="W266" i="10" s="1"/>
  <c r="T266" i="10"/>
  <c r="U266" i="10" s="1"/>
  <c r="S266" i="10"/>
  <c r="P266" i="10"/>
  <c r="AO266" i="10" s="1"/>
  <c r="AQ266" i="10" s="1"/>
  <c r="O266" i="10"/>
  <c r="N266" i="10"/>
  <c r="AK265" i="10"/>
  <c r="AB265" i="10"/>
  <c r="AA265" i="10"/>
  <c r="X265" i="10"/>
  <c r="Y265" i="10" s="1"/>
  <c r="V265" i="10"/>
  <c r="W265" i="10" s="1"/>
  <c r="T265" i="10"/>
  <c r="U265" i="10" s="1"/>
  <c r="S265" i="10"/>
  <c r="P265" i="10"/>
  <c r="AO265" i="10" s="1"/>
  <c r="AQ265" i="10" s="1"/>
  <c r="O265" i="10"/>
  <c r="N265" i="10"/>
  <c r="AK264" i="10"/>
  <c r="AB264" i="10"/>
  <c r="AA264" i="10"/>
  <c r="X264" i="10"/>
  <c r="Y264" i="10" s="1"/>
  <c r="V264" i="10"/>
  <c r="W264" i="10" s="1"/>
  <c r="T264" i="10"/>
  <c r="U264" i="10" s="1"/>
  <c r="S264" i="10"/>
  <c r="P264" i="10"/>
  <c r="AO264" i="10" s="1"/>
  <c r="AQ264" i="10" s="1"/>
  <c r="O264" i="10"/>
  <c r="N264" i="10"/>
  <c r="AK263" i="10"/>
  <c r="AB263" i="10"/>
  <c r="AA263" i="10"/>
  <c r="X263" i="10"/>
  <c r="Y263" i="10" s="1"/>
  <c r="V263" i="10"/>
  <c r="W263" i="10" s="1"/>
  <c r="T263" i="10"/>
  <c r="U263" i="10" s="1"/>
  <c r="S263" i="10"/>
  <c r="P263" i="10"/>
  <c r="AO263" i="10" s="1"/>
  <c r="AQ263" i="10" s="1"/>
  <c r="O263" i="10"/>
  <c r="N263" i="10"/>
  <c r="AK262" i="10"/>
  <c r="AB262" i="10"/>
  <c r="AA262" i="10"/>
  <c r="X262" i="10"/>
  <c r="Y262" i="10" s="1"/>
  <c r="V262" i="10"/>
  <c r="W262" i="10" s="1"/>
  <c r="T262" i="10"/>
  <c r="U262" i="10" s="1"/>
  <c r="S262" i="10"/>
  <c r="P262" i="10"/>
  <c r="AO262" i="10" s="1"/>
  <c r="AQ262" i="10" s="1"/>
  <c r="O262" i="10"/>
  <c r="N262" i="10"/>
  <c r="AK261" i="10"/>
  <c r="AB261" i="10"/>
  <c r="AA261" i="10"/>
  <c r="X261" i="10"/>
  <c r="Y261" i="10" s="1"/>
  <c r="V261" i="10"/>
  <c r="W261" i="10" s="1"/>
  <c r="T261" i="10"/>
  <c r="U261" i="10" s="1"/>
  <c r="S261" i="10"/>
  <c r="P261" i="10"/>
  <c r="AO261" i="10" s="1"/>
  <c r="AQ261" i="10" s="1"/>
  <c r="O261" i="10"/>
  <c r="N261" i="10"/>
  <c r="AK260" i="10"/>
  <c r="AB260" i="10"/>
  <c r="AA260" i="10"/>
  <c r="X260" i="10"/>
  <c r="Y260" i="10" s="1"/>
  <c r="V260" i="10"/>
  <c r="W260" i="10" s="1"/>
  <c r="T260" i="10"/>
  <c r="U260" i="10" s="1"/>
  <c r="S260" i="10"/>
  <c r="P260" i="10"/>
  <c r="AO260" i="10" s="1"/>
  <c r="AQ260" i="10" s="1"/>
  <c r="O260" i="10"/>
  <c r="N260" i="10"/>
  <c r="AK259" i="10"/>
  <c r="AB259" i="10"/>
  <c r="AA259" i="10"/>
  <c r="X259" i="10"/>
  <c r="Y259" i="10" s="1"/>
  <c r="V259" i="10"/>
  <c r="W259" i="10" s="1"/>
  <c r="T259" i="10"/>
  <c r="U259" i="10" s="1"/>
  <c r="S259" i="10"/>
  <c r="P259" i="10"/>
  <c r="AO259" i="10" s="1"/>
  <c r="AQ259" i="10" s="1"/>
  <c r="O259" i="10"/>
  <c r="N259" i="10"/>
  <c r="AK258" i="10"/>
  <c r="AB258" i="10"/>
  <c r="AA258" i="10"/>
  <c r="X258" i="10"/>
  <c r="Y258" i="10" s="1"/>
  <c r="V258" i="10"/>
  <c r="W258" i="10" s="1"/>
  <c r="T258" i="10"/>
  <c r="U258" i="10" s="1"/>
  <c r="S258" i="10"/>
  <c r="P258" i="10"/>
  <c r="AO258" i="10" s="1"/>
  <c r="AQ258" i="10" s="1"/>
  <c r="O258" i="10"/>
  <c r="N258" i="10"/>
  <c r="AK257" i="10"/>
  <c r="AB257" i="10"/>
  <c r="AA257" i="10"/>
  <c r="X257" i="10"/>
  <c r="Y257" i="10" s="1"/>
  <c r="V257" i="10"/>
  <c r="W257" i="10" s="1"/>
  <c r="T257" i="10"/>
  <c r="U257" i="10" s="1"/>
  <c r="S257" i="10"/>
  <c r="P257" i="10"/>
  <c r="AO257" i="10" s="1"/>
  <c r="AQ257" i="10" s="1"/>
  <c r="O257" i="10"/>
  <c r="N257" i="10"/>
  <c r="AK256" i="10"/>
  <c r="AB256" i="10"/>
  <c r="AA256" i="10"/>
  <c r="X256" i="10"/>
  <c r="Y256" i="10" s="1"/>
  <c r="V256" i="10"/>
  <c r="W256" i="10" s="1"/>
  <c r="T256" i="10"/>
  <c r="U256" i="10" s="1"/>
  <c r="S256" i="10"/>
  <c r="P256" i="10"/>
  <c r="AO256" i="10" s="1"/>
  <c r="AQ256" i="10" s="1"/>
  <c r="O256" i="10"/>
  <c r="N256" i="10"/>
  <c r="AK255" i="10"/>
  <c r="AB255" i="10"/>
  <c r="AA255" i="10"/>
  <c r="X255" i="10"/>
  <c r="Y255" i="10" s="1"/>
  <c r="V255" i="10"/>
  <c r="W255" i="10" s="1"/>
  <c r="T255" i="10"/>
  <c r="U255" i="10" s="1"/>
  <c r="S255" i="10"/>
  <c r="P255" i="10"/>
  <c r="AO255" i="10" s="1"/>
  <c r="AQ255" i="10" s="1"/>
  <c r="O255" i="10"/>
  <c r="N255" i="10"/>
  <c r="AK254" i="10"/>
  <c r="AB254" i="10"/>
  <c r="AA254" i="10"/>
  <c r="X254" i="10"/>
  <c r="Y254" i="10" s="1"/>
  <c r="V254" i="10"/>
  <c r="W254" i="10" s="1"/>
  <c r="T254" i="10"/>
  <c r="U254" i="10" s="1"/>
  <c r="S254" i="10"/>
  <c r="P254" i="10"/>
  <c r="AO254" i="10" s="1"/>
  <c r="AQ254" i="10" s="1"/>
  <c r="O254" i="10"/>
  <c r="N254" i="10"/>
  <c r="AK253" i="10"/>
  <c r="AB253" i="10"/>
  <c r="AA253" i="10"/>
  <c r="X253" i="10"/>
  <c r="Y253" i="10" s="1"/>
  <c r="V253" i="10"/>
  <c r="W253" i="10" s="1"/>
  <c r="T253" i="10"/>
  <c r="U253" i="10" s="1"/>
  <c r="S253" i="10"/>
  <c r="P253" i="10"/>
  <c r="AO253" i="10" s="1"/>
  <c r="AQ253" i="10" s="1"/>
  <c r="O253" i="10"/>
  <c r="N253" i="10"/>
  <c r="AK252" i="10"/>
  <c r="AB252" i="10"/>
  <c r="AA252" i="10"/>
  <c r="X252" i="10"/>
  <c r="Y252" i="10" s="1"/>
  <c r="V252" i="10"/>
  <c r="W252" i="10" s="1"/>
  <c r="T252" i="10"/>
  <c r="U252" i="10" s="1"/>
  <c r="S252" i="10"/>
  <c r="P252" i="10"/>
  <c r="AO252" i="10" s="1"/>
  <c r="AQ252" i="10" s="1"/>
  <c r="O252" i="10"/>
  <c r="N252" i="10"/>
  <c r="AK251" i="10"/>
  <c r="AB251" i="10"/>
  <c r="AA251" i="10"/>
  <c r="X251" i="10"/>
  <c r="Y251" i="10" s="1"/>
  <c r="V251" i="10"/>
  <c r="W251" i="10" s="1"/>
  <c r="T251" i="10"/>
  <c r="U251" i="10" s="1"/>
  <c r="S251" i="10"/>
  <c r="P251" i="10"/>
  <c r="AO251" i="10" s="1"/>
  <c r="AQ251" i="10" s="1"/>
  <c r="O251" i="10"/>
  <c r="N251" i="10"/>
  <c r="AK250" i="10"/>
  <c r="AB250" i="10"/>
  <c r="AA250" i="10"/>
  <c r="X250" i="10"/>
  <c r="Y250" i="10" s="1"/>
  <c r="V250" i="10"/>
  <c r="W250" i="10" s="1"/>
  <c r="T250" i="10"/>
  <c r="U250" i="10" s="1"/>
  <c r="S250" i="10"/>
  <c r="P250" i="10"/>
  <c r="AO250" i="10" s="1"/>
  <c r="AQ250" i="10" s="1"/>
  <c r="O250" i="10"/>
  <c r="N250" i="10"/>
  <c r="AK249" i="10"/>
  <c r="AB249" i="10"/>
  <c r="AA249" i="10"/>
  <c r="X249" i="10"/>
  <c r="Y249" i="10" s="1"/>
  <c r="V249" i="10"/>
  <c r="W249" i="10" s="1"/>
  <c r="T249" i="10"/>
  <c r="U249" i="10" s="1"/>
  <c r="S249" i="10"/>
  <c r="P249" i="10"/>
  <c r="AO249" i="10" s="1"/>
  <c r="AQ249" i="10" s="1"/>
  <c r="O249" i="10"/>
  <c r="N249" i="10"/>
  <c r="AK248" i="10"/>
  <c r="AB248" i="10"/>
  <c r="AA248" i="10"/>
  <c r="X248" i="10"/>
  <c r="Y248" i="10" s="1"/>
  <c r="V248" i="10"/>
  <c r="W248" i="10" s="1"/>
  <c r="T248" i="10"/>
  <c r="U248" i="10" s="1"/>
  <c r="S248" i="10"/>
  <c r="P248" i="10"/>
  <c r="AO248" i="10" s="1"/>
  <c r="AQ248" i="10" s="1"/>
  <c r="O248" i="10"/>
  <c r="N248" i="10"/>
  <c r="AK247" i="10"/>
  <c r="AB247" i="10"/>
  <c r="AA247" i="10"/>
  <c r="X247" i="10"/>
  <c r="Y247" i="10" s="1"/>
  <c r="V247" i="10"/>
  <c r="W247" i="10" s="1"/>
  <c r="T247" i="10"/>
  <c r="U247" i="10" s="1"/>
  <c r="S247" i="10"/>
  <c r="P247" i="10"/>
  <c r="AO247" i="10" s="1"/>
  <c r="AQ247" i="10" s="1"/>
  <c r="O247" i="10"/>
  <c r="N247" i="10"/>
  <c r="AK246" i="10"/>
  <c r="AB246" i="10"/>
  <c r="AA246" i="10"/>
  <c r="X246" i="10"/>
  <c r="Y246" i="10" s="1"/>
  <c r="V246" i="10"/>
  <c r="W246" i="10" s="1"/>
  <c r="T246" i="10"/>
  <c r="U246" i="10" s="1"/>
  <c r="S246" i="10"/>
  <c r="P246" i="10"/>
  <c r="AO246" i="10" s="1"/>
  <c r="AQ246" i="10" s="1"/>
  <c r="O246" i="10"/>
  <c r="N246" i="10"/>
  <c r="AK245" i="10"/>
  <c r="AB245" i="10"/>
  <c r="AA245" i="10"/>
  <c r="X245" i="10"/>
  <c r="Y245" i="10" s="1"/>
  <c r="V245" i="10"/>
  <c r="W245" i="10" s="1"/>
  <c r="T245" i="10"/>
  <c r="U245" i="10" s="1"/>
  <c r="S245" i="10"/>
  <c r="P245" i="10"/>
  <c r="AO245" i="10" s="1"/>
  <c r="AQ245" i="10" s="1"/>
  <c r="O245" i="10"/>
  <c r="N245" i="10"/>
  <c r="AK244" i="10"/>
  <c r="AB244" i="10"/>
  <c r="AA244" i="10"/>
  <c r="X244" i="10"/>
  <c r="Y244" i="10" s="1"/>
  <c r="V244" i="10"/>
  <c r="W244" i="10" s="1"/>
  <c r="T244" i="10"/>
  <c r="U244" i="10" s="1"/>
  <c r="S244" i="10"/>
  <c r="P244" i="10"/>
  <c r="AO244" i="10" s="1"/>
  <c r="AQ244" i="10" s="1"/>
  <c r="O244" i="10"/>
  <c r="N244" i="10"/>
  <c r="AK243" i="10"/>
  <c r="AB243" i="10"/>
  <c r="AA243" i="10"/>
  <c r="X243" i="10"/>
  <c r="Y243" i="10" s="1"/>
  <c r="V243" i="10"/>
  <c r="W243" i="10" s="1"/>
  <c r="T243" i="10"/>
  <c r="U243" i="10" s="1"/>
  <c r="S243" i="10"/>
  <c r="P243" i="10"/>
  <c r="AO243" i="10" s="1"/>
  <c r="AQ243" i="10" s="1"/>
  <c r="O243" i="10"/>
  <c r="N243" i="10"/>
  <c r="AK242" i="10"/>
  <c r="AB242" i="10"/>
  <c r="AA242" i="10"/>
  <c r="X242" i="10"/>
  <c r="Y242" i="10" s="1"/>
  <c r="V242" i="10"/>
  <c r="W242" i="10" s="1"/>
  <c r="T242" i="10"/>
  <c r="U242" i="10" s="1"/>
  <c r="S242" i="10"/>
  <c r="P242" i="10"/>
  <c r="AO242" i="10" s="1"/>
  <c r="AQ242" i="10" s="1"/>
  <c r="O242" i="10"/>
  <c r="N242" i="10"/>
  <c r="AK241" i="10"/>
  <c r="AB241" i="10"/>
  <c r="AA241" i="10"/>
  <c r="X241" i="10"/>
  <c r="Y241" i="10" s="1"/>
  <c r="V241" i="10"/>
  <c r="W241" i="10" s="1"/>
  <c r="T241" i="10"/>
  <c r="U241" i="10" s="1"/>
  <c r="S241" i="10"/>
  <c r="P241" i="10"/>
  <c r="AO241" i="10" s="1"/>
  <c r="AQ241" i="10" s="1"/>
  <c r="O241" i="10"/>
  <c r="N241" i="10"/>
  <c r="AK240" i="10"/>
  <c r="AB240" i="10"/>
  <c r="AA240" i="10"/>
  <c r="X240" i="10"/>
  <c r="Y240" i="10" s="1"/>
  <c r="V240" i="10"/>
  <c r="W240" i="10" s="1"/>
  <c r="T240" i="10"/>
  <c r="U240" i="10" s="1"/>
  <c r="S240" i="10"/>
  <c r="P240" i="10"/>
  <c r="AO240" i="10" s="1"/>
  <c r="AQ240" i="10" s="1"/>
  <c r="O240" i="10"/>
  <c r="N240" i="10"/>
  <c r="AK239" i="10"/>
  <c r="AB239" i="10"/>
  <c r="AA239" i="10"/>
  <c r="X239" i="10"/>
  <c r="Y239" i="10" s="1"/>
  <c r="V239" i="10"/>
  <c r="W239" i="10" s="1"/>
  <c r="T239" i="10"/>
  <c r="U239" i="10" s="1"/>
  <c r="S239" i="10"/>
  <c r="P239" i="10"/>
  <c r="AO239" i="10" s="1"/>
  <c r="AQ239" i="10" s="1"/>
  <c r="O239" i="10"/>
  <c r="N239" i="10"/>
  <c r="AK238" i="10"/>
  <c r="AB238" i="10"/>
  <c r="AA238" i="10"/>
  <c r="X238" i="10"/>
  <c r="Y238" i="10" s="1"/>
  <c r="V238" i="10"/>
  <c r="W238" i="10" s="1"/>
  <c r="T238" i="10"/>
  <c r="U238" i="10" s="1"/>
  <c r="S238" i="10"/>
  <c r="P238" i="10"/>
  <c r="AO238" i="10" s="1"/>
  <c r="AQ238" i="10" s="1"/>
  <c r="O238" i="10"/>
  <c r="N238" i="10"/>
  <c r="AK237" i="10"/>
  <c r="AB237" i="10"/>
  <c r="AA237" i="10"/>
  <c r="X237" i="10"/>
  <c r="Y237" i="10" s="1"/>
  <c r="V237" i="10"/>
  <c r="W237" i="10" s="1"/>
  <c r="T237" i="10"/>
  <c r="U237" i="10" s="1"/>
  <c r="S237" i="10"/>
  <c r="P237" i="10"/>
  <c r="AO237" i="10" s="1"/>
  <c r="AQ237" i="10" s="1"/>
  <c r="O237" i="10"/>
  <c r="N237" i="10"/>
  <c r="AK236" i="10"/>
  <c r="AB236" i="10"/>
  <c r="AA236" i="10"/>
  <c r="X236" i="10"/>
  <c r="Y236" i="10" s="1"/>
  <c r="V236" i="10"/>
  <c r="W236" i="10" s="1"/>
  <c r="T236" i="10"/>
  <c r="U236" i="10" s="1"/>
  <c r="S236" i="10"/>
  <c r="P236" i="10"/>
  <c r="AO236" i="10" s="1"/>
  <c r="AQ236" i="10" s="1"/>
  <c r="O236" i="10"/>
  <c r="N236" i="10"/>
  <c r="AK235" i="10"/>
  <c r="AB235" i="10"/>
  <c r="AA235" i="10"/>
  <c r="X235" i="10"/>
  <c r="Y235" i="10" s="1"/>
  <c r="V235" i="10"/>
  <c r="W235" i="10" s="1"/>
  <c r="T235" i="10"/>
  <c r="U235" i="10" s="1"/>
  <c r="S235" i="10"/>
  <c r="P235" i="10"/>
  <c r="AO235" i="10" s="1"/>
  <c r="AQ235" i="10" s="1"/>
  <c r="O235" i="10"/>
  <c r="N235" i="10"/>
  <c r="AK234" i="10"/>
  <c r="AB234" i="10"/>
  <c r="AA234" i="10"/>
  <c r="X234" i="10"/>
  <c r="Y234" i="10" s="1"/>
  <c r="V234" i="10"/>
  <c r="W234" i="10" s="1"/>
  <c r="T234" i="10"/>
  <c r="U234" i="10" s="1"/>
  <c r="S234" i="10"/>
  <c r="P234" i="10"/>
  <c r="AO234" i="10" s="1"/>
  <c r="AQ234" i="10" s="1"/>
  <c r="O234" i="10"/>
  <c r="N234" i="10"/>
  <c r="AK233" i="10"/>
  <c r="AB233" i="10"/>
  <c r="AA233" i="10"/>
  <c r="X233" i="10"/>
  <c r="Y233" i="10" s="1"/>
  <c r="V233" i="10"/>
  <c r="W233" i="10" s="1"/>
  <c r="T233" i="10"/>
  <c r="U233" i="10" s="1"/>
  <c r="S233" i="10"/>
  <c r="P233" i="10"/>
  <c r="AO233" i="10" s="1"/>
  <c r="AQ233" i="10" s="1"/>
  <c r="O233" i="10"/>
  <c r="N233" i="10"/>
  <c r="AK232" i="10"/>
  <c r="AB232" i="10"/>
  <c r="AA232" i="10"/>
  <c r="X232" i="10"/>
  <c r="Y232" i="10" s="1"/>
  <c r="V232" i="10"/>
  <c r="W232" i="10" s="1"/>
  <c r="T232" i="10"/>
  <c r="U232" i="10" s="1"/>
  <c r="S232" i="10"/>
  <c r="P232" i="10"/>
  <c r="AO232" i="10" s="1"/>
  <c r="AQ232" i="10" s="1"/>
  <c r="O232" i="10"/>
  <c r="N232" i="10"/>
  <c r="AO231" i="10"/>
  <c r="AQ231" i="10" s="1"/>
  <c r="AK231" i="10"/>
  <c r="AL231" i="10" s="1"/>
  <c r="AI231" i="10"/>
  <c r="AC231" i="10"/>
  <c r="AB231" i="10"/>
  <c r="AA231" i="10"/>
  <c r="X231" i="10"/>
  <c r="Y231" i="10" s="1"/>
  <c r="V231" i="10"/>
  <c r="W231" i="10" s="1"/>
  <c r="T231" i="10"/>
  <c r="U231" i="10" s="1"/>
  <c r="S231" i="10"/>
  <c r="P231" i="10"/>
  <c r="O231" i="10"/>
  <c r="N231" i="10"/>
  <c r="Z231" i="10" s="1"/>
  <c r="AN231" i="10" s="1"/>
  <c r="AK230" i="10"/>
  <c r="AB230" i="10"/>
  <c r="AA230" i="10"/>
  <c r="X230" i="10"/>
  <c r="Y230" i="10" s="1"/>
  <c r="V230" i="10"/>
  <c r="W230" i="10" s="1"/>
  <c r="T230" i="10"/>
  <c r="U230" i="10" s="1"/>
  <c r="S230" i="10"/>
  <c r="P230" i="10"/>
  <c r="AO230" i="10" s="1"/>
  <c r="AQ230" i="10" s="1"/>
  <c r="O230" i="10"/>
  <c r="N230" i="10"/>
  <c r="AK229" i="10"/>
  <c r="AB229" i="10"/>
  <c r="AA229" i="10"/>
  <c r="X229" i="10"/>
  <c r="Y229" i="10" s="1"/>
  <c r="V229" i="10"/>
  <c r="W229" i="10" s="1"/>
  <c r="T229" i="10"/>
  <c r="U229" i="10" s="1"/>
  <c r="S229" i="10"/>
  <c r="P229" i="10"/>
  <c r="AO229" i="10" s="1"/>
  <c r="AQ229" i="10" s="1"/>
  <c r="O229" i="10"/>
  <c r="N229" i="10"/>
  <c r="AK228" i="10"/>
  <c r="AB228" i="10"/>
  <c r="AA228" i="10"/>
  <c r="X228" i="10"/>
  <c r="Y228" i="10" s="1"/>
  <c r="V228" i="10"/>
  <c r="W228" i="10" s="1"/>
  <c r="T228" i="10"/>
  <c r="U228" i="10" s="1"/>
  <c r="S228" i="10"/>
  <c r="P228" i="10"/>
  <c r="AO228" i="10" s="1"/>
  <c r="AQ228" i="10" s="1"/>
  <c r="O228" i="10"/>
  <c r="N228" i="10"/>
  <c r="AK227" i="10"/>
  <c r="AB227" i="10"/>
  <c r="AA227" i="10"/>
  <c r="X227" i="10"/>
  <c r="Y227" i="10" s="1"/>
  <c r="V227" i="10"/>
  <c r="W227" i="10" s="1"/>
  <c r="T227" i="10"/>
  <c r="U227" i="10" s="1"/>
  <c r="S227" i="10"/>
  <c r="P227" i="10"/>
  <c r="AO227" i="10" s="1"/>
  <c r="AQ227" i="10" s="1"/>
  <c r="O227" i="10"/>
  <c r="N227" i="10"/>
  <c r="AK226" i="10"/>
  <c r="AB226" i="10"/>
  <c r="AA226" i="10"/>
  <c r="X226" i="10"/>
  <c r="Y226" i="10" s="1"/>
  <c r="V226" i="10"/>
  <c r="W226" i="10" s="1"/>
  <c r="T226" i="10"/>
  <c r="U226" i="10" s="1"/>
  <c r="S226" i="10"/>
  <c r="P226" i="10"/>
  <c r="AO226" i="10" s="1"/>
  <c r="AQ226" i="10" s="1"/>
  <c r="O226" i="10"/>
  <c r="N226" i="10"/>
  <c r="AK225" i="10"/>
  <c r="AB225" i="10"/>
  <c r="AA225" i="10"/>
  <c r="X225" i="10"/>
  <c r="Y225" i="10" s="1"/>
  <c r="V225" i="10"/>
  <c r="W225" i="10" s="1"/>
  <c r="T225" i="10"/>
  <c r="U225" i="10" s="1"/>
  <c r="S225" i="10"/>
  <c r="P225" i="10"/>
  <c r="AO225" i="10" s="1"/>
  <c r="AQ225" i="10" s="1"/>
  <c r="O225" i="10"/>
  <c r="N225" i="10"/>
  <c r="AK224" i="10"/>
  <c r="AB224" i="10"/>
  <c r="AA224" i="10"/>
  <c r="X224" i="10"/>
  <c r="Y224" i="10" s="1"/>
  <c r="V224" i="10"/>
  <c r="W224" i="10" s="1"/>
  <c r="T224" i="10"/>
  <c r="U224" i="10" s="1"/>
  <c r="S224" i="10"/>
  <c r="P224" i="10"/>
  <c r="AO224" i="10" s="1"/>
  <c r="AQ224" i="10" s="1"/>
  <c r="O224" i="10"/>
  <c r="N224" i="10"/>
  <c r="AK223" i="10"/>
  <c r="AB223" i="10"/>
  <c r="AA223" i="10"/>
  <c r="X223" i="10"/>
  <c r="Y223" i="10" s="1"/>
  <c r="V223" i="10"/>
  <c r="W223" i="10" s="1"/>
  <c r="T223" i="10"/>
  <c r="U223" i="10" s="1"/>
  <c r="S223" i="10"/>
  <c r="P223" i="10"/>
  <c r="AO223" i="10" s="1"/>
  <c r="AQ223" i="10" s="1"/>
  <c r="O223" i="10"/>
  <c r="N223" i="10"/>
  <c r="AK222" i="10"/>
  <c r="AB222" i="10"/>
  <c r="AA222" i="10"/>
  <c r="X222" i="10"/>
  <c r="Y222" i="10" s="1"/>
  <c r="V222" i="10"/>
  <c r="W222" i="10" s="1"/>
  <c r="T222" i="10"/>
  <c r="U222" i="10" s="1"/>
  <c r="S222" i="10"/>
  <c r="P222" i="10"/>
  <c r="AO222" i="10" s="1"/>
  <c r="AQ222" i="10" s="1"/>
  <c r="O222" i="10"/>
  <c r="N222" i="10"/>
  <c r="AK221" i="10"/>
  <c r="AB221" i="10"/>
  <c r="AA221" i="10"/>
  <c r="X221" i="10"/>
  <c r="Y221" i="10" s="1"/>
  <c r="V221" i="10"/>
  <c r="W221" i="10" s="1"/>
  <c r="T221" i="10"/>
  <c r="U221" i="10" s="1"/>
  <c r="S221" i="10"/>
  <c r="P221" i="10"/>
  <c r="AO221" i="10" s="1"/>
  <c r="AQ221" i="10" s="1"/>
  <c r="O221" i="10"/>
  <c r="N221" i="10"/>
  <c r="AK220" i="10"/>
  <c r="AB220" i="10"/>
  <c r="AA220" i="10"/>
  <c r="X220" i="10"/>
  <c r="Y220" i="10" s="1"/>
  <c r="V220" i="10"/>
  <c r="W220" i="10" s="1"/>
  <c r="T220" i="10"/>
  <c r="U220" i="10" s="1"/>
  <c r="S220" i="10"/>
  <c r="P220" i="10"/>
  <c r="AO220" i="10" s="1"/>
  <c r="AQ220" i="10" s="1"/>
  <c r="O220" i="10"/>
  <c r="N220" i="10"/>
  <c r="AK219" i="10"/>
  <c r="AB219" i="10"/>
  <c r="AA219" i="10"/>
  <c r="X219" i="10"/>
  <c r="Y219" i="10" s="1"/>
  <c r="V219" i="10"/>
  <c r="W219" i="10" s="1"/>
  <c r="T219" i="10"/>
  <c r="U219" i="10" s="1"/>
  <c r="S219" i="10"/>
  <c r="P219" i="10"/>
  <c r="AO219" i="10" s="1"/>
  <c r="AQ219" i="10" s="1"/>
  <c r="O219" i="10"/>
  <c r="N219" i="10"/>
  <c r="AK218" i="10"/>
  <c r="AB218" i="10"/>
  <c r="AA218" i="10"/>
  <c r="X218" i="10"/>
  <c r="Y218" i="10" s="1"/>
  <c r="V218" i="10"/>
  <c r="W218" i="10" s="1"/>
  <c r="T218" i="10"/>
  <c r="U218" i="10" s="1"/>
  <c r="S218" i="10"/>
  <c r="P218" i="10"/>
  <c r="AO218" i="10" s="1"/>
  <c r="AQ218" i="10" s="1"/>
  <c r="O218" i="10"/>
  <c r="N218" i="10"/>
  <c r="AK217" i="10"/>
  <c r="AB217" i="10"/>
  <c r="AA217" i="10"/>
  <c r="X217" i="10"/>
  <c r="Y217" i="10" s="1"/>
  <c r="V217" i="10"/>
  <c r="W217" i="10" s="1"/>
  <c r="T217" i="10"/>
  <c r="U217" i="10" s="1"/>
  <c r="S217" i="10"/>
  <c r="P217" i="10"/>
  <c r="AO217" i="10" s="1"/>
  <c r="AQ217" i="10" s="1"/>
  <c r="O217" i="10"/>
  <c r="N217" i="10"/>
  <c r="AK216" i="10"/>
  <c r="AB216" i="10"/>
  <c r="AA216" i="10"/>
  <c r="X216" i="10"/>
  <c r="Y216" i="10" s="1"/>
  <c r="V216" i="10"/>
  <c r="W216" i="10" s="1"/>
  <c r="T216" i="10"/>
  <c r="U216" i="10" s="1"/>
  <c r="S216" i="10"/>
  <c r="P216" i="10"/>
  <c r="AO216" i="10" s="1"/>
  <c r="AQ216" i="10" s="1"/>
  <c r="O216" i="10"/>
  <c r="N216" i="10"/>
  <c r="AK215" i="10"/>
  <c r="AB215" i="10"/>
  <c r="AA215" i="10"/>
  <c r="X215" i="10"/>
  <c r="Y215" i="10" s="1"/>
  <c r="V215" i="10"/>
  <c r="W215" i="10" s="1"/>
  <c r="T215" i="10"/>
  <c r="U215" i="10" s="1"/>
  <c r="S215" i="10"/>
  <c r="P215" i="10"/>
  <c r="AO215" i="10" s="1"/>
  <c r="AQ215" i="10" s="1"/>
  <c r="O215" i="10"/>
  <c r="N215" i="10"/>
  <c r="AK214" i="10"/>
  <c r="AB214" i="10"/>
  <c r="AA214" i="10"/>
  <c r="X214" i="10"/>
  <c r="Y214" i="10" s="1"/>
  <c r="V214" i="10"/>
  <c r="W214" i="10" s="1"/>
  <c r="T214" i="10"/>
  <c r="U214" i="10" s="1"/>
  <c r="S214" i="10"/>
  <c r="P214" i="10"/>
  <c r="AO214" i="10" s="1"/>
  <c r="AQ214" i="10" s="1"/>
  <c r="O214" i="10"/>
  <c r="N214" i="10"/>
  <c r="AK213" i="10"/>
  <c r="AB213" i="10"/>
  <c r="AA213" i="10"/>
  <c r="X213" i="10"/>
  <c r="Y213" i="10" s="1"/>
  <c r="V213" i="10"/>
  <c r="W213" i="10" s="1"/>
  <c r="T213" i="10"/>
  <c r="U213" i="10" s="1"/>
  <c r="S213" i="10"/>
  <c r="P213" i="10"/>
  <c r="AO213" i="10" s="1"/>
  <c r="AQ213" i="10" s="1"/>
  <c r="O213" i="10"/>
  <c r="N213" i="10"/>
  <c r="AK212" i="10"/>
  <c r="AB212" i="10"/>
  <c r="AA212" i="10"/>
  <c r="X212" i="10"/>
  <c r="Y212" i="10" s="1"/>
  <c r="V212" i="10"/>
  <c r="W212" i="10" s="1"/>
  <c r="T212" i="10"/>
  <c r="U212" i="10" s="1"/>
  <c r="S212" i="10"/>
  <c r="P212" i="10"/>
  <c r="AO212" i="10" s="1"/>
  <c r="AQ212" i="10" s="1"/>
  <c r="O212" i="10"/>
  <c r="N212" i="10"/>
  <c r="AK211" i="10"/>
  <c r="AB211" i="10"/>
  <c r="AA211" i="10"/>
  <c r="X211" i="10"/>
  <c r="Y211" i="10" s="1"/>
  <c r="V211" i="10"/>
  <c r="W211" i="10" s="1"/>
  <c r="T211" i="10"/>
  <c r="U211" i="10" s="1"/>
  <c r="S211" i="10"/>
  <c r="P211" i="10"/>
  <c r="AO211" i="10" s="1"/>
  <c r="AQ211" i="10" s="1"/>
  <c r="O211" i="10"/>
  <c r="N211" i="10"/>
  <c r="AK210" i="10"/>
  <c r="AB210" i="10"/>
  <c r="AA210" i="10"/>
  <c r="X210" i="10"/>
  <c r="Y210" i="10" s="1"/>
  <c r="V210" i="10"/>
  <c r="W210" i="10" s="1"/>
  <c r="T210" i="10"/>
  <c r="U210" i="10" s="1"/>
  <c r="S210" i="10"/>
  <c r="P210" i="10"/>
  <c r="AO210" i="10" s="1"/>
  <c r="AQ210" i="10" s="1"/>
  <c r="O210" i="10"/>
  <c r="N210" i="10"/>
  <c r="AK209" i="10"/>
  <c r="AB209" i="10"/>
  <c r="AA209" i="10"/>
  <c r="X209" i="10"/>
  <c r="Y209" i="10" s="1"/>
  <c r="V209" i="10"/>
  <c r="W209" i="10" s="1"/>
  <c r="T209" i="10"/>
  <c r="U209" i="10" s="1"/>
  <c r="S209" i="10"/>
  <c r="P209" i="10"/>
  <c r="AO209" i="10" s="1"/>
  <c r="AQ209" i="10" s="1"/>
  <c r="O209" i="10"/>
  <c r="N209" i="10"/>
  <c r="AK208" i="10"/>
  <c r="AB208" i="10"/>
  <c r="AA208" i="10"/>
  <c r="X208" i="10"/>
  <c r="Y208" i="10" s="1"/>
  <c r="V208" i="10"/>
  <c r="W208" i="10" s="1"/>
  <c r="T208" i="10"/>
  <c r="U208" i="10" s="1"/>
  <c r="S208" i="10"/>
  <c r="P208" i="10"/>
  <c r="AO208" i="10" s="1"/>
  <c r="AQ208" i="10" s="1"/>
  <c r="O208" i="10"/>
  <c r="N208" i="10"/>
  <c r="AK207" i="10"/>
  <c r="AB207" i="10"/>
  <c r="AA207" i="10"/>
  <c r="X207" i="10"/>
  <c r="Y207" i="10" s="1"/>
  <c r="V207" i="10"/>
  <c r="W207" i="10" s="1"/>
  <c r="T207" i="10"/>
  <c r="U207" i="10" s="1"/>
  <c r="S207" i="10"/>
  <c r="P207" i="10"/>
  <c r="AO207" i="10" s="1"/>
  <c r="AQ207" i="10" s="1"/>
  <c r="O207" i="10"/>
  <c r="N207" i="10"/>
  <c r="AK206" i="10"/>
  <c r="AB206" i="10"/>
  <c r="AA206" i="10"/>
  <c r="X206" i="10"/>
  <c r="Y206" i="10" s="1"/>
  <c r="V206" i="10"/>
  <c r="W206" i="10" s="1"/>
  <c r="T206" i="10"/>
  <c r="U206" i="10" s="1"/>
  <c r="S206" i="10"/>
  <c r="P206" i="10"/>
  <c r="AO206" i="10" s="1"/>
  <c r="AQ206" i="10" s="1"/>
  <c r="O206" i="10"/>
  <c r="N206" i="10"/>
  <c r="AK205" i="10"/>
  <c r="AB205" i="10"/>
  <c r="AA205" i="10"/>
  <c r="X205" i="10"/>
  <c r="Y205" i="10" s="1"/>
  <c r="V205" i="10"/>
  <c r="W205" i="10" s="1"/>
  <c r="T205" i="10"/>
  <c r="U205" i="10" s="1"/>
  <c r="S205" i="10"/>
  <c r="P205" i="10"/>
  <c r="AO205" i="10" s="1"/>
  <c r="AQ205" i="10" s="1"/>
  <c r="O205" i="10"/>
  <c r="N205" i="10"/>
  <c r="AK204" i="10"/>
  <c r="AB204" i="10"/>
  <c r="AA204" i="10"/>
  <c r="X204" i="10"/>
  <c r="Y204" i="10" s="1"/>
  <c r="V204" i="10"/>
  <c r="W204" i="10" s="1"/>
  <c r="T204" i="10"/>
  <c r="U204" i="10" s="1"/>
  <c r="S204" i="10"/>
  <c r="P204" i="10"/>
  <c r="AO204" i="10" s="1"/>
  <c r="AQ204" i="10" s="1"/>
  <c r="O204" i="10"/>
  <c r="N204" i="10"/>
  <c r="AK203" i="10"/>
  <c r="AB203" i="10"/>
  <c r="AA203" i="10"/>
  <c r="X203" i="10"/>
  <c r="Y203" i="10" s="1"/>
  <c r="V203" i="10"/>
  <c r="W203" i="10" s="1"/>
  <c r="T203" i="10"/>
  <c r="U203" i="10" s="1"/>
  <c r="S203" i="10"/>
  <c r="P203" i="10"/>
  <c r="AO203" i="10" s="1"/>
  <c r="AQ203" i="10" s="1"/>
  <c r="O203" i="10"/>
  <c r="N203" i="10"/>
  <c r="AK202" i="10"/>
  <c r="AB202" i="10"/>
  <c r="AA202" i="10"/>
  <c r="X202" i="10"/>
  <c r="Y202" i="10" s="1"/>
  <c r="V202" i="10"/>
  <c r="W202" i="10" s="1"/>
  <c r="T202" i="10"/>
  <c r="U202" i="10" s="1"/>
  <c r="S202" i="10"/>
  <c r="P202" i="10"/>
  <c r="AO202" i="10" s="1"/>
  <c r="AQ202" i="10" s="1"/>
  <c r="O202" i="10"/>
  <c r="N202" i="10"/>
  <c r="AK201" i="10"/>
  <c r="AB201" i="10"/>
  <c r="AA201" i="10"/>
  <c r="X201" i="10"/>
  <c r="Y201" i="10" s="1"/>
  <c r="V201" i="10"/>
  <c r="W201" i="10" s="1"/>
  <c r="T201" i="10"/>
  <c r="U201" i="10" s="1"/>
  <c r="S201" i="10"/>
  <c r="P201" i="10"/>
  <c r="AO201" i="10" s="1"/>
  <c r="AQ201" i="10" s="1"/>
  <c r="O201" i="10"/>
  <c r="N201" i="10"/>
  <c r="AK200" i="10"/>
  <c r="AB200" i="10"/>
  <c r="AA200" i="10"/>
  <c r="X200" i="10"/>
  <c r="Y200" i="10" s="1"/>
  <c r="V200" i="10"/>
  <c r="W200" i="10" s="1"/>
  <c r="T200" i="10"/>
  <c r="U200" i="10" s="1"/>
  <c r="S200" i="10"/>
  <c r="P200" i="10"/>
  <c r="AO200" i="10" s="1"/>
  <c r="AQ200" i="10" s="1"/>
  <c r="O200" i="10"/>
  <c r="N200" i="10"/>
  <c r="AK199" i="10"/>
  <c r="AB199" i="10"/>
  <c r="AA199" i="10"/>
  <c r="X199" i="10"/>
  <c r="Y199" i="10" s="1"/>
  <c r="V199" i="10"/>
  <c r="W199" i="10" s="1"/>
  <c r="T199" i="10"/>
  <c r="U199" i="10" s="1"/>
  <c r="S199" i="10"/>
  <c r="P199" i="10"/>
  <c r="AO199" i="10" s="1"/>
  <c r="AQ199" i="10" s="1"/>
  <c r="O199" i="10"/>
  <c r="N199" i="10"/>
  <c r="AK198" i="10"/>
  <c r="AB198" i="10"/>
  <c r="AA198" i="10"/>
  <c r="X198" i="10"/>
  <c r="Y198" i="10" s="1"/>
  <c r="V198" i="10"/>
  <c r="W198" i="10" s="1"/>
  <c r="T198" i="10"/>
  <c r="U198" i="10" s="1"/>
  <c r="S198" i="10"/>
  <c r="P198" i="10"/>
  <c r="AO198" i="10" s="1"/>
  <c r="AQ198" i="10" s="1"/>
  <c r="O198" i="10"/>
  <c r="N198" i="10"/>
  <c r="AK197" i="10"/>
  <c r="AB197" i="10"/>
  <c r="AA197" i="10"/>
  <c r="X197" i="10"/>
  <c r="Y197" i="10" s="1"/>
  <c r="V197" i="10"/>
  <c r="W197" i="10" s="1"/>
  <c r="T197" i="10"/>
  <c r="U197" i="10" s="1"/>
  <c r="S197" i="10"/>
  <c r="P197" i="10"/>
  <c r="AO197" i="10" s="1"/>
  <c r="AQ197" i="10" s="1"/>
  <c r="O197" i="10"/>
  <c r="N197" i="10"/>
  <c r="AK196" i="10"/>
  <c r="AB196" i="10"/>
  <c r="AA196" i="10"/>
  <c r="X196" i="10"/>
  <c r="Y196" i="10" s="1"/>
  <c r="V196" i="10"/>
  <c r="W196" i="10" s="1"/>
  <c r="T196" i="10"/>
  <c r="U196" i="10" s="1"/>
  <c r="S196" i="10"/>
  <c r="P196" i="10"/>
  <c r="AO196" i="10" s="1"/>
  <c r="AQ196" i="10" s="1"/>
  <c r="O196" i="10"/>
  <c r="N196" i="10"/>
  <c r="AK195" i="10"/>
  <c r="AB195" i="10"/>
  <c r="AA195" i="10"/>
  <c r="X195" i="10"/>
  <c r="Y195" i="10" s="1"/>
  <c r="V195" i="10"/>
  <c r="W195" i="10" s="1"/>
  <c r="T195" i="10"/>
  <c r="U195" i="10" s="1"/>
  <c r="S195" i="10"/>
  <c r="P195" i="10"/>
  <c r="AO195" i="10" s="1"/>
  <c r="AQ195" i="10" s="1"/>
  <c r="O195" i="10"/>
  <c r="N195" i="10"/>
  <c r="AK194" i="10"/>
  <c r="AB194" i="10"/>
  <c r="AA194" i="10"/>
  <c r="X194" i="10"/>
  <c r="Y194" i="10" s="1"/>
  <c r="V194" i="10"/>
  <c r="W194" i="10" s="1"/>
  <c r="T194" i="10"/>
  <c r="U194" i="10" s="1"/>
  <c r="S194" i="10"/>
  <c r="P194" i="10"/>
  <c r="AO194" i="10" s="1"/>
  <c r="AQ194" i="10" s="1"/>
  <c r="O194" i="10"/>
  <c r="N194" i="10"/>
  <c r="AK193" i="10"/>
  <c r="AB193" i="10"/>
  <c r="AA193" i="10"/>
  <c r="X193" i="10"/>
  <c r="Y193" i="10" s="1"/>
  <c r="V193" i="10"/>
  <c r="W193" i="10" s="1"/>
  <c r="T193" i="10"/>
  <c r="U193" i="10" s="1"/>
  <c r="S193" i="10"/>
  <c r="P193" i="10"/>
  <c r="AO193" i="10" s="1"/>
  <c r="AQ193" i="10" s="1"/>
  <c r="O193" i="10"/>
  <c r="N193" i="10"/>
  <c r="AK192" i="10"/>
  <c r="AB192" i="10"/>
  <c r="AA192" i="10"/>
  <c r="X192" i="10"/>
  <c r="Y192" i="10" s="1"/>
  <c r="V192" i="10"/>
  <c r="W192" i="10" s="1"/>
  <c r="T192" i="10"/>
  <c r="U192" i="10" s="1"/>
  <c r="S192" i="10"/>
  <c r="P192" i="10"/>
  <c r="AO192" i="10" s="1"/>
  <c r="AQ192" i="10" s="1"/>
  <c r="O192" i="10"/>
  <c r="N192" i="10"/>
  <c r="AK191" i="10"/>
  <c r="AB191" i="10"/>
  <c r="AA191" i="10"/>
  <c r="X191" i="10"/>
  <c r="Y191" i="10" s="1"/>
  <c r="V191" i="10"/>
  <c r="W191" i="10" s="1"/>
  <c r="T191" i="10"/>
  <c r="U191" i="10" s="1"/>
  <c r="S191" i="10"/>
  <c r="P191" i="10"/>
  <c r="AO191" i="10" s="1"/>
  <c r="AQ191" i="10" s="1"/>
  <c r="O191" i="10"/>
  <c r="N191" i="10"/>
  <c r="AK190" i="10"/>
  <c r="AB190" i="10"/>
  <c r="AA190" i="10"/>
  <c r="X190" i="10"/>
  <c r="Y190" i="10" s="1"/>
  <c r="V190" i="10"/>
  <c r="W190" i="10" s="1"/>
  <c r="T190" i="10"/>
  <c r="U190" i="10" s="1"/>
  <c r="S190" i="10"/>
  <c r="P190" i="10"/>
  <c r="AO190" i="10" s="1"/>
  <c r="AQ190" i="10" s="1"/>
  <c r="O190" i="10"/>
  <c r="N190" i="10"/>
  <c r="AK189" i="10"/>
  <c r="AB189" i="10"/>
  <c r="AA189" i="10"/>
  <c r="X189" i="10"/>
  <c r="Y189" i="10" s="1"/>
  <c r="V189" i="10"/>
  <c r="W189" i="10" s="1"/>
  <c r="T189" i="10"/>
  <c r="U189" i="10" s="1"/>
  <c r="S189" i="10"/>
  <c r="P189" i="10"/>
  <c r="AO189" i="10" s="1"/>
  <c r="AQ189" i="10" s="1"/>
  <c r="O189" i="10"/>
  <c r="N189" i="10"/>
  <c r="AK188" i="10"/>
  <c r="AB188" i="10"/>
  <c r="AA188" i="10"/>
  <c r="X188" i="10"/>
  <c r="Y188" i="10" s="1"/>
  <c r="V188" i="10"/>
  <c r="W188" i="10" s="1"/>
  <c r="T188" i="10"/>
  <c r="U188" i="10" s="1"/>
  <c r="S188" i="10"/>
  <c r="P188" i="10"/>
  <c r="AO188" i="10" s="1"/>
  <c r="AQ188" i="10" s="1"/>
  <c r="O188" i="10"/>
  <c r="N188" i="10"/>
  <c r="AK187" i="10"/>
  <c r="AB187" i="10"/>
  <c r="AA187" i="10"/>
  <c r="X187" i="10"/>
  <c r="Y187" i="10" s="1"/>
  <c r="V187" i="10"/>
  <c r="W187" i="10" s="1"/>
  <c r="T187" i="10"/>
  <c r="U187" i="10" s="1"/>
  <c r="S187" i="10"/>
  <c r="P187" i="10"/>
  <c r="AO187" i="10" s="1"/>
  <c r="AQ187" i="10" s="1"/>
  <c r="O187" i="10"/>
  <c r="N187" i="10"/>
  <c r="AK186" i="10"/>
  <c r="AB186" i="10"/>
  <c r="AA186" i="10"/>
  <c r="X186" i="10"/>
  <c r="Y186" i="10" s="1"/>
  <c r="V186" i="10"/>
  <c r="W186" i="10" s="1"/>
  <c r="T186" i="10"/>
  <c r="U186" i="10" s="1"/>
  <c r="S186" i="10"/>
  <c r="P186" i="10"/>
  <c r="AO186" i="10" s="1"/>
  <c r="AQ186" i="10" s="1"/>
  <c r="O186" i="10"/>
  <c r="N186" i="10"/>
  <c r="AK185" i="10"/>
  <c r="AB185" i="10"/>
  <c r="AA185" i="10"/>
  <c r="X185" i="10"/>
  <c r="Y185" i="10" s="1"/>
  <c r="V185" i="10"/>
  <c r="W185" i="10" s="1"/>
  <c r="T185" i="10"/>
  <c r="U185" i="10" s="1"/>
  <c r="S185" i="10"/>
  <c r="P185" i="10"/>
  <c r="AO185" i="10" s="1"/>
  <c r="AQ185" i="10" s="1"/>
  <c r="O185" i="10"/>
  <c r="N185" i="10"/>
  <c r="AK184" i="10"/>
  <c r="AB184" i="10"/>
  <c r="AA184" i="10"/>
  <c r="X184" i="10"/>
  <c r="Y184" i="10" s="1"/>
  <c r="V184" i="10"/>
  <c r="W184" i="10" s="1"/>
  <c r="T184" i="10"/>
  <c r="U184" i="10" s="1"/>
  <c r="S184" i="10"/>
  <c r="P184" i="10"/>
  <c r="AO184" i="10" s="1"/>
  <c r="AQ184" i="10" s="1"/>
  <c r="O184" i="10"/>
  <c r="N184" i="10"/>
  <c r="AK183" i="10"/>
  <c r="AB183" i="10"/>
  <c r="AA183" i="10"/>
  <c r="X183" i="10"/>
  <c r="Y183" i="10" s="1"/>
  <c r="V183" i="10"/>
  <c r="W183" i="10" s="1"/>
  <c r="T183" i="10"/>
  <c r="U183" i="10" s="1"/>
  <c r="S183" i="10"/>
  <c r="P183" i="10"/>
  <c r="AO183" i="10" s="1"/>
  <c r="AQ183" i="10" s="1"/>
  <c r="O183" i="10"/>
  <c r="N183" i="10"/>
  <c r="AK182" i="10"/>
  <c r="AB182" i="10"/>
  <c r="AA182" i="10"/>
  <c r="X182" i="10"/>
  <c r="Y182" i="10" s="1"/>
  <c r="V182" i="10"/>
  <c r="W182" i="10" s="1"/>
  <c r="T182" i="10"/>
  <c r="U182" i="10" s="1"/>
  <c r="S182" i="10"/>
  <c r="P182" i="10"/>
  <c r="AO182" i="10" s="1"/>
  <c r="AQ182" i="10" s="1"/>
  <c r="O182" i="10"/>
  <c r="N182" i="10"/>
  <c r="AK181" i="10"/>
  <c r="AB181" i="10"/>
  <c r="AA181" i="10"/>
  <c r="X181" i="10"/>
  <c r="Y181" i="10" s="1"/>
  <c r="V181" i="10"/>
  <c r="W181" i="10" s="1"/>
  <c r="T181" i="10"/>
  <c r="U181" i="10" s="1"/>
  <c r="S181" i="10"/>
  <c r="P181" i="10"/>
  <c r="AO181" i="10" s="1"/>
  <c r="AQ181" i="10" s="1"/>
  <c r="O181" i="10"/>
  <c r="N181" i="10"/>
  <c r="AK180" i="10"/>
  <c r="AB180" i="10"/>
  <c r="AA180" i="10"/>
  <c r="X180" i="10"/>
  <c r="Y180" i="10" s="1"/>
  <c r="V180" i="10"/>
  <c r="W180" i="10" s="1"/>
  <c r="T180" i="10"/>
  <c r="U180" i="10" s="1"/>
  <c r="S180" i="10"/>
  <c r="P180" i="10"/>
  <c r="AO180" i="10" s="1"/>
  <c r="AQ180" i="10" s="1"/>
  <c r="O180" i="10"/>
  <c r="N180" i="10"/>
  <c r="AK179" i="10"/>
  <c r="AB179" i="10"/>
  <c r="AA179" i="10"/>
  <c r="X179" i="10"/>
  <c r="Y179" i="10" s="1"/>
  <c r="V179" i="10"/>
  <c r="W179" i="10" s="1"/>
  <c r="T179" i="10"/>
  <c r="U179" i="10" s="1"/>
  <c r="S179" i="10"/>
  <c r="P179" i="10"/>
  <c r="AO179" i="10" s="1"/>
  <c r="AQ179" i="10" s="1"/>
  <c r="O179" i="10"/>
  <c r="N179" i="10"/>
  <c r="AK178" i="10"/>
  <c r="AB178" i="10"/>
  <c r="AA178" i="10"/>
  <c r="X178" i="10"/>
  <c r="Y178" i="10" s="1"/>
  <c r="V178" i="10"/>
  <c r="W178" i="10" s="1"/>
  <c r="T178" i="10"/>
  <c r="U178" i="10" s="1"/>
  <c r="S178" i="10"/>
  <c r="P178" i="10"/>
  <c r="AO178" i="10" s="1"/>
  <c r="AQ178" i="10" s="1"/>
  <c r="O178" i="10"/>
  <c r="N178" i="10"/>
  <c r="AK177" i="10"/>
  <c r="AB177" i="10"/>
  <c r="AA177" i="10"/>
  <c r="X177" i="10"/>
  <c r="Y177" i="10" s="1"/>
  <c r="V177" i="10"/>
  <c r="W177" i="10" s="1"/>
  <c r="T177" i="10"/>
  <c r="U177" i="10" s="1"/>
  <c r="S177" i="10"/>
  <c r="P177" i="10"/>
  <c r="AO177" i="10" s="1"/>
  <c r="AQ177" i="10" s="1"/>
  <c r="O177" i="10"/>
  <c r="N177" i="10"/>
  <c r="AK176" i="10"/>
  <c r="AB176" i="10"/>
  <c r="AA176" i="10"/>
  <c r="X176" i="10"/>
  <c r="Y176" i="10" s="1"/>
  <c r="V176" i="10"/>
  <c r="W176" i="10" s="1"/>
  <c r="T176" i="10"/>
  <c r="U176" i="10" s="1"/>
  <c r="S176" i="10"/>
  <c r="P176" i="10"/>
  <c r="AO176" i="10" s="1"/>
  <c r="AQ176" i="10" s="1"/>
  <c r="O176" i="10"/>
  <c r="N176" i="10"/>
  <c r="AK175" i="10"/>
  <c r="AB175" i="10"/>
  <c r="AA175" i="10"/>
  <c r="X175" i="10"/>
  <c r="Y175" i="10" s="1"/>
  <c r="V175" i="10"/>
  <c r="W175" i="10" s="1"/>
  <c r="T175" i="10"/>
  <c r="U175" i="10" s="1"/>
  <c r="S175" i="10"/>
  <c r="P175" i="10"/>
  <c r="AO175" i="10" s="1"/>
  <c r="AQ175" i="10" s="1"/>
  <c r="O175" i="10"/>
  <c r="N175" i="10"/>
  <c r="AK174" i="10"/>
  <c r="AB174" i="10"/>
  <c r="AA174" i="10"/>
  <c r="X174" i="10"/>
  <c r="Y174" i="10" s="1"/>
  <c r="V174" i="10"/>
  <c r="W174" i="10" s="1"/>
  <c r="T174" i="10"/>
  <c r="U174" i="10" s="1"/>
  <c r="S174" i="10"/>
  <c r="P174" i="10"/>
  <c r="AO174" i="10" s="1"/>
  <c r="AQ174" i="10" s="1"/>
  <c r="O174" i="10"/>
  <c r="N174" i="10"/>
  <c r="AK173" i="10"/>
  <c r="AB173" i="10"/>
  <c r="AA173" i="10"/>
  <c r="X173" i="10"/>
  <c r="Y173" i="10" s="1"/>
  <c r="V173" i="10"/>
  <c r="W173" i="10" s="1"/>
  <c r="T173" i="10"/>
  <c r="U173" i="10" s="1"/>
  <c r="S173" i="10"/>
  <c r="P173" i="10"/>
  <c r="AO173" i="10" s="1"/>
  <c r="AQ173" i="10" s="1"/>
  <c r="O173" i="10"/>
  <c r="N173" i="10"/>
  <c r="AK172" i="10"/>
  <c r="AB172" i="10"/>
  <c r="AA172" i="10"/>
  <c r="X172" i="10"/>
  <c r="Y172" i="10" s="1"/>
  <c r="V172" i="10"/>
  <c r="W172" i="10" s="1"/>
  <c r="T172" i="10"/>
  <c r="U172" i="10" s="1"/>
  <c r="S172" i="10"/>
  <c r="P172" i="10"/>
  <c r="AO172" i="10" s="1"/>
  <c r="AQ172" i="10" s="1"/>
  <c r="O172" i="10"/>
  <c r="N172" i="10"/>
  <c r="AK171" i="10"/>
  <c r="AB171" i="10"/>
  <c r="AA171" i="10"/>
  <c r="X171" i="10"/>
  <c r="Y171" i="10" s="1"/>
  <c r="V171" i="10"/>
  <c r="W171" i="10" s="1"/>
  <c r="T171" i="10"/>
  <c r="U171" i="10" s="1"/>
  <c r="S171" i="10"/>
  <c r="P171" i="10"/>
  <c r="AO171" i="10" s="1"/>
  <c r="AQ171" i="10" s="1"/>
  <c r="O171" i="10"/>
  <c r="N171" i="10"/>
  <c r="AK170" i="10"/>
  <c r="AB170" i="10"/>
  <c r="AA170" i="10"/>
  <c r="X170" i="10"/>
  <c r="Y170" i="10" s="1"/>
  <c r="V170" i="10"/>
  <c r="W170" i="10" s="1"/>
  <c r="T170" i="10"/>
  <c r="U170" i="10" s="1"/>
  <c r="S170" i="10"/>
  <c r="P170" i="10"/>
  <c r="AO170" i="10" s="1"/>
  <c r="AQ170" i="10" s="1"/>
  <c r="O170" i="10"/>
  <c r="N170" i="10"/>
  <c r="AK169" i="10"/>
  <c r="AB169" i="10"/>
  <c r="AA169" i="10"/>
  <c r="X169" i="10"/>
  <c r="Y169" i="10" s="1"/>
  <c r="V169" i="10"/>
  <c r="W169" i="10" s="1"/>
  <c r="T169" i="10"/>
  <c r="U169" i="10" s="1"/>
  <c r="S169" i="10"/>
  <c r="P169" i="10"/>
  <c r="AO169" i="10" s="1"/>
  <c r="AQ169" i="10" s="1"/>
  <c r="O169" i="10"/>
  <c r="N169" i="10"/>
  <c r="AK168" i="10"/>
  <c r="AB168" i="10"/>
  <c r="AA168" i="10"/>
  <c r="X168" i="10"/>
  <c r="Y168" i="10" s="1"/>
  <c r="V168" i="10"/>
  <c r="W168" i="10" s="1"/>
  <c r="T168" i="10"/>
  <c r="U168" i="10" s="1"/>
  <c r="S168" i="10"/>
  <c r="P168" i="10"/>
  <c r="AO168" i="10" s="1"/>
  <c r="AQ168" i="10" s="1"/>
  <c r="O168" i="10"/>
  <c r="N168" i="10"/>
  <c r="AK167" i="10"/>
  <c r="AB167" i="10"/>
  <c r="AA167" i="10"/>
  <c r="X167" i="10"/>
  <c r="Y167" i="10" s="1"/>
  <c r="V167" i="10"/>
  <c r="W167" i="10" s="1"/>
  <c r="T167" i="10"/>
  <c r="U167" i="10" s="1"/>
  <c r="S167" i="10"/>
  <c r="P167" i="10"/>
  <c r="AO167" i="10" s="1"/>
  <c r="AQ167" i="10" s="1"/>
  <c r="O167" i="10"/>
  <c r="N167" i="10"/>
  <c r="AO166" i="10"/>
  <c r="AQ166" i="10" s="1"/>
  <c r="AK166" i="10"/>
  <c r="AL166" i="10" s="1"/>
  <c r="AB166" i="10"/>
  <c r="AA166" i="10"/>
  <c r="X166" i="10"/>
  <c r="Y166" i="10" s="1"/>
  <c r="V166" i="10"/>
  <c r="W166" i="10" s="1"/>
  <c r="T166" i="10"/>
  <c r="U166" i="10" s="1"/>
  <c r="S166" i="10"/>
  <c r="P166" i="10"/>
  <c r="O166" i="10"/>
  <c r="N166" i="10"/>
  <c r="AK165" i="10"/>
  <c r="AB165" i="10"/>
  <c r="AA165" i="10"/>
  <c r="X165" i="10"/>
  <c r="Y165" i="10" s="1"/>
  <c r="V165" i="10"/>
  <c r="W165" i="10" s="1"/>
  <c r="T165" i="10"/>
  <c r="U165" i="10" s="1"/>
  <c r="S165" i="10"/>
  <c r="P165" i="10"/>
  <c r="AO165" i="10" s="1"/>
  <c r="AQ165" i="10" s="1"/>
  <c r="O165" i="10"/>
  <c r="N165" i="10"/>
  <c r="AK164" i="10"/>
  <c r="AB164" i="10"/>
  <c r="AA164" i="10"/>
  <c r="X164" i="10"/>
  <c r="Y164" i="10" s="1"/>
  <c r="V164" i="10"/>
  <c r="W164" i="10" s="1"/>
  <c r="T164" i="10"/>
  <c r="U164" i="10" s="1"/>
  <c r="S164" i="10"/>
  <c r="P164" i="10"/>
  <c r="AO164" i="10" s="1"/>
  <c r="AQ164" i="10" s="1"/>
  <c r="O164" i="10"/>
  <c r="N164" i="10"/>
  <c r="AK163" i="10"/>
  <c r="AB163" i="10"/>
  <c r="AA163" i="10"/>
  <c r="X163" i="10"/>
  <c r="Y163" i="10" s="1"/>
  <c r="V163" i="10"/>
  <c r="W163" i="10" s="1"/>
  <c r="T163" i="10"/>
  <c r="U163" i="10" s="1"/>
  <c r="S163" i="10"/>
  <c r="P163" i="10"/>
  <c r="AO163" i="10" s="1"/>
  <c r="AQ163" i="10" s="1"/>
  <c r="O163" i="10"/>
  <c r="N163" i="10"/>
  <c r="AK162" i="10"/>
  <c r="AB162" i="10"/>
  <c r="AA162" i="10"/>
  <c r="X162" i="10"/>
  <c r="Y162" i="10" s="1"/>
  <c r="V162" i="10"/>
  <c r="W162" i="10" s="1"/>
  <c r="T162" i="10"/>
  <c r="U162" i="10" s="1"/>
  <c r="S162" i="10"/>
  <c r="P162" i="10"/>
  <c r="AO162" i="10" s="1"/>
  <c r="AQ162" i="10" s="1"/>
  <c r="O162" i="10"/>
  <c r="N162" i="10"/>
  <c r="AK161" i="10"/>
  <c r="AB161" i="10"/>
  <c r="AA161" i="10"/>
  <c r="X161" i="10"/>
  <c r="Y161" i="10" s="1"/>
  <c r="V161" i="10"/>
  <c r="W161" i="10" s="1"/>
  <c r="T161" i="10"/>
  <c r="U161" i="10" s="1"/>
  <c r="S161" i="10"/>
  <c r="P161" i="10"/>
  <c r="AO161" i="10" s="1"/>
  <c r="AQ161" i="10" s="1"/>
  <c r="O161" i="10"/>
  <c r="N161" i="10"/>
  <c r="AK160" i="10"/>
  <c r="AB160" i="10"/>
  <c r="AA160" i="10"/>
  <c r="X160" i="10"/>
  <c r="Y160" i="10" s="1"/>
  <c r="V160" i="10"/>
  <c r="W160" i="10" s="1"/>
  <c r="T160" i="10"/>
  <c r="U160" i="10" s="1"/>
  <c r="S160" i="10"/>
  <c r="P160" i="10"/>
  <c r="AO160" i="10" s="1"/>
  <c r="AQ160" i="10" s="1"/>
  <c r="O160" i="10"/>
  <c r="N160" i="10"/>
  <c r="AK159" i="10"/>
  <c r="AB159" i="10"/>
  <c r="AA159" i="10"/>
  <c r="X159" i="10"/>
  <c r="Y159" i="10" s="1"/>
  <c r="V159" i="10"/>
  <c r="W159" i="10" s="1"/>
  <c r="T159" i="10"/>
  <c r="U159" i="10" s="1"/>
  <c r="S159" i="10"/>
  <c r="P159" i="10"/>
  <c r="AO159" i="10" s="1"/>
  <c r="AQ159" i="10" s="1"/>
  <c r="O159" i="10"/>
  <c r="N159" i="10"/>
  <c r="AK158" i="10"/>
  <c r="AB158" i="10"/>
  <c r="AA158" i="10"/>
  <c r="X158" i="10"/>
  <c r="Y158" i="10" s="1"/>
  <c r="V158" i="10"/>
  <c r="W158" i="10" s="1"/>
  <c r="T158" i="10"/>
  <c r="U158" i="10" s="1"/>
  <c r="S158" i="10"/>
  <c r="P158" i="10"/>
  <c r="AO158" i="10" s="1"/>
  <c r="AQ158" i="10" s="1"/>
  <c r="O158" i="10"/>
  <c r="N158" i="10"/>
  <c r="AK157" i="10"/>
  <c r="AB157" i="10"/>
  <c r="AA157" i="10"/>
  <c r="X157" i="10"/>
  <c r="Y157" i="10" s="1"/>
  <c r="V157" i="10"/>
  <c r="W157" i="10" s="1"/>
  <c r="T157" i="10"/>
  <c r="U157" i="10" s="1"/>
  <c r="S157" i="10"/>
  <c r="P157" i="10"/>
  <c r="AO157" i="10" s="1"/>
  <c r="AQ157" i="10" s="1"/>
  <c r="O157" i="10"/>
  <c r="N157" i="10"/>
  <c r="AK156" i="10"/>
  <c r="AB156" i="10"/>
  <c r="AA156" i="10"/>
  <c r="X156" i="10"/>
  <c r="Y156" i="10" s="1"/>
  <c r="V156" i="10"/>
  <c r="W156" i="10" s="1"/>
  <c r="T156" i="10"/>
  <c r="U156" i="10" s="1"/>
  <c r="S156" i="10"/>
  <c r="P156" i="10"/>
  <c r="AO156" i="10" s="1"/>
  <c r="AQ156" i="10" s="1"/>
  <c r="O156" i="10"/>
  <c r="N156" i="10"/>
  <c r="AK155" i="10"/>
  <c r="AB155" i="10"/>
  <c r="AA155" i="10"/>
  <c r="X155" i="10"/>
  <c r="Y155" i="10" s="1"/>
  <c r="V155" i="10"/>
  <c r="W155" i="10" s="1"/>
  <c r="T155" i="10"/>
  <c r="U155" i="10" s="1"/>
  <c r="S155" i="10"/>
  <c r="P155" i="10"/>
  <c r="AO155" i="10" s="1"/>
  <c r="AQ155" i="10" s="1"/>
  <c r="O155" i="10"/>
  <c r="N155" i="10"/>
  <c r="AK154" i="10"/>
  <c r="AB154" i="10"/>
  <c r="AA154" i="10"/>
  <c r="X154" i="10"/>
  <c r="Y154" i="10" s="1"/>
  <c r="V154" i="10"/>
  <c r="W154" i="10" s="1"/>
  <c r="T154" i="10"/>
  <c r="U154" i="10" s="1"/>
  <c r="S154" i="10"/>
  <c r="P154" i="10"/>
  <c r="AO154" i="10" s="1"/>
  <c r="AQ154" i="10" s="1"/>
  <c r="O154" i="10"/>
  <c r="N154" i="10"/>
  <c r="AK153" i="10"/>
  <c r="AB153" i="10"/>
  <c r="AA153" i="10"/>
  <c r="X153" i="10"/>
  <c r="Y153" i="10" s="1"/>
  <c r="V153" i="10"/>
  <c r="W153" i="10" s="1"/>
  <c r="T153" i="10"/>
  <c r="U153" i="10" s="1"/>
  <c r="S153" i="10"/>
  <c r="P153" i="10"/>
  <c r="AO153" i="10" s="1"/>
  <c r="AQ153" i="10" s="1"/>
  <c r="O153" i="10"/>
  <c r="N153" i="10"/>
  <c r="AK152" i="10"/>
  <c r="AB152" i="10"/>
  <c r="AA152" i="10"/>
  <c r="X152" i="10"/>
  <c r="Y152" i="10" s="1"/>
  <c r="V152" i="10"/>
  <c r="W152" i="10" s="1"/>
  <c r="T152" i="10"/>
  <c r="U152" i="10" s="1"/>
  <c r="S152" i="10"/>
  <c r="P152" i="10"/>
  <c r="AO152" i="10" s="1"/>
  <c r="AQ152" i="10" s="1"/>
  <c r="O152" i="10"/>
  <c r="N152" i="10"/>
  <c r="AK151" i="10"/>
  <c r="AB151" i="10"/>
  <c r="AA151" i="10"/>
  <c r="X151" i="10"/>
  <c r="Y151" i="10" s="1"/>
  <c r="V151" i="10"/>
  <c r="W151" i="10" s="1"/>
  <c r="T151" i="10"/>
  <c r="U151" i="10" s="1"/>
  <c r="S151" i="10"/>
  <c r="P151" i="10"/>
  <c r="AO151" i="10" s="1"/>
  <c r="AQ151" i="10" s="1"/>
  <c r="O151" i="10"/>
  <c r="N151" i="10"/>
  <c r="AK150" i="10"/>
  <c r="AB150" i="10"/>
  <c r="AA150" i="10"/>
  <c r="X150" i="10"/>
  <c r="Y150" i="10" s="1"/>
  <c r="V150" i="10"/>
  <c r="W150" i="10" s="1"/>
  <c r="T150" i="10"/>
  <c r="U150" i="10" s="1"/>
  <c r="S150" i="10"/>
  <c r="P150" i="10"/>
  <c r="AO150" i="10" s="1"/>
  <c r="AQ150" i="10" s="1"/>
  <c r="O150" i="10"/>
  <c r="N150" i="10"/>
  <c r="AK149" i="10"/>
  <c r="AB149" i="10"/>
  <c r="AA149" i="10"/>
  <c r="X149" i="10"/>
  <c r="Y149" i="10" s="1"/>
  <c r="V149" i="10"/>
  <c r="W149" i="10" s="1"/>
  <c r="T149" i="10"/>
  <c r="U149" i="10" s="1"/>
  <c r="S149" i="10"/>
  <c r="P149" i="10"/>
  <c r="AO149" i="10" s="1"/>
  <c r="AQ149" i="10" s="1"/>
  <c r="O149" i="10"/>
  <c r="N149" i="10"/>
  <c r="AK148" i="10"/>
  <c r="AB148" i="10"/>
  <c r="AA148" i="10"/>
  <c r="X148" i="10"/>
  <c r="Y148" i="10" s="1"/>
  <c r="V148" i="10"/>
  <c r="W148" i="10" s="1"/>
  <c r="T148" i="10"/>
  <c r="U148" i="10" s="1"/>
  <c r="S148" i="10"/>
  <c r="P148" i="10"/>
  <c r="AO148" i="10" s="1"/>
  <c r="AQ148" i="10" s="1"/>
  <c r="O148" i="10"/>
  <c r="N148" i="10"/>
  <c r="AK147" i="10"/>
  <c r="AB147" i="10"/>
  <c r="AA147" i="10"/>
  <c r="X147" i="10"/>
  <c r="Y147" i="10" s="1"/>
  <c r="V147" i="10"/>
  <c r="W147" i="10" s="1"/>
  <c r="T147" i="10"/>
  <c r="U147" i="10" s="1"/>
  <c r="S147" i="10"/>
  <c r="P147" i="10"/>
  <c r="AO147" i="10" s="1"/>
  <c r="AQ147" i="10" s="1"/>
  <c r="O147" i="10"/>
  <c r="N147" i="10"/>
  <c r="AK146" i="10"/>
  <c r="AB146" i="10"/>
  <c r="AA146" i="10"/>
  <c r="X146" i="10"/>
  <c r="Y146" i="10" s="1"/>
  <c r="V146" i="10"/>
  <c r="W146" i="10" s="1"/>
  <c r="T146" i="10"/>
  <c r="U146" i="10" s="1"/>
  <c r="S146" i="10"/>
  <c r="P146" i="10"/>
  <c r="AO146" i="10" s="1"/>
  <c r="AQ146" i="10" s="1"/>
  <c r="O146" i="10"/>
  <c r="N146" i="10"/>
  <c r="AK145" i="10"/>
  <c r="AB145" i="10"/>
  <c r="AA145" i="10"/>
  <c r="X145" i="10"/>
  <c r="Y145" i="10" s="1"/>
  <c r="V145" i="10"/>
  <c r="W145" i="10" s="1"/>
  <c r="T145" i="10"/>
  <c r="U145" i="10" s="1"/>
  <c r="S145" i="10"/>
  <c r="P145" i="10"/>
  <c r="AO145" i="10" s="1"/>
  <c r="AQ145" i="10" s="1"/>
  <c r="O145" i="10"/>
  <c r="N145" i="10"/>
  <c r="AK144" i="10"/>
  <c r="AB144" i="10"/>
  <c r="AA144" i="10"/>
  <c r="X144" i="10"/>
  <c r="Y144" i="10" s="1"/>
  <c r="V144" i="10"/>
  <c r="W144" i="10" s="1"/>
  <c r="T144" i="10"/>
  <c r="U144" i="10" s="1"/>
  <c r="S144" i="10"/>
  <c r="P144" i="10"/>
  <c r="AO144" i="10" s="1"/>
  <c r="AQ144" i="10" s="1"/>
  <c r="O144" i="10"/>
  <c r="N144" i="10"/>
  <c r="AK143" i="10"/>
  <c r="AB143" i="10"/>
  <c r="AA143" i="10"/>
  <c r="X143" i="10"/>
  <c r="Y143" i="10" s="1"/>
  <c r="V143" i="10"/>
  <c r="W143" i="10" s="1"/>
  <c r="T143" i="10"/>
  <c r="U143" i="10" s="1"/>
  <c r="S143" i="10"/>
  <c r="P143" i="10"/>
  <c r="AO143" i="10" s="1"/>
  <c r="AQ143" i="10" s="1"/>
  <c r="O143" i="10"/>
  <c r="N143" i="10"/>
  <c r="AK142" i="10"/>
  <c r="AB142" i="10"/>
  <c r="AA142" i="10"/>
  <c r="X142" i="10"/>
  <c r="Y142" i="10" s="1"/>
  <c r="V142" i="10"/>
  <c r="W142" i="10" s="1"/>
  <c r="T142" i="10"/>
  <c r="U142" i="10" s="1"/>
  <c r="S142" i="10"/>
  <c r="P142" i="10"/>
  <c r="AO142" i="10" s="1"/>
  <c r="AQ142" i="10" s="1"/>
  <c r="O142" i="10"/>
  <c r="N142" i="10"/>
  <c r="AK141" i="10"/>
  <c r="AB141" i="10"/>
  <c r="AA141" i="10"/>
  <c r="X141" i="10"/>
  <c r="Y141" i="10" s="1"/>
  <c r="V141" i="10"/>
  <c r="W141" i="10" s="1"/>
  <c r="T141" i="10"/>
  <c r="U141" i="10" s="1"/>
  <c r="S141" i="10"/>
  <c r="P141" i="10"/>
  <c r="AO141" i="10" s="1"/>
  <c r="AQ141" i="10" s="1"/>
  <c r="O141" i="10"/>
  <c r="N141" i="10"/>
  <c r="AK140" i="10"/>
  <c r="AB140" i="10"/>
  <c r="AA140" i="10"/>
  <c r="X140" i="10"/>
  <c r="Y140" i="10" s="1"/>
  <c r="V140" i="10"/>
  <c r="W140" i="10" s="1"/>
  <c r="T140" i="10"/>
  <c r="U140" i="10" s="1"/>
  <c r="S140" i="10"/>
  <c r="P140" i="10"/>
  <c r="AO140" i="10" s="1"/>
  <c r="AQ140" i="10" s="1"/>
  <c r="O140" i="10"/>
  <c r="N140" i="10"/>
  <c r="AK139" i="10"/>
  <c r="AB139" i="10"/>
  <c r="AA139" i="10"/>
  <c r="X139" i="10"/>
  <c r="Y139" i="10" s="1"/>
  <c r="V139" i="10"/>
  <c r="W139" i="10" s="1"/>
  <c r="T139" i="10"/>
  <c r="U139" i="10" s="1"/>
  <c r="S139" i="10"/>
  <c r="P139" i="10"/>
  <c r="AO139" i="10" s="1"/>
  <c r="AQ139" i="10" s="1"/>
  <c r="O139" i="10"/>
  <c r="N139" i="10"/>
  <c r="AK138" i="10"/>
  <c r="AB138" i="10"/>
  <c r="AA138" i="10"/>
  <c r="X138" i="10"/>
  <c r="Y138" i="10" s="1"/>
  <c r="V138" i="10"/>
  <c r="W138" i="10" s="1"/>
  <c r="T138" i="10"/>
  <c r="U138" i="10" s="1"/>
  <c r="S138" i="10"/>
  <c r="P138" i="10"/>
  <c r="AO138" i="10" s="1"/>
  <c r="AQ138" i="10" s="1"/>
  <c r="O138" i="10"/>
  <c r="N138" i="10"/>
  <c r="AK137" i="10"/>
  <c r="AB137" i="10"/>
  <c r="AA137" i="10"/>
  <c r="X137" i="10"/>
  <c r="Y137" i="10" s="1"/>
  <c r="V137" i="10"/>
  <c r="W137" i="10" s="1"/>
  <c r="T137" i="10"/>
  <c r="U137" i="10" s="1"/>
  <c r="S137" i="10"/>
  <c r="P137" i="10"/>
  <c r="AO137" i="10" s="1"/>
  <c r="AQ137" i="10" s="1"/>
  <c r="O137" i="10"/>
  <c r="N137" i="10"/>
  <c r="AK136" i="10"/>
  <c r="AB136" i="10"/>
  <c r="AA136" i="10"/>
  <c r="X136" i="10"/>
  <c r="Y136" i="10" s="1"/>
  <c r="V136" i="10"/>
  <c r="W136" i="10" s="1"/>
  <c r="T136" i="10"/>
  <c r="U136" i="10" s="1"/>
  <c r="S136" i="10"/>
  <c r="P136" i="10"/>
  <c r="AO136" i="10" s="1"/>
  <c r="AQ136" i="10" s="1"/>
  <c r="O136" i="10"/>
  <c r="N136" i="10"/>
  <c r="AK135" i="10"/>
  <c r="AB135" i="10"/>
  <c r="AA135" i="10"/>
  <c r="X135" i="10"/>
  <c r="Y135" i="10" s="1"/>
  <c r="V135" i="10"/>
  <c r="W135" i="10" s="1"/>
  <c r="T135" i="10"/>
  <c r="U135" i="10" s="1"/>
  <c r="S135" i="10"/>
  <c r="P135" i="10"/>
  <c r="AO135" i="10" s="1"/>
  <c r="AQ135" i="10" s="1"/>
  <c r="O135" i="10"/>
  <c r="N135" i="10"/>
  <c r="AK134" i="10"/>
  <c r="AB134" i="10"/>
  <c r="AA134" i="10"/>
  <c r="X134" i="10"/>
  <c r="Y134" i="10" s="1"/>
  <c r="V134" i="10"/>
  <c r="W134" i="10" s="1"/>
  <c r="T134" i="10"/>
  <c r="U134" i="10" s="1"/>
  <c r="S134" i="10"/>
  <c r="P134" i="10"/>
  <c r="AO134" i="10" s="1"/>
  <c r="AQ134" i="10" s="1"/>
  <c r="O134" i="10"/>
  <c r="N134" i="10"/>
  <c r="AK133" i="10"/>
  <c r="AB133" i="10"/>
  <c r="AA133" i="10"/>
  <c r="X133" i="10"/>
  <c r="Y133" i="10" s="1"/>
  <c r="V133" i="10"/>
  <c r="W133" i="10" s="1"/>
  <c r="T133" i="10"/>
  <c r="U133" i="10" s="1"/>
  <c r="S133" i="10"/>
  <c r="P133" i="10"/>
  <c r="AO133" i="10" s="1"/>
  <c r="AQ133" i="10" s="1"/>
  <c r="O133" i="10"/>
  <c r="N133" i="10"/>
  <c r="AK132" i="10"/>
  <c r="AB132" i="10"/>
  <c r="AA132" i="10"/>
  <c r="X132" i="10"/>
  <c r="Y132" i="10" s="1"/>
  <c r="V132" i="10"/>
  <c r="W132" i="10" s="1"/>
  <c r="T132" i="10"/>
  <c r="U132" i="10" s="1"/>
  <c r="S132" i="10"/>
  <c r="P132" i="10"/>
  <c r="AO132" i="10" s="1"/>
  <c r="AQ132" i="10" s="1"/>
  <c r="O132" i="10"/>
  <c r="N132" i="10"/>
  <c r="AK131" i="10"/>
  <c r="AB131" i="10"/>
  <c r="AA131" i="10"/>
  <c r="X131" i="10"/>
  <c r="Y131" i="10" s="1"/>
  <c r="V131" i="10"/>
  <c r="W131" i="10" s="1"/>
  <c r="T131" i="10"/>
  <c r="U131" i="10" s="1"/>
  <c r="S131" i="10"/>
  <c r="P131" i="10"/>
  <c r="AO131" i="10" s="1"/>
  <c r="AQ131" i="10" s="1"/>
  <c r="O131" i="10"/>
  <c r="N131" i="10"/>
  <c r="AK130" i="10"/>
  <c r="AB130" i="10"/>
  <c r="AA130" i="10"/>
  <c r="X130" i="10"/>
  <c r="Y130" i="10" s="1"/>
  <c r="V130" i="10"/>
  <c r="W130" i="10" s="1"/>
  <c r="T130" i="10"/>
  <c r="U130" i="10" s="1"/>
  <c r="S130" i="10"/>
  <c r="P130" i="10"/>
  <c r="AO130" i="10" s="1"/>
  <c r="AQ130" i="10" s="1"/>
  <c r="O130" i="10"/>
  <c r="N130" i="10"/>
  <c r="AK129" i="10"/>
  <c r="AB129" i="10"/>
  <c r="AA129" i="10"/>
  <c r="X129" i="10"/>
  <c r="Y129" i="10" s="1"/>
  <c r="V129" i="10"/>
  <c r="W129" i="10" s="1"/>
  <c r="T129" i="10"/>
  <c r="U129" i="10" s="1"/>
  <c r="S129" i="10"/>
  <c r="P129" i="10"/>
  <c r="AO129" i="10" s="1"/>
  <c r="AQ129" i="10" s="1"/>
  <c r="O129" i="10"/>
  <c r="N129" i="10"/>
  <c r="AK128" i="10"/>
  <c r="AB128" i="10"/>
  <c r="AA128" i="10"/>
  <c r="X128" i="10"/>
  <c r="Y128" i="10" s="1"/>
  <c r="V128" i="10"/>
  <c r="W128" i="10" s="1"/>
  <c r="T128" i="10"/>
  <c r="U128" i="10" s="1"/>
  <c r="S128" i="10"/>
  <c r="P128" i="10"/>
  <c r="AO128" i="10" s="1"/>
  <c r="AQ128" i="10" s="1"/>
  <c r="O128" i="10"/>
  <c r="N128" i="10"/>
  <c r="AK127" i="10"/>
  <c r="AB127" i="10"/>
  <c r="AA127" i="10"/>
  <c r="X127" i="10"/>
  <c r="Y127" i="10" s="1"/>
  <c r="V127" i="10"/>
  <c r="W127" i="10" s="1"/>
  <c r="T127" i="10"/>
  <c r="U127" i="10" s="1"/>
  <c r="S127" i="10"/>
  <c r="P127" i="10"/>
  <c r="AO127" i="10" s="1"/>
  <c r="AQ127" i="10" s="1"/>
  <c r="O127" i="10"/>
  <c r="N127" i="10"/>
  <c r="AK126" i="10"/>
  <c r="AB126" i="10"/>
  <c r="AA126" i="10"/>
  <c r="X126" i="10"/>
  <c r="Y126" i="10" s="1"/>
  <c r="V126" i="10"/>
  <c r="W126" i="10" s="1"/>
  <c r="T126" i="10"/>
  <c r="U126" i="10" s="1"/>
  <c r="S126" i="10"/>
  <c r="P126" i="10"/>
  <c r="AO126" i="10" s="1"/>
  <c r="AQ126" i="10" s="1"/>
  <c r="O126" i="10"/>
  <c r="N126" i="10"/>
  <c r="AK125" i="10"/>
  <c r="AB125" i="10"/>
  <c r="AA125" i="10"/>
  <c r="X125" i="10"/>
  <c r="Y125" i="10" s="1"/>
  <c r="V125" i="10"/>
  <c r="W125" i="10" s="1"/>
  <c r="T125" i="10"/>
  <c r="U125" i="10" s="1"/>
  <c r="S125" i="10"/>
  <c r="P125" i="10"/>
  <c r="AO125" i="10" s="1"/>
  <c r="AQ125" i="10" s="1"/>
  <c r="O125" i="10"/>
  <c r="N125" i="10"/>
  <c r="AK124" i="10"/>
  <c r="AB124" i="10"/>
  <c r="AA124" i="10"/>
  <c r="X124" i="10"/>
  <c r="Y124" i="10" s="1"/>
  <c r="V124" i="10"/>
  <c r="W124" i="10" s="1"/>
  <c r="T124" i="10"/>
  <c r="U124" i="10" s="1"/>
  <c r="S124" i="10"/>
  <c r="P124" i="10"/>
  <c r="AO124" i="10" s="1"/>
  <c r="AQ124" i="10" s="1"/>
  <c r="O124" i="10"/>
  <c r="N124" i="10"/>
  <c r="AK123" i="10"/>
  <c r="AB123" i="10"/>
  <c r="AA123" i="10"/>
  <c r="X123" i="10"/>
  <c r="Y123" i="10" s="1"/>
  <c r="V123" i="10"/>
  <c r="W123" i="10" s="1"/>
  <c r="T123" i="10"/>
  <c r="U123" i="10" s="1"/>
  <c r="S123" i="10"/>
  <c r="P123" i="10"/>
  <c r="AO123" i="10" s="1"/>
  <c r="AQ123" i="10" s="1"/>
  <c r="O123" i="10"/>
  <c r="N123" i="10"/>
  <c r="AK122" i="10"/>
  <c r="AB122" i="10"/>
  <c r="AA122" i="10"/>
  <c r="X122" i="10"/>
  <c r="Y122" i="10" s="1"/>
  <c r="V122" i="10"/>
  <c r="W122" i="10" s="1"/>
  <c r="T122" i="10"/>
  <c r="U122" i="10" s="1"/>
  <c r="S122" i="10"/>
  <c r="P122" i="10"/>
  <c r="AO122" i="10" s="1"/>
  <c r="AQ122" i="10" s="1"/>
  <c r="O122" i="10"/>
  <c r="N122" i="10"/>
  <c r="AK121" i="10"/>
  <c r="AB121" i="10"/>
  <c r="AA121" i="10"/>
  <c r="X121" i="10"/>
  <c r="Y121" i="10" s="1"/>
  <c r="V121" i="10"/>
  <c r="W121" i="10" s="1"/>
  <c r="T121" i="10"/>
  <c r="U121" i="10" s="1"/>
  <c r="S121" i="10"/>
  <c r="P121" i="10"/>
  <c r="AO121" i="10" s="1"/>
  <c r="AQ121" i="10" s="1"/>
  <c r="O121" i="10"/>
  <c r="N121" i="10"/>
  <c r="AK120" i="10"/>
  <c r="AB120" i="10"/>
  <c r="AA120" i="10"/>
  <c r="X120" i="10"/>
  <c r="Y120" i="10" s="1"/>
  <c r="V120" i="10"/>
  <c r="W120" i="10" s="1"/>
  <c r="T120" i="10"/>
  <c r="U120" i="10" s="1"/>
  <c r="S120" i="10"/>
  <c r="P120" i="10"/>
  <c r="AO120" i="10" s="1"/>
  <c r="AQ120" i="10" s="1"/>
  <c r="O120" i="10"/>
  <c r="N120" i="10"/>
  <c r="AK119" i="10"/>
  <c r="AB119" i="10"/>
  <c r="AA119" i="10"/>
  <c r="X119" i="10"/>
  <c r="Y119" i="10" s="1"/>
  <c r="V119" i="10"/>
  <c r="W119" i="10" s="1"/>
  <c r="T119" i="10"/>
  <c r="U119" i="10" s="1"/>
  <c r="S119" i="10"/>
  <c r="P119" i="10"/>
  <c r="AO119" i="10" s="1"/>
  <c r="AQ119" i="10" s="1"/>
  <c r="O119" i="10"/>
  <c r="N119" i="10"/>
  <c r="AK118" i="10"/>
  <c r="AB118" i="10"/>
  <c r="AA118" i="10"/>
  <c r="X118" i="10"/>
  <c r="Y118" i="10" s="1"/>
  <c r="V118" i="10"/>
  <c r="W118" i="10" s="1"/>
  <c r="T118" i="10"/>
  <c r="U118" i="10" s="1"/>
  <c r="S118" i="10"/>
  <c r="P118" i="10"/>
  <c r="AO118" i="10" s="1"/>
  <c r="AQ118" i="10" s="1"/>
  <c r="O118" i="10"/>
  <c r="N118" i="10"/>
  <c r="AK117" i="10"/>
  <c r="AB117" i="10"/>
  <c r="AA117" i="10"/>
  <c r="X117" i="10"/>
  <c r="Y117" i="10" s="1"/>
  <c r="V117" i="10"/>
  <c r="W117" i="10" s="1"/>
  <c r="T117" i="10"/>
  <c r="U117" i="10" s="1"/>
  <c r="S117" i="10"/>
  <c r="P117" i="10"/>
  <c r="AO117" i="10" s="1"/>
  <c r="AQ117" i="10" s="1"/>
  <c r="O117" i="10"/>
  <c r="N117" i="10"/>
  <c r="AK116" i="10"/>
  <c r="AB116" i="10"/>
  <c r="AA116" i="10"/>
  <c r="X116" i="10"/>
  <c r="Y116" i="10" s="1"/>
  <c r="V116" i="10"/>
  <c r="W116" i="10" s="1"/>
  <c r="T116" i="10"/>
  <c r="U116" i="10" s="1"/>
  <c r="S116" i="10"/>
  <c r="P116" i="10"/>
  <c r="AO116" i="10" s="1"/>
  <c r="AQ116" i="10" s="1"/>
  <c r="O116" i="10"/>
  <c r="N116" i="10"/>
  <c r="AK115" i="10"/>
  <c r="AB115" i="10"/>
  <c r="AA115" i="10"/>
  <c r="X115" i="10"/>
  <c r="Y115" i="10" s="1"/>
  <c r="V115" i="10"/>
  <c r="W115" i="10" s="1"/>
  <c r="T115" i="10"/>
  <c r="U115" i="10" s="1"/>
  <c r="S115" i="10"/>
  <c r="P115" i="10"/>
  <c r="AO115" i="10" s="1"/>
  <c r="AQ115" i="10" s="1"/>
  <c r="O115" i="10"/>
  <c r="N115" i="10"/>
  <c r="AK114" i="10"/>
  <c r="AB114" i="10"/>
  <c r="AA114" i="10"/>
  <c r="X114" i="10"/>
  <c r="Y114" i="10" s="1"/>
  <c r="V114" i="10"/>
  <c r="W114" i="10" s="1"/>
  <c r="T114" i="10"/>
  <c r="U114" i="10" s="1"/>
  <c r="S114" i="10"/>
  <c r="P114" i="10"/>
  <c r="AO114" i="10" s="1"/>
  <c r="AQ114" i="10" s="1"/>
  <c r="O114" i="10"/>
  <c r="N114" i="10"/>
  <c r="AK113" i="10"/>
  <c r="AB113" i="10"/>
  <c r="AA113" i="10"/>
  <c r="X113" i="10"/>
  <c r="Y113" i="10" s="1"/>
  <c r="V113" i="10"/>
  <c r="W113" i="10" s="1"/>
  <c r="T113" i="10"/>
  <c r="U113" i="10" s="1"/>
  <c r="S113" i="10"/>
  <c r="P113" i="10"/>
  <c r="AO113" i="10" s="1"/>
  <c r="AQ113" i="10" s="1"/>
  <c r="O113" i="10"/>
  <c r="N113" i="10"/>
  <c r="AK112" i="10"/>
  <c r="AB112" i="10"/>
  <c r="AA112" i="10"/>
  <c r="X112" i="10"/>
  <c r="Y112" i="10" s="1"/>
  <c r="V112" i="10"/>
  <c r="W112" i="10" s="1"/>
  <c r="T112" i="10"/>
  <c r="U112" i="10" s="1"/>
  <c r="S112" i="10"/>
  <c r="P112" i="10"/>
  <c r="AO112" i="10" s="1"/>
  <c r="AQ112" i="10" s="1"/>
  <c r="O112" i="10"/>
  <c r="N112" i="10"/>
  <c r="AK111" i="10"/>
  <c r="AB111" i="10"/>
  <c r="AA111" i="10"/>
  <c r="X111" i="10"/>
  <c r="Y111" i="10" s="1"/>
  <c r="V111" i="10"/>
  <c r="W111" i="10" s="1"/>
  <c r="T111" i="10"/>
  <c r="U111" i="10" s="1"/>
  <c r="S111" i="10"/>
  <c r="P111" i="10"/>
  <c r="AO111" i="10" s="1"/>
  <c r="AQ111" i="10" s="1"/>
  <c r="O111" i="10"/>
  <c r="N111" i="10"/>
  <c r="AK110" i="10"/>
  <c r="AB110" i="10"/>
  <c r="AA110" i="10"/>
  <c r="X110" i="10"/>
  <c r="Y110" i="10" s="1"/>
  <c r="V110" i="10"/>
  <c r="W110" i="10" s="1"/>
  <c r="T110" i="10"/>
  <c r="U110" i="10" s="1"/>
  <c r="S110" i="10"/>
  <c r="P110" i="10"/>
  <c r="AO110" i="10" s="1"/>
  <c r="AQ110" i="10" s="1"/>
  <c r="O110" i="10"/>
  <c r="N110" i="10"/>
  <c r="AK109" i="10"/>
  <c r="AB109" i="10"/>
  <c r="AA109" i="10"/>
  <c r="X109" i="10"/>
  <c r="Y109" i="10" s="1"/>
  <c r="V109" i="10"/>
  <c r="W109" i="10" s="1"/>
  <c r="T109" i="10"/>
  <c r="U109" i="10" s="1"/>
  <c r="S109" i="10"/>
  <c r="P109" i="10"/>
  <c r="AO109" i="10" s="1"/>
  <c r="AQ109" i="10" s="1"/>
  <c r="O109" i="10"/>
  <c r="N109" i="10"/>
  <c r="AK108" i="10"/>
  <c r="AB108" i="10"/>
  <c r="AA108" i="10"/>
  <c r="X108" i="10"/>
  <c r="Y108" i="10" s="1"/>
  <c r="V108" i="10"/>
  <c r="W108" i="10" s="1"/>
  <c r="T108" i="10"/>
  <c r="U108" i="10" s="1"/>
  <c r="S108" i="10"/>
  <c r="P108" i="10"/>
  <c r="AO108" i="10" s="1"/>
  <c r="AQ108" i="10" s="1"/>
  <c r="O108" i="10"/>
  <c r="N108" i="10"/>
  <c r="AK107" i="10"/>
  <c r="AB107" i="10"/>
  <c r="AA107" i="10"/>
  <c r="X107" i="10"/>
  <c r="Y107" i="10" s="1"/>
  <c r="V107" i="10"/>
  <c r="W107" i="10" s="1"/>
  <c r="T107" i="10"/>
  <c r="U107" i="10" s="1"/>
  <c r="S107" i="10"/>
  <c r="P107" i="10"/>
  <c r="AO107" i="10" s="1"/>
  <c r="AQ107" i="10" s="1"/>
  <c r="O107" i="10"/>
  <c r="N107" i="10"/>
  <c r="AK106" i="10"/>
  <c r="AB106" i="10"/>
  <c r="AA106" i="10"/>
  <c r="X106" i="10"/>
  <c r="Y106" i="10" s="1"/>
  <c r="V106" i="10"/>
  <c r="W106" i="10" s="1"/>
  <c r="T106" i="10"/>
  <c r="U106" i="10" s="1"/>
  <c r="S106" i="10"/>
  <c r="P106" i="10"/>
  <c r="AO106" i="10" s="1"/>
  <c r="AQ106" i="10" s="1"/>
  <c r="O106" i="10"/>
  <c r="N106" i="10"/>
  <c r="AK105" i="10"/>
  <c r="AB105" i="10"/>
  <c r="AA105" i="10"/>
  <c r="X105" i="10"/>
  <c r="Y105" i="10" s="1"/>
  <c r="V105" i="10"/>
  <c r="W105" i="10" s="1"/>
  <c r="T105" i="10"/>
  <c r="U105" i="10" s="1"/>
  <c r="S105" i="10"/>
  <c r="P105" i="10"/>
  <c r="AO105" i="10" s="1"/>
  <c r="AQ105" i="10" s="1"/>
  <c r="O105" i="10"/>
  <c r="N105" i="10"/>
  <c r="AK104" i="10"/>
  <c r="AB104" i="10"/>
  <c r="AA104" i="10"/>
  <c r="X104" i="10"/>
  <c r="Y104" i="10" s="1"/>
  <c r="V104" i="10"/>
  <c r="W104" i="10" s="1"/>
  <c r="T104" i="10"/>
  <c r="U104" i="10" s="1"/>
  <c r="S104" i="10"/>
  <c r="P104" i="10"/>
  <c r="AO104" i="10" s="1"/>
  <c r="AQ104" i="10" s="1"/>
  <c r="O104" i="10"/>
  <c r="N104" i="10"/>
  <c r="AK103" i="10"/>
  <c r="AB103" i="10"/>
  <c r="AA103" i="10"/>
  <c r="X103" i="10"/>
  <c r="Y103" i="10" s="1"/>
  <c r="V103" i="10"/>
  <c r="W103" i="10" s="1"/>
  <c r="T103" i="10"/>
  <c r="U103" i="10" s="1"/>
  <c r="S103" i="10"/>
  <c r="P103" i="10"/>
  <c r="AO103" i="10" s="1"/>
  <c r="AQ103" i="10" s="1"/>
  <c r="O103" i="10"/>
  <c r="N103" i="10"/>
  <c r="AO102" i="10"/>
  <c r="AQ102" i="10" s="1"/>
  <c r="AK102" i="10"/>
  <c r="AL102" i="10" s="1"/>
  <c r="AI102" i="10"/>
  <c r="AC102" i="10"/>
  <c r="AB102" i="10"/>
  <c r="AA102" i="10"/>
  <c r="Z102" i="10"/>
  <c r="AN102" i="10" s="1"/>
  <c r="X102" i="10"/>
  <c r="Y102" i="10" s="1"/>
  <c r="V102" i="10"/>
  <c r="W102" i="10" s="1"/>
  <c r="T102" i="10"/>
  <c r="U102" i="10" s="1"/>
  <c r="S102" i="10"/>
  <c r="R102" i="10"/>
  <c r="Q102" i="10"/>
  <c r="P102" i="10"/>
  <c r="O102" i="10"/>
  <c r="N102" i="10"/>
  <c r="AK101" i="10"/>
  <c r="AB101" i="10"/>
  <c r="AA101" i="10"/>
  <c r="X101" i="10"/>
  <c r="Y101" i="10" s="1"/>
  <c r="V101" i="10"/>
  <c r="W101" i="10" s="1"/>
  <c r="T101" i="10"/>
  <c r="U101" i="10" s="1"/>
  <c r="S101" i="10"/>
  <c r="P101" i="10"/>
  <c r="AO101" i="10" s="1"/>
  <c r="AQ101" i="10" s="1"/>
  <c r="O101" i="10"/>
  <c r="N101" i="10"/>
  <c r="AK100" i="10"/>
  <c r="AB100" i="10"/>
  <c r="AA100" i="10"/>
  <c r="X100" i="10"/>
  <c r="Y100" i="10" s="1"/>
  <c r="V100" i="10"/>
  <c r="W100" i="10" s="1"/>
  <c r="T100" i="10"/>
  <c r="U100" i="10" s="1"/>
  <c r="S100" i="10"/>
  <c r="P100" i="10"/>
  <c r="AO100" i="10" s="1"/>
  <c r="AQ100" i="10" s="1"/>
  <c r="O100" i="10"/>
  <c r="N100" i="10"/>
  <c r="AK99" i="10"/>
  <c r="AB99" i="10"/>
  <c r="AA99" i="10"/>
  <c r="X99" i="10"/>
  <c r="Y99" i="10" s="1"/>
  <c r="V99" i="10"/>
  <c r="W99" i="10" s="1"/>
  <c r="T99" i="10"/>
  <c r="U99" i="10" s="1"/>
  <c r="S99" i="10"/>
  <c r="P99" i="10"/>
  <c r="AO99" i="10" s="1"/>
  <c r="AQ99" i="10" s="1"/>
  <c r="O99" i="10"/>
  <c r="N99" i="10"/>
  <c r="AK98" i="10"/>
  <c r="AB98" i="10"/>
  <c r="AA98" i="10"/>
  <c r="X98" i="10"/>
  <c r="Y98" i="10" s="1"/>
  <c r="V98" i="10"/>
  <c r="W98" i="10" s="1"/>
  <c r="T98" i="10"/>
  <c r="U98" i="10" s="1"/>
  <c r="S98" i="10"/>
  <c r="P98" i="10"/>
  <c r="AO98" i="10" s="1"/>
  <c r="AQ98" i="10" s="1"/>
  <c r="O98" i="10"/>
  <c r="N98" i="10"/>
  <c r="AK97" i="10"/>
  <c r="AB97" i="10"/>
  <c r="AA97" i="10"/>
  <c r="X97" i="10"/>
  <c r="Y97" i="10" s="1"/>
  <c r="V97" i="10"/>
  <c r="W97" i="10" s="1"/>
  <c r="T97" i="10"/>
  <c r="U97" i="10" s="1"/>
  <c r="S97" i="10"/>
  <c r="P97" i="10"/>
  <c r="AO97" i="10" s="1"/>
  <c r="AQ97" i="10" s="1"/>
  <c r="O97" i="10"/>
  <c r="N97" i="10"/>
  <c r="AK96" i="10"/>
  <c r="AB96" i="10"/>
  <c r="AA96" i="10"/>
  <c r="X96" i="10"/>
  <c r="Y96" i="10" s="1"/>
  <c r="V96" i="10"/>
  <c r="W96" i="10" s="1"/>
  <c r="T96" i="10"/>
  <c r="U96" i="10" s="1"/>
  <c r="S96" i="10"/>
  <c r="P96" i="10"/>
  <c r="AO96" i="10" s="1"/>
  <c r="AQ96" i="10" s="1"/>
  <c r="O96" i="10"/>
  <c r="N96" i="10"/>
  <c r="AB95" i="10"/>
  <c r="AA95" i="10"/>
  <c r="X95" i="10"/>
  <c r="Y95" i="10" s="1"/>
  <c r="V95" i="10"/>
  <c r="T95" i="10"/>
  <c r="U95" i="10" s="1"/>
  <c r="S95" i="10"/>
  <c r="P95" i="10"/>
  <c r="AO95" i="10" s="1"/>
  <c r="AQ95" i="10" s="1"/>
  <c r="O95" i="10"/>
  <c r="N95" i="10"/>
  <c r="AB94" i="10"/>
  <c r="AA94" i="10"/>
  <c r="X94" i="10"/>
  <c r="Y94" i="10" s="1"/>
  <c r="V94" i="10"/>
  <c r="T94" i="10"/>
  <c r="U94" i="10" s="1"/>
  <c r="S94" i="10"/>
  <c r="P94" i="10"/>
  <c r="AO94" i="10" s="1"/>
  <c r="AQ94" i="10" s="1"/>
  <c r="O94" i="10"/>
  <c r="N94" i="10"/>
  <c r="AB93" i="10"/>
  <c r="AA93" i="10"/>
  <c r="X93" i="10"/>
  <c r="Y93" i="10" s="1"/>
  <c r="V93" i="10"/>
  <c r="T93" i="10"/>
  <c r="U93" i="10" s="1"/>
  <c r="S93" i="10"/>
  <c r="P93" i="10"/>
  <c r="AO93" i="10" s="1"/>
  <c r="AQ93" i="10" s="1"/>
  <c r="O93" i="10"/>
  <c r="N93" i="10"/>
  <c r="AB92" i="10"/>
  <c r="AA92" i="10"/>
  <c r="X92" i="10"/>
  <c r="Y92" i="10" s="1"/>
  <c r="V92" i="10"/>
  <c r="T92" i="10"/>
  <c r="U92" i="10" s="1"/>
  <c r="S92" i="10"/>
  <c r="P92" i="10"/>
  <c r="AO92" i="10" s="1"/>
  <c r="AQ92" i="10" s="1"/>
  <c r="O92" i="10"/>
  <c r="N92" i="10"/>
  <c r="AB91" i="10"/>
  <c r="AA91" i="10"/>
  <c r="X91" i="10"/>
  <c r="Y91" i="10" s="1"/>
  <c r="V91" i="10"/>
  <c r="T91" i="10"/>
  <c r="U91" i="10" s="1"/>
  <c r="S91" i="10"/>
  <c r="P91" i="10"/>
  <c r="AO91" i="10" s="1"/>
  <c r="AQ91" i="10" s="1"/>
  <c r="O91" i="10"/>
  <c r="N91" i="10"/>
  <c r="AB90" i="10"/>
  <c r="AA90" i="10"/>
  <c r="X90" i="10"/>
  <c r="Y90" i="10" s="1"/>
  <c r="V90" i="10"/>
  <c r="T90" i="10"/>
  <c r="U90" i="10" s="1"/>
  <c r="S90" i="10"/>
  <c r="P90" i="10"/>
  <c r="AO90" i="10" s="1"/>
  <c r="AQ90" i="10" s="1"/>
  <c r="O90" i="10"/>
  <c r="N90" i="10"/>
  <c r="AB89" i="10"/>
  <c r="AA89" i="10"/>
  <c r="X89" i="10"/>
  <c r="Y89" i="10" s="1"/>
  <c r="V89" i="10"/>
  <c r="T89" i="10"/>
  <c r="U89" i="10" s="1"/>
  <c r="S89" i="10"/>
  <c r="P89" i="10"/>
  <c r="AO89" i="10" s="1"/>
  <c r="AQ89" i="10" s="1"/>
  <c r="O89" i="10"/>
  <c r="N89" i="10"/>
  <c r="AB88" i="10"/>
  <c r="AA88" i="10"/>
  <c r="X88" i="10"/>
  <c r="Y88" i="10" s="1"/>
  <c r="V88" i="10"/>
  <c r="T88" i="10"/>
  <c r="U88" i="10" s="1"/>
  <c r="S88" i="10"/>
  <c r="P88" i="10"/>
  <c r="AO88" i="10" s="1"/>
  <c r="AQ88" i="10" s="1"/>
  <c r="O88" i="10"/>
  <c r="N88" i="10"/>
  <c r="AB87" i="10"/>
  <c r="AA87" i="10"/>
  <c r="X87" i="10"/>
  <c r="Y87" i="10" s="1"/>
  <c r="V87" i="10"/>
  <c r="T87" i="10"/>
  <c r="U87" i="10" s="1"/>
  <c r="S87" i="10"/>
  <c r="P87" i="10"/>
  <c r="AO87" i="10" s="1"/>
  <c r="AQ87" i="10" s="1"/>
  <c r="O87" i="10"/>
  <c r="N87" i="10"/>
  <c r="AB86" i="10"/>
  <c r="AA86" i="10"/>
  <c r="X86" i="10"/>
  <c r="Y86" i="10" s="1"/>
  <c r="V86" i="10"/>
  <c r="T86" i="10"/>
  <c r="U86" i="10" s="1"/>
  <c r="S86" i="10"/>
  <c r="P86" i="10"/>
  <c r="AO86" i="10" s="1"/>
  <c r="AQ86" i="10" s="1"/>
  <c r="O86" i="10"/>
  <c r="N86" i="10"/>
  <c r="AB85" i="10"/>
  <c r="AA85" i="10"/>
  <c r="X85" i="10"/>
  <c r="Y85" i="10" s="1"/>
  <c r="V85" i="10"/>
  <c r="T85" i="10"/>
  <c r="S85" i="10"/>
  <c r="P85" i="10"/>
  <c r="AO85" i="10" s="1"/>
  <c r="AQ85" i="10" s="1"/>
  <c r="O85" i="10"/>
  <c r="N85" i="10"/>
  <c r="AB84" i="10"/>
  <c r="AA84" i="10"/>
  <c r="X84" i="10"/>
  <c r="Y84" i="10" s="1"/>
  <c r="V84" i="10"/>
  <c r="T84" i="10"/>
  <c r="S84" i="10"/>
  <c r="P84" i="10"/>
  <c r="AO84" i="10" s="1"/>
  <c r="O84" i="10"/>
  <c r="N84" i="10"/>
  <c r="AB83" i="10"/>
  <c r="AA83" i="10"/>
  <c r="X83" i="10"/>
  <c r="Y83" i="10" s="1"/>
  <c r="V83" i="10"/>
  <c r="W83" i="10" s="1"/>
  <c r="T83" i="10"/>
  <c r="U83" i="10" s="1"/>
  <c r="S83" i="10"/>
  <c r="P83" i="10"/>
  <c r="AO83" i="10" s="1"/>
  <c r="O83" i="10"/>
  <c r="N83" i="10"/>
  <c r="AB82" i="10"/>
  <c r="AA82" i="10"/>
  <c r="X82" i="10"/>
  <c r="Y82" i="10" s="1"/>
  <c r="V82" i="10"/>
  <c r="T82" i="10"/>
  <c r="S82" i="10"/>
  <c r="P82" i="10"/>
  <c r="AO82" i="10" s="1"/>
  <c r="O82" i="10"/>
  <c r="N82" i="10"/>
  <c r="AB81" i="10"/>
  <c r="AA81" i="10"/>
  <c r="X81" i="10"/>
  <c r="Y81" i="10" s="1"/>
  <c r="V81" i="10"/>
  <c r="W81" i="10" s="1"/>
  <c r="T81" i="10"/>
  <c r="U81" i="10" s="1"/>
  <c r="S81" i="10"/>
  <c r="P81" i="10"/>
  <c r="AO81" i="10" s="1"/>
  <c r="O81" i="10"/>
  <c r="N81" i="10"/>
  <c r="AB80" i="10"/>
  <c r="AA80" i="10"/>
  <c r="X80" i="10"/>
  <c r="Y80" i="10" s="1"/>
  <c r="V80" i="10"/>
  <c r="W80" i="10" s="1"/>
  <c r="T80" i="10"/>
  <c r="U80" i="10" s="1"/>
  <c r="S80" i="10"/>
  <c r="P80" i="10"/>
  <c r="AO80" i="10" s="1"/>
  <c r="O80" i="10"/>
  <c r="N80" i="10"/>
  <c r="AB79" i="10"/>
  <c r="AA79" i="10"/>
  <c r="X79" i="10"/>
  <c r="Y79" i="10" s="1"/>
  <c r="V79" i="10"/>
  <c r="W79" i="10" s="1"/>
  <c r="T79" i="10"/>
  <c r="U79" i="10" s="1"/>
  <c r="S79" i="10"/>
  <c r="P79" i="10"/>
  <c r="AO79" i="10" s="1"/>
  <c r="O79" i="10"/>
  <c r="N79" i="10"/>
  <c r="AB78" i="10"/>
  <c r="AA78" i="10"/>
  <c r="X78" i="10"/>
  <c r="Y78" i="10" s="1"/>
  <c r="V78" i="10"/>
  <c r="W78" i="10" s="1"/>
  <c r="T78" i="10"/>
  <c r="U78" i="10" s="1"/>
  <c r="S78" i="10"/>
  <c r="P78" i="10"/>
  <c r="AO78" i="10" s="1"/>
  <c r="O78" i="10"/>
  <c r="N78" i="10"/>
  <c r="AB77" i="10"/>
  <c r="AA77" i="10"/>
  <c r="X77" i="10"/>
  <c r="Y77" i="10" s="1"/>
  <c r="V77" i="10"/>
  <c r="W77" i="10" s="1"/>
  <c r="T77" i="10"/>
  <c r="U77" i="10" s="1"/>
  <c r="S77" i="10"/>
  <c r="P77" i="10"/>
  <c r="AO77" i="10" s="1"/>
  <c r="O77" i="10"/>
  <c r="N77" i="10"/>
  <c r="AB76" i="10"/>
  <c r="AA76" i="10"/>
  <c r="X76" i="10"/>
  <c r="Y76" i="10" s="1"/>
  <c r="V76" i="10"/>
  <c r="W76" i="10" s="1"/>
  <c r="T76" i="10"/>
  <c r="U76" i="10" s="1"/>
  <c r="S76" i="10"/>
  <c r="P76" i="10"/>
  <c r="AO76" i="10" s="1"/>
  <c r="O76" i="10"/>
  <c r="N76" i="10"/>
  <c r="AB75" i="10"/>
  <c r="AA75" i="10"/>
  <c r="X75" i="10"/>
  <c r="Y75" i="10" s="1"/>
  <c r="V75" i="10"/>
  <c r="W75" i="10" s="1"/>
  <c r="T75" i="10"/>
  <c r="U75" i="10" s="1"/>
  <c r="S75" i="10"/>
  <c r="P75" i="10"/>
  <c r="AO75" i="10" s="1"/>
  <c r="O75" i="10"/>
  <c r="N75" i="10"/>
  <c r="AB74" i="10"/>
  <c r="AA74" i="10"/>
  <c r="X74" i="10"/>
  <c r="Y74" i="10" s="1"/>
  <c r="V74" i="10"/>
  <c r="W74" i="10" s="1"/>
  <c r="T74" i="10"/>
  <c r="U74" i="10" s="1"/>
  <c r="S74" i="10"/>
  <c r="P74" i="10"/>
  <c r="AO74" i="10" s="1"/>
  <c r="O74" i="10"/>
  <c r="N74" i="10"/>
  <c r="AB73" i="10"/>
  <c r="AA73" i="10"/>
  <c r="X73" i="10"/>
  <c r="Y73" i="10" s="1"/>
  <c r="V73" i="10"/>
  <c r="W73" i="10" s="1"/>
  <c r="T73" i="10"/>
  <c r="U73" i="10" s="1"/>
  <c r="S73" i="10"/>
  <c r="P73" i="10"/>
  <c r="AO73" i="10" s="1"/>
  <c r="O73" i="10"/>
  <c r="N73" i="10"/>
  <c r="AB72" i="10"/>
  <c r="AA72" i="10"/>
  <c r="X72" i="10"/>
  <c r="Y72" i="10" s="1"/>
  <c r="V72" i="10"/>
  <c r="W72" i="10" s="1"/>
  <c r="T72" i="10"/>
  <c r="U72" i="10" s="1"/>
  <c r="S72" i="10"/>
  <c r="P72" i="10"/>
  <c r="AO72" i="10" s="1"/>
  <c r="O72" i="10"/>
  <c r="N72" i="10"/>
  <c r="AB71" i="10"/>
  <c r="AA71" i="10"/>
  <c r="X71" i="10"/>
  <c r="Y71" i="10" s="1"/>
  <c r="V71" i="10"/>
  <c r="W71" i="10" s="1"/>
  <c r="T71" i="10"/>
  <c r="U71" i="10" s="1"/>
  <c r="S71" i="10"/>
  <c r="P71" i="10"/>
  <c r="AO71" i="10" s="1"/>
  <c r="O71" i="10"/>
  <c r="N71" i="10"/>
  <c r="AB70" i="10"/>
  <c r="AA70" i="10"/>
  <c r="X70" i="10"/>
  <c r="Y70" i="10" s="1"/>
  <c r="V70" i="10"/>
  <c r="W70" i="10" s="1"/>
  <c r="T70" i="10"/>
  <c r="U70" i="10" s="1"/>
  <c r="S70" i="10"/>
  <c r="P70" i="10"/>
  <c r="AO70" i="10" s="1"/>
  <c r="O70" i="10"/>
  <c r="N70" i="10"/>
  <c r="AB69" i="10"/>
  <c r="AA69" i="10"/>
  <c r="X69" i="10"/>
  <c r="Y69" i="10" s="1"/>
  <c r="V69" i="10"/>
  <c r="W69" i="10" s="1"/>
  <c r="T69" i="10"/>
  <c r="U69" i="10" s="1"/>
  <c r="S69" i="10"/>
  <c r="P69" i="10"/>
  <c r="AO69" i="10" s="1"/>
  <c r="O69" i="10"/>
  <c r="N69" i="10"/>
  <c r="AB68" i="10"/>
  <c r="AA68" i="10"/>
  <c r="X68" i="10"/>
  <c r="Y68" i="10" s="1"/>
  <c r="V68" i="10"/>
  <c r="W68" i="10" s="1"/>
  <c r="T68" i="10"/>
  <c r="U68" i="10" s="1"/>
  <c r="S68" i="10"/>
  <c r="P68" i="10"/>
  <c r="AO68" i="10" s="1"/>
  <c r="O68" i="10"/>
  <c r="N68" i="10"/>
  <c r="AB67" i="10"/>
  <c r="AA67" i="10"/>
  <c r="X67" i="10"/>
  <c r="Y67" i="10" s="1"/>
  <c r="V67" i="10"/>
  <c r="W67" i="10" s="1"/>
  <c r="T67" i="10"/>
  <c r="U67" i="10" s="1"/>
  <c r="S67" i="10"/>
  <c r="P67" i="10"/>
  <c r="AO67" i="10" s="1"/>
  <c r="O67" i="10"/>
  <c r="N67" i="10"/>
  <c r="AB66" i="10"/>
  <c r="AA66" i="10"/>
  <c r="X66" i="10"/>
  <c r="Y66" i="10" s="1"/>
  <c r="V66" i="10"/>
  <c r="W66" i="10" s="1"/>
  <c r="T66" i="10"/>
  <c r="U66" i="10" s="1"/>
  <c r="S66" i="10"/>
  <c r="P66" i="10"/>
  <c r="AO66" i="10" s="1"/>
  <c r="O66" i="10"/>
  <c r="N66" i="10"/>
  <c r="AB65" i="10"/>
  <c r="AA65" i="10"/>
  <c r="X65" i="10"/>
  <c r="Y65" i="10" s="1"/>
  <c r="V65" i="10"/>
  <c r="W65" i="10" s="1"/>
  <c r="T65" i="10"/>
  <c r="U65" i="10" s="1"/>
  <c r="S65" i="10"/>
  <c r="P65" i="10"/>
  <c r="AO65" i="10" s="1"/>
  <c r="O65" i="10"/>
  <c r="N65" i="10"/>
  <c r="AB64" i="10"/>
  <c r="AA64" i="10"/>
  <c r="X64" i="10"/>
  <c r="Y64" i="10" s="1"/>
  <c r="V64" i="10"/>
  <c r="W64" i="10" s="1"/>
  <c r="T64" i="10"/>
  <c r="U64" i="10" s="1"/>
  <c r="S64" i="10"/>
  <c r="P64" i="10"/>
  <c r="AO64" i="10" s="1"/>
  <c r="O64" i="10"/>
  <c r="N64" i="10"/>
  <c r="AB63" i="10"/>
  <c r="AA63" i="10"/>
  <c r="X63" i="10"/>
  <c r="Y63" i="10" s="1"/>
  <c r="V63" i="10"/>
  <c r="W63" i="10" s="1"/>
  <c r="T63" i="10"/>
  <c r="U63" i="10" s="1"/>
  <c r="S63" i="10"/>
  <c r="P63" i="10"/>
  <c r="AO63" i="10" s="1"/>
  <c r="O63" i="10"/>
  <c r="N63" i="10"/>
  <c r="AB62" i="10"/>
  <c r="AA62" i="10"/>
  <c r="X62" i="10"/>
  <c r="V62" i="10"/>
  <c r="W62" i="10" s="1"/>
  <c r="T62" i="10"/>
  <c r="U62" i="10" s="1"/>
  <c r="S62" i="10"/>
  <c r="P62" i="10"/>
  <c r="AO62" i="10" s="1"/>
  <c r="O62" i="10"/>
  <c r="N62" i="10"/>
  <c r="AB61" i="10"/>
  <c r="AA61" i="10"/>
  <c r="X61" i="10"/>
  <c r="Y61" i="10" s="1"/>
  <c r="V61" i="10"/>
  <c r="W61" i="10" s="1"/>
  <c r="T61" i="10"/>
  <c r="U61" i="10" s="1"/>
  <c r="S61" i="10"/>
  <c r="P61" i="10"/>
  <c r="AO61" i="10" s="1"/>
  <c r="O61" i="10"/>
  <c r="N61" i="10"/>
  <c r="AB60" i="10"/>
  <c r="AA60" i="10"/>
  <c r="X60" i="10"/>
  <c r="Y60" i="10" s="1"/>
  <c r="V60" i="10"/>
  <c r="W60" i="10" s="1"/>
  <c r="T60" i="10"/>
  <c r="U60" i="10" s="1"/>
  <c r="S60" i="10"/>
  <c r="P60" i="10"/>
  <c r="AO60" i="10" s="1"/>
  <c r="O60" i="10"/>
  <c r="N60" i="10"/>
  <c r="AB59" i="10"/>
  <c r="AA59" i="10"/>
  <c r="X59" i="10"/>
  <c r="Y59" i="10" s="1"/>
  <c r="V59" i="10"/>
  <c r="W59" i="10" s="1"/>
  <c r="T59" i="10"/>
  <c r="U59" i="10" s="1"/>
  <c r="S59" i="10"/>
  <c r="P59" i="10"/>
  <c r="AO59" i="10" s="1"/>
  <c r="O59" i="10"/>
  <c r="N59" i="10"/>
  <c r="AB58" i="10"/>
  <c r="AA58" i="10"/>
  <c r="X58" i="10"/>
  <c r="Y58" i="10" s="1"/>
  <c r="V58" i="10"/>
  <c r="W58" i="10" s="1"/>
  <c r="T58" i="10"/>
  <c r="U58" i="10" s="1"/>
  <c r="S58" i="10"/>
  <c r="P58" i="10"/>
  <c r="AO58" i="10" s="1"/>
  <c r="O58" i="10"/>
  <c r="N58" i="10"/>
  <c r="AB57" i="10"/>
  <c r="AA57" i="10"/>
  <c r="X57" i="10"/>
  <c r="Y57" i="10" s="1"/>
  <c r="V57" i="10"/>
  <c r="W57" i="10" s="1"/>
  <c r="T57" i="10"/>
  <c r="U57" i="10" s="1"/>
  <c r="S57" i="10"/>
  <c r="P57" i="10"/>
  <c r="AO57" i="10" s="1"/>
  <c r="O57" i="10"/>
  <c r="N57" i="10"/>
  <c r="AB56" i="10"/>
  <c r="AA56" i="10"/>
  <c r="X56" i="10"/>
  <c r="Y56" i="10" s="1"/>
  <c r="V56" i="10"/>
  <c r="W56" i="10" s="1"/>
  <c r="T56" i="10"/>
  <c r="U56" i="10" s="1"/>
  <c r="S56" i="10"/>
  <c r="P56" i="10"/>
  <c r="AO56" i="10" s="1"/>
  <c r="O56" i="10"/>
  <c r="AC56" i="10" s="1"/>
  <c r="N56" i="10"/>
  <c r="AB55" i="10"/>
  <c r="AA55" i="10"/>
  <c r="X55" i="10"/>
  <c r="Y55" i="10" s="1"/>
  <c r="V55" i="10"/>
  <c r="W55" i="10" s="1"/>
  <c r="T55" i="10"/>
  <c r="U55" i="10" s="1"/>
  <c r="S55" i="10"/>
  <c r="P55" i="10"/>
  <c r="AO55" i="10" s="1"/>
  <c r="O55" i="10"/>
  <c r="N55" i="10"/>
  <c r="AI55" i="10" s="1"/>
  <c r="AB54" i="10"/>
  <c r="AA54" i="10"/>
  <c r="X54" i="10"/>
  <c r="Y54" i="10" s="1"/>
  <c r="V54" i="10"/>
  <c r="W54" i="10" s="1"/>
  <c r="T54" i="10"/>
  <c r="U54" i="10" s="1"/>
  <c r="S54" i="10"/>
  <c r="P54" i="10"/>
  <c r="AO54" i="10" s="1"/>
  <c r="O54" i="10"/>
  <c r="N54" i="10"/>
  <c r="AB53" i="10"/>
  <c r="AA53" i="10"/>
  <c r="X53" i="10"/>
  <c r="Y53" i="10" s="1"/>
  <c r="V53" i="10"/>
  <c r="W53" i="10" s="1"/>
  <c r="T53" i="10"/>
  <c r="U53" i="10" s="1"/>
  <c r="S53" i="10"/>
  <c r="P53" i="10"/>
  <c r="AO53" i="10" s="1"/>
  <c r="O53" i="10"/>
  <c r="N53" i="10"/>
  <c r="AB52" i="10"/>
  <c r="AA52" i="10"/>
  <c r="X52" i="10"/>
  <c r="V52" i="10"/>
  <c r="W52" i="10" s="1"/>
  <c r="T52" i="10"/>
  <c r="U52" i="10" s="1"/>
  <c r="S52" i="10"/>
  <c r="P52" i="10"/>
  <c r="AO52" i="10" s="1"/>
  <c r="O52" i="10"/>
  <c r="N52" i="10"/>
  <c r="AB51" i="10"/>
  <c r="AA51" i="10"/>
  <c r="X51" i="10"/>
  <c r="Y51" i="10" s="1"/>
  <c r="V51" i="10"/>
  <c r="W51" i="10" s="1"/>
  <c r="T51" i="10"/>
  <c r="U51" i="10" s="1"/>
  <c r="S51" i="10"/>
  <c r="P51" i="10"/>
  <c r="AO51" i="10" s="1"/>
  <c r="O51" i="10"/>
  <c r="N51" i="10"/>
  <c r="AB50" i="10"/>
  <c r="AA50" i="10"/>
  <c r="X50" i="10"/>
  <c r="Y50" i="10" s="1"/>
  <c r="V50" i="10"/>
  <c r="W50" i="10" s="1"/>
  <c r="T50" i="10"/>
  <c r="U50" i="10" s="1"/>
  <c r="S50" i="10"/>
  <c r="P50" i="10"/>
  <c r="AO50" i="10" s="1"/>
  <c r="O50" i="10"/>
  <c r="N50" i="10"/>
  <c r="AB49" i="10"/>
  <c r="AA49" i="10"/>
  <c r="X49" i="10"/>
  <c r="Y49" i="10" s="1"/>
  <c r="V49" i="10"/>
  <c r="W49" i="10" s="1"/>
  <c r="T49" i="10"/>
  <c r="U49" i="10" s="1"/>
  <c r="S49" i="10"/>
  <c r="P49" i="10"/>
  <c r="AO49" i="10" s="1"/>
  <c r="O49" i="10"/>
  <c r="N49" i="10"/>
  <c r="AB48" i="10"/>
  <c r="AA48" i="10"/>
  <c r="X48" i="10"/>
  <c r="Y48" i="10" s="1"/>
  <c r="V48" i="10"/>
  <c r="W48" i="10" s="1"/>
  <c r="T48" i="10"/>
  <c r="U48" i="10" s="1"/>
  <c r="S48" i="10"/>
  <c r="P48" i="10"/>
  <c r="AO48" i="10" s="1"/>
  <c r="O48" i="10"/>
  <c r="N48" i="10"/>
  <c r="AB47" i="10"/>
  <c r="AA47" i="10"/>
  <c r="X47" i="10"/>
  <c r="Y47" i="10" s="1"/>
  <c r="V47" i="10"/>
  <c r="W47" i="10" s="1"/>
  <c r="T47" i="10"/>
  <c r="U47" i="10" s="1"/>
  <c r="S47" i="10"/>
  <c r="P47" i="10"/>
  <c r="AO47" i="10" s="1"/>
  <c r="O47" i="10"/>
  <c r="N47" i="10"/>
  <c r="AB46" i="10"/>
  <c r="AA46" i="10"/>
  <c r="X46" i="10"/>
  <c r="Y46" i="10" s="1"/>
  <c r="V46" i="10"/>
  <c r="W46" i="10" s="1"/>
  <c r="T46" i="10"/>
  <c r="U46" i="10" s="1"/>
  <c r="S46" i="10"/>
  <c r="P46" i="10"/>
  <c r="AO46" i="10" s="1"/>
  <c r="O46" i="10"/>
  <c r="N46" i="10"/>
  <c r="AB45" i="10"/>
  <c r="AA45" i="10"/>
  <c r="X45" i="10"/>
  <c r="Y45" i="10" s="1"/>
  <c r="V45" i="10"/>
  <c r="T45" i="10"/>
  <c r="S45" i="10"/>
  <c r="P45" i="10"/>
  <c r="AO45" i="10" s="1"/>
  <c r="O45" i="10"/>
  <c r="N45" i="10"/>
  <c r="AB44" i="10"/>
  <c r="AA44" i="10"/>
  <c r="X44" i="10"/>
  <c r="Y44" i="10" s="1"/>
  <c r="V44" i="10"/>
  <c r="W44" i="10" s="1"/>
  <c r="T44" i="10"/>
  <c r="U44" i="10" s="1"/>
  <c r="S44" i="10"/>
  <c r="P44" i="10"/>
  <c r="AO44" i="10" s="1"/>
  <c r="O44" i="10"/>
  <c r="N44" i="10"/>
  <c r="AB43" i="10"/>
  <c r="AA43" i="10"/>
  <c r="X43" i="10"/>
  <c r="Y43" i="10" s="1"/>
  <c r="V43" i="10"/>
  <c r="W43" i="10" s="1"/>
  <c r="T43" i="10"/>
  <c r="U43" i="10" s="1"/>
  <c r="S43" i="10"/>
  <c r="P43" i="10"/>
  <c r="AO43" i="10" s="1"/>
  <c r="O43" i="10"/>
  <c r="N43" i="10"/>
  <c r="AB42" i="10"/>
  <c r="AA42" i="10"/>
  <c r="X42" i="10"/>
  <c r="Y42" i="10" s="1"/>
  <c r="V42" i="10"/>
  <c r="W42" i="10" s="1"/>
  <c r="T42" i="10"/>
  <c r="U42" i="10" s="1"/>
  <c r="S42" i="10"/>
  <c r="P42" i="10"/>
  <c r="AO42" i="10" s="1"/>
  <c r="O42" i="10"/>
  <c r="N42" i="10"/>
  <c r="AB41" i="10"/>
  <c r="AA41" i="10"/>
  <c r="X41" i="10"/>
  <c r="Y41" i="10" s="1"/>
  <c r="V41" i="10"/>
  <c r="W41" i="10" s="1"/>
  <c r="T41" i="10"/>
  <c r="U41" i="10" s="1"/>
  <c r="S41" i="10"/>
  <c r="P41" i="10"/>
  <c r="AO41" i="10" s="1"/>
  <c r="O41" i="10"/>
  <c r="N41" i="10"/>
  <c r="AB40" i="10"/>
  <c r="AA40" i="10"/>
  <c r="X40" i="10"/>
  <c r="Y40" i="10" s="1"/>
  <c r="V40" i="10"/>
  <c r="W40" i="10" s="1"/>
  <c r="T40" i="10"/>
  <c r="U40" i="10" s="1"/>
  <c r="S40" i="10"/>
  <c r="P40" i="10"/>
  <c r="AO40" i="10" s="1"/>
  <c r="O40" i="10"/>
  <c r="N40" i="10"/>
  <c r="AB39" i="10"/>
  <c r="AA39" i="10"/>
  <c r="X39" i="10"/>
  <c r="Y39" i="10" s="1"/>
  <c r="V39" i="10"/>
  <c r="W39" i="10" s="1"/>
  <c r="T39" i="10"/>
  <c r="U39" i="10" s="1"/>
  <c r="S39" i="10"/>
  <c r="P39" i="10"/>
  <c r="AO39" i="10" s="1"/>
  <c r="O39" i="10"/>
  <c r="N39" i="10"/>
  <c r="AB38" i="10"/>
  <c r="AA38" i="10"/>
  <c r="X38" i="10"/>
  <c r="Y38" i="10" s="1"/>
  <c r="V38" i="10"/>
  <c r="W38" i="10" s="1"/>
  <c r="T38" i="10"/>
  <c r="U38" i="10" s="1"/>
  <c r="S38" i="10"/>
  <c r="P38" i="10"/>
  <c r="AO38" i="10" s="1"/>
  <c r="O38" i="10"/>
  <c r="N38" i="10"/>
  <c r="AB37" i="10"/>
  <c r="AA37" i="10"/>
  <c r="X37" i="10"/>
  <c r="Y37" i="10" s="1"/>
  <c r="V37" i="10"/>
  <c r="W37" i="10" s="1"/>
  <c r="T37" i="10"/>
  <c r="U37" i="10" s="1"/>
  <c r="S37" i="10"/>
  <c r="P37" i="10"/>
  <c r="AO37" i="10" s="1"/>
  <c r="O37" i="10"/>
  <c r="AC37" i="10" s="1"/>
  <c r="N37" i="10"/>
  <c r="AB36" i="10"/>
  <c r="AA36" i="10"/>
  <c r="X36" i="10"/>
  <c r="Y36" i="10" s="1"/>
  <c r="V36" i="10"/>
  <c r="W36" i="10" s="1"/>
  <c r="T36" i="10"/>
  <c r="U36" i="10" s="1"/>
  <c r="S36" i="10"/>
  <c r="P36" i="10"/>
  <c r="AO36" i="10" s="1"/>
  <c r="O36" i="10"/>
  <c r="N36" i="10"/>
  <c r="AB35" i="10"/>
  <c r="AA35" i="10"/>
  <c r="X35" i="10"/>
  <c r="Y35" i="10" s="1"/>
  <c r="V35" i="10"/>
  <c r="W35" i="10" s="1"/>
  <c r="T35" i="10"/>
  <c r="U35" i="10" s="1"/>
  <c r="S35" i="10"/>
  <c r="P35" i="10"/>
  <c r="AO35" i="10" s="1"/>
  <c r="O35" i="10"/>
  <c r="N35" i="10"/>
  <c r="AB34" i="10"/>
  <c r="AA34" i="10"/>
  <c r="X34" i="10"/>
  <c r="Y34" i="10" s="1"/>
  <c r="V34" i="10"/>
  <c r="W34" i="10" s="1"/>
  <c r="T34" i="10"/>
  <c r="U34" i="10" s="1"/>
  <c r="S34" i="10"/>
  <c r="P34" i="10"/>
  <c r="AO34" i="10" s="1"/>
  <c r="O34" i="10"/>
  <c r="N34" i="10"/>
  <c r="AB33" i="10"/>
  <c r="AA33" i="10"/>
  <c r="X33" i="10"/>
  <c r="V33" i="10"/>
  <c r="W33" i="10" s="1"/>
  <c r="T33" i="10"/>
  <c r="U33" i="10" s="1"/>
  <c r="S33" i="10"/>
  <c r="P33" i="10"/>
  <c r="AO33" i="10" s="1"/>
  <c r="O33" i="10"/>
  <c r="N33" i="10"/>
  <c r="AB32" i="10"/>
  <c r="AA32" i="10"/>
  <c r="X32" i="10"/>
  <c r="Y32" i="10" s="1"/>
  <c r="V32" i="10"/>
  <c r="W32" i="10" s="1"/>
  <c r="T32" i="10"/>
  <c r="U32" i="10" s="1"/>
  <c r="S32" i="10"/>
  <c r="P32" i="10"/>
  <c r="AO32" i="10" s="1"/>
  <c r="O32" i="10"/>
  <c r="N32" i="10"/>
  <c r="AB31" i="10"/>
  <c r="AA31" i="10"/>
  <c r="X31" i="10"/>
  <c r="Y31" i="10" s="1"/>
  <c r="V31" i="10"/>
  <c r="W31" i="10" s="1"/>
  <c r="T31" i="10"/>
  <c r="U31" i="10" s="1"/>
  <c r="S31" i="10"/>
  <c r="P31" i="10"/>
  <c r="AO31" i="10" s="1"/>
  <c r="O31" i="10"/>
  <c r="N31" i="10"/>
  <c r="AB30" i="10"/>
  <c r="AA30" i="10"/>
  <c r="X30" i="10"/>
  <c r="Y30" i="10" s="1"/>
  <c r="V30" i="10"/>
  <c r="W30" i="10" s="1"/>
  <c r="T30" i="10"/>
  <c r="U30" i="10" s="1"/>
  <c r="S30" i="10"/>
  <c r="P30" i="10"/>
  <c r="AO30" i="10" s="1"/>
  <c r="O30" i="10"/>
  <c r="N30" i="10"/>
  <c r="AB29" i="10"/>
  <c r="AA29" i="10"/>
  <c r="X29" i="10"/>
  <c r="Y29" i="10" s="1"/>
  <c r="V29" i="10"/>
  <c r="W29" i="10" s="1"/>
  <c r="T29" i="10"/>
  <c r="U29" i="10" s="1"/>
  <c r="S29" i="10"/>
  <c r="P29" i="10"/>
  <c r="AO29" i="10" s="1"/>
  <c r="O29" i="10"/>
  <c r="N29" i="10"/>
  <c r="AB28" i="10"/>
  <c r="AA28" i="10"/>
  <c r="X28" i="10"/>
  <c r="Y28" i="10" s="1"/>
  <c r="V28" i="10"/>
  <c r="W28" i="10" s="1"/>
  <c r="T28" i="10"/>
  <c r="U28" i="10" s="1"/>
  <c r="S28" i="10"/>
  <c r="P28" i="10"/>
  <c r="AO28" i="10" s="1"/>
  <c r="O28" i="10"/>
  <c r="N28" i="10"/>
  <c r="AB27" i="10"/>
  <c r="AA27" i="10"/>
  <c r="X27" i="10"/>
  <c r="Y27" i="10" s="1"/>
  <c r="V27" i="10"/>
  <c r="W27" i="10" s="1"/>
  <c r="T27" i="10"/>
  <c r="U27" i="10" s="1"/>
  <c r="S27" i="10"/>
  <c r="P27" i="10"/>
  <c r="AO27" i="10" s="1"/>
  <c r="O27" i="10"/>
  <c r="N27" i="10"/>
  <c r="AB26" i="10"/>
  <c r="AA26" i="10"/>
  <c r="X26" i="10"/>
  <c r="Y26" i="10" s="1"/>
  <c r="V26" i="10"/>
  <c r="T26" i="10"/>
  <c r="S26" i="10"/>
  <c r="P26" i="10"/>
  <c r="AO26" i="10" s="1"/>
  <c r="O26" i="10"/>
  <c r="N26" i="10"/>
  <c r="AB25" i="10"/>
  <c r="AA25" i="10"/>
  <c r="X25" i="10"/>
  <c r="Y25" i="10" s="1"/>
  <c r="V25" i="10"/>
  <c r="W25" i="10" s="1"/>
  <c r="T25" i="10"/>
  <c r="U25" i="10" s="1"/>
  <c r="S25" i="10"/>
  <c r="P25" i="10"/>
  <c r="AO25" i="10" s="1"/>
  <c r="O25" i="10"/>
  <c r="N25" i="10"/>
  <c r="AB24" i="10"/>
  <c r="AA24" i="10"/>
  <c r="X24" i="10"/>
  <c r="Y24" i="10" s="1"/>
  <c r="V24" i="10"/>
  <c r="W24" i="10" s="1"/>
  <c r="T24" i="10"/>
  <c r="U24" i="10" s="1"/>
  <c r="S24" i="10"/>
  <c r="P24" i="10"/>
  <c r="AO24" i="10" s="1"/>
  <c r="O24" i="10"/>
  <c r="N24" i="10"/>
  <c r="AB23" i="10"/>
  <c r="AA23" i="10"/>
  <c r="X23" i="10"/>
  <c r="Y23" i="10" s="1"/>
  <c r="V23" i="10"/>
  <c r="W23" i="10" s="1"/>
  <c r="T23" i="10"/>
  <c r="U23" i="10" s="1"/>
  <c r="S23" i="10"/>
  <c r="P23" i="10"/>
  <c r="AO23" i="10" s="1"/>
  <c r="O23" i="10"/>
  <c r="N23" i="10"/>
  <c r="AB22" i="10"/>
  <c r="AA22" i="10"/>
  <c r="X22" i="10"/>
  <c r="Y22" i="10" s="1"/>
  <c r="V22" i="10"/>
  <c r="W22" i="10" s="1"/>
  <c r="T22" i="10"/>
  <c r="U22" i="10" s="1"/>
  <c r="S22" i="10"/>
  <c r="P22" i="10"/>
  <c r="AO22" i="10" s="1"/>
  <c r="O22" i="10"/>
  <c r="N22" i="10"/>
  <c r="AB21" i="10"/>
  <c r="AA21" i="10"/>
  <c r="X21" i="10"/>
  <c r="Y21" i="10" s="1"/>
  <c r="V21" i="10"/>
  <c r="W21" i="10" s="1"/>
  <c r="T21" i="10"/>
  <c r="U21" i="10" s="1"/>
  <c r="S21" i="10"/>
  <c r="P21" i="10"/>
  <c r="AO21" i="10" s="1"/>
  <c r="O21" i="10"/>
  <c r="N21" i="10"/>
  <c r="AB20" i="10"/>
  <c r="AA20" i="10"/>
  <c r="X20" i="10"/>
  <c r="Y20" i="10" s="1"/>
  <c r="V20" i="10"/>
  <c r="W20" i="10" s="1"/>
  <c r="T20" i="10"/>
  <c r="U20" i="10" s="1"/>
  <c r="S20" i="10"/>
  <c r="P20" i="10"/>
  <c r="AO20" i="10" s="1"/>
  <c r="O20" i="10"/>
  <c r="N20" i="10"/>
  <c r="AB19" i="10"/>
  <c r="AA19" i="10"/>
  <c r="X19" i="10"/>
  <c r="V19" i="10"/>
  <c r="W19" i="10" s="1"/>
  <c r="T19" i="10"/>
  <c r="U19" i="10" s="1"/>
  <c r="S19" i="10"/>
  <c r="P19" i="10"/>
  <c r="AO19" i="10" s="1"/>
  <c r="O19" i="10"/>
  <c r="N19" i="10"/>
  <c r="AB18" i="10"/>
  <c r="AA18" i="10"/>
  <c r="X18" i="10"/>
  <c r="Y18" i="10" s="1"/>
  <c r="V18" i="10"/>
  <c r="W18" i="10" s="1"/>
  <c r="T18" i="10"/>
  <c r="U18" i="10" s="1"/>
  <c r="S18" i="10"/>
  <c r="P18" i="10"/>
  <c r="AO18" i="10" s="1"/>
  <c r="O18" i="10"/>
  <c r="N18" i="10"/>
  <c r="AB17" i="10"/>
  <c r="AA17" i="10"/>
  <c r="X17" i="10"/>
  <c r="Y17" i="10" s="1"/>
  <c r="V17" i="10"/>
  <c r="T17" i="10"/>
  <c r="S17" i="10"/>
  <c r="P17" i="10"/>
  <c r="AO17" i="10" s="1"/>
  <c r="O17" i="10"/>
  <c r="N17" i="10"/>
  <c r="AB16" i="10"/>
  <c r="AA16" i="10"/>
  <c r="X16" i="10"/>
  <c r="Y16" i="10" s="1"/>
  <c r="V16" i="10"/>
  <c r="W16" i="10" s="1"/>
  <c r="T16" i="10"/>
  <c r="U16" i="10" s="1"/>
  <c r="S16" i="10"/>
  <c r="P16" i="10"/>
  <c r="AO16" i="10" s="1"/>
  <c r="O16" i="10"/>
  <c r="N16" i="10"/>
  <c r="AB15" i="10"/>
  <c r="AA15" i="10"/>
  <c r="X15" i="10"/>
  <c r="Y15" i="10" s="1"/>
  <c r="V15" i="10"/>
  <c r="W15" i="10" s="1"/>
  <c r="T15" i="10"/>
  <c r="U15" i="10" s="1"/>
  <c r="S15" i="10"/>
  <c r="P15" i="10"/>
  <c r="AO15" i="10" s="1"/>
  <c r="O15" i="10"/>
  <c r="N15" i="10"/>
  <c r="AB14" i="10"/>
  <c r="AA14" i="10"/>
  <c r="X14" i="10"/>
  <c r="Y14" i="10" s="1"/>
  <c r="V14" i="10"/>
  <c r="W14" i="10" s="1"/>
  <c r="T14" i="10"/>
  <c r="U14" i="10" s="1"/>
  <c r="S14" i="10"/>
  <c r="P14" i="10"/>
  <c r="AO14" i="10" s="1"/>
  <c r="O14" i="10"/>
  <c r="N14" i="10"/>
  <c r="AB13" i="10"/>
  <c r="AA13" i="10"/>
  <c r="X13" i="10"/>
  <c r="Y13" i="10" s="1"/>
  <c r="V13" i="10"/>
  <c r="W13" i="10" s="1"/>
  <c r="T13" i="10"/>
  <c r="U13" i="10" s="1"/>
  <c r="S13" i="10"/>
  <c r="P13" i="10"/>
  <c r="AO13" i="10" s="1"/>
  <c r="O13" i="10"/>
  <c r="N13" i="10"/>
  <c r="AB12" i="10"/>
  <c r="AA12" i="10"/>
  <c r="X12" i="10"/>
  <c r="Y12" i="10" s="1"/>
  <c r="V12" i="10"/>
  <c r="T12" i="10"/>
  <c r="S12" i="10"/>
  <c r="P12" i="10"/>
  <c r="AO12" i="10" s="1"/>
  <c r="O12" i="10"/>
  <c r="N12" i="10"/>
  <c r="AB11" i="10"/>
  <c r="AA11" i="10"/>
  <c r="X11" i="10"/>
  <c r="Y11" i="10" s="1"/>
  <c r="V11" i="10"/>
  <c r="W11" i="10" s="1"/>
  <c r="T11" i="10"/>
  <c r="U11" i="10" s="1"/>
  <c r="S11" i="10"/>
  <c r="P11" i="10"/>
  <c r="AO11" i="10" s="1"/>
  <c r="O11" i="10"/>
  <c r="N11" i="10"/>
  <c r="AB10" i="10"/>
  <c r="AA10" i="10"/>
  <c r="X10" i="10"/>
  <c r="Y10" i="10" s="1"/>
  <c r="V10" i="10"/>
  <c r="W10" i="10" s="1"/>
  <c r="T10" i="10"/>
  <c r="U10" i="10" s="1"/>
  <c r="S10" i="10"/>
  <c r="P10" i="10"/>
  <c r="AO10" i="10" s="1"/>
  <c r="O10" i="10"/>
  <c r="N10" i="10"/>
  <c r="AB9" i="10"/>
  <c r="AA9" i="10"/>
  <c r="X9" i="10"/>
  <c r="Y9" i="10" s="1"/>
  <c r="V9" i="10"/>
  <c r="W9" i="10" s="1"/>
  <c r="T9" i="10"/>
  <c r="U9" i="10" s="1"/>
  <c r="S9" i="10"/>
  <c r="P9" i="10"/>
  <c r="AO9" i="10" s="1"/>
  <c r="O9" i="10"/>
  <c r="N9" i="10"/>
  <c r="AB8" i="10"/>
  <c r="AA8" i="10"/>
  <c r="X8" i="10"/>
  <c r="Y8" i="10" s="1"/>
  <c r="V8" i="10"/>
  <c r="T8" i="10"/>
  <c r="S8" i="10"/>
  <c r="P8" i="10"/>
  <c r="AO8" i="10" s="1"/>
  <c r="O8" i="10"/>
  <c r="N8" i="10"/>
  <c r="AB7" i="10"/>
  <c r="AA7" i="10"/>
  <c r="X7" i="10"/>
  <c r="Y7" i="10" s="1"/>
  <c r="V7" i="10"/>
  <c r="W7" i="10" s="1"/>
  <c r="T7" i="10"/>
  <c r="U7" i="10" s="1"/>
  <c r="S7" i="10"/>
  <c r="P7" i="10"/>
  <c r="AO7" i="10" s="1"/>
  <c r="O7" i="10"/>
  <c r="N7" i="10"/>
  <c r="AB6" i="10"/>
  <c r="AA6" i="10"/>
  <c r="X6" i="10"/>
  <c r="Y6" i="10" s="1"/>
  <c r="V6" i="10"/>
  <c r="W6" i="10" s="1"/>
  <c r="T6" i="10"/>
  <c r="U6" i="10" s="1"/>
  <c r="S6" i="10"/>
  <c r="P6" i="10"/>
  <c r="AO6" i="10" s="1"/>
  <c r="O6" i="10"/>
  <c r="N6" i="10"/>
  <c r="AB5" i="10"/>
  <c r="AA5" i="10"/>
  <c r="X5" i="10"/>
  <c r="Y5" i="10" s="1"/>
  <c r="V5" i="10"/>
  <c r="W5" i="10" s="1"/>
  <c r="T5" i="10"/>
  <c r="U5" i="10" s="1"/>
  <c r="S5" i="10"/>
  <c r="P5" i="10"/>
  <c r="AO5" i="10" s="1"/>
  <c r="O5" i="10"/>
  <c r="N5" i="10"/>
  <c r="AB4" i="10"/>
  <c r="AA4" i="10"/>
  <c r="X4" i="10"/>
  <c r="Y4" i="10" s="1"/>
  <c r="V4" i="10"/>
  <c r="T4" i="10"/>
  <c r="S4" i="10"/>
  <c r="P4" i="10"/>
  <c r="AO4" i="10" s="1"/>
  <c r="AQ4" i="10" s="1"/>
  <c r="O4" i="10"/>
  <c r="N4" i="10"/>
  <c r="AB3" i="10"/>
  <c r="AA3" i="10"/>
  <c r="X3" i="10"/>
  <c r="Y3" i="10" s="1"/>
  <c r="V3" i="10"/>
  <c r="T3" i="10"/>
  <c r="S3" i="10"/>
  <c r="P3" i="10"/>
  <c r="AO3" i="10" s="1"/>
  <c r="AQ3" i="10" s="1"/>
  <c r="O3" i="10"/>
  <c r="N3" i="10"/>
  <c r="AB2" i="10"/>
  <c r="AA2" i="10"/>
  <c r="X2" i="10"/>
  <c r="Y2" i="10" s="1"/>
  <c r="V2" i="10"/>
  <c r="W2" i="10" s="1"/>
  <c r="T2" i="10"/>
  <c r="U2" i="10" s="1"/>
  <c r="S2" i="10"/>
  <c r="P2" i="10"/>
  <c r="AO2" i="10" s="1"/>
  <c r="AQ2" i="10" s="1"/>
  <c r="O2" i="10"/>
  <c r="N2" i="10"/>
  <c r="C15" i="8"/>
  <c r="C9" i="8"/>
  <c r="C8" i="8"/>
  <c r="D29" i="2"/>
  <c r="I23" i="2"/>
  <c r="U22" i="2"/>
  <c r="I22" i="2"/>
  <c r="C22" i="2"/>
  <c r="I16" i="2"/>
  <c r="C16" i="2"/>
  <c r="U15" i="2"/>
  <c r="O15" i="2"/>
  <c r="I15" i="2"/>
  <c r="C15" i="2"/>
  <c r="I13" i="2"/>
  <c r="C13" i="2"/>
  <c r="AQ37" i="10" l="1"/>
  <c r="W90" i="10"/>
  <c r="AQ84" i="10"/>
  <c r="AQ72" i="10"/>
  <c r="Y62" i="10"/>
  <c r="AQ61" i="10"/>
  <c r="AQ57" i="10"/>
  <c r="AQ47" i="10"/>
  <c r="AQ35" i="10"/>
  <c r="AQ31" i="10"/>
  <c r="AQ26" i="10"/>
  <c r="AQ17" i="10"/>
  <c r="W8" i="10"/>
  <c r="W92" i="10"/>
  <c r="U82" i="10"/>
  <c r="AQ80" i="10"/>
  <c r="AQ21" i="10"/>
  <c r="AQ9" i="10"/>
  <c r="AQ81" i="10"/>
  <c r="AQ70" i="10"/>
  <c r="AQ65" i="10"/>
  <c r="AQ55" i="10"/>
  <c r="AQ50" i="10"/>
  <c r="W45" i="10"/>
  <c r="AQ41" i="10"/>
  <c r="AQ36" i="10"/>
  <c r="AQ30" i="10"/>
  <c r="AQ23" i="10"/>
  <c r="AQ7" i="10"/>
  <c r="U85" i="10"/>
  <c r="AQ77" i="10"/>
  <c r="AQ73" i="10"/>
  <c r="AQ64" i="10"/>
  <c r="AQ54" i="10"/>
  <c r="AQ45" i="10"/>
  <c r="AQ40" i="10"/>
  <c r="U17" i="10"/>
  <c r="AQ16" i="10"/>
  <c r="AQ8" i="10"/>
  <c r="W89" i="10"/>
  <c r="AQ75" i="10"/>
  <c r="AQ53" i="10"/>
  <c r="AQ27" i="10"/>
  <c r="Y19" i="10"/>
  <c r="U12" i="10"/>
  <c r="AQ6" i="10"/>
  <c r="W88" i="10"/>
  <c r="W86" i="10"/>
  <c r="W84" i="10"/>
  <c r="AQ76" i="10"/>
  <c r="AQ63" i="10"/>
  <c r="AQ58" i="10"/>
  <c r="AQ51" i="10"/>
  <c r="AQ44" i="10"/>
  <c r="U26" i="10"/>
  <c r="AQ20" i="10"/>
  <c r="AQ14" i="10"/>
  <c r="W93" i="10"/>
  <c r="U84" i="10"/>
  <c r="W82" i="10"/>
  <c r="AQ79" i="10"/>
  <c r="AQ66" i="10"/>
  <c r="AQ56" i="10"/>
  <c r="AQ49" i="10"/>
  <c r="AQ39" i="10"/>
  <c r="AQ34" i="10"/>
  <c r="AQ24" i="10"/>
  <c r="AQ15" i="10"/>
  <c r="AQ10" i="10"/>
  <c r="U3" i="10"/>
  <c r="W91" i="10"/>
  <c r="AQ78" i="10"/>
  <c r="AQ69" i="10"/>
  <c r="AQ59" i="10"/>
  <c r="AQ48" i="10"/>
  <c r="AQ43" i="10"/>
  <c r="AQ33" i="10"/>
  <c r="AQ22" i="10"/>
  <c r="AQ13" i="10"/>
  <c r="U8" i="10"/>
  <c r="W95" i="10"/>
  <c r="AQ74" i="10"/>
  <c r="AQ68" i="10"/>
  <c r="Y52" i="10"/>
  <c r="AQ46" i="10"/>
  <c r="AQ38" i="10"/>
  <c r="AQ28" i="10"/>
  <c r="AQ19" i="10"/>
  <c r="W12" i="10"/>
  <c r="AQ11" i="10"/>
  <c r="AQ5" i="10"/>
  <c r="C13" i="8"/>
  <c r="W94" i="10"/>
  <c r="W85" i="10"/>
  <c r="AQ82" i="10"/>
  <c r="AQ67" i="10"/>
  <c r="AQ62" i="10"/>
  <c r="U45" i="10"/>
  <c r="AQ42" i="10"/>
  <c r="Y33" i="10"/>
  <c r="AQ32" i="10"/>
  <c r="W26" i="10"/>
  <c r="AQ25" i="10"/>
  <c r="W17" i="10"/>
  <c r="W4" i="10"/>
  <c r="W87" i="10"/>
  <c r="AQ83" i="10"/>
  <c r="AQ71" i="10"/>
  <c r="AQ60" i="10"/>
  <c r="AQ52" i="10"/>
  <c r="AQ29" i="10"/>
  <c r="AQ18" i="10"/>
  <c r="AQ12" i="10"/>
  <c r="U4" i="10"/>
  <c r="T8" i="3" s="1"/>
  <c r="W3" i="10"/>
  <c r="X8" i="3" s="1"/>
  <c r="AI37" i="10"/>
  <c r="Z37" i="10"/>
  <c r="AN37" i="10" s="1"/>
  <c r="AC1201" i="10"/>
  <c r="R1201" i="10"/>
  <c r="Q1201" i="10"/>
  <c r="AL1201" i="10"/>
  <c r="AI1201" i="10"/>
  <c r="Z1201" i="10"/>
  <c r="AN1201" i="10" s="1"/>
  <c r="AC1200" i="10"/>
  <c r="R1200" i="10"/>
  <c r="Q1200" i="10"/>
  <c r="AL1200" i="10"/>
  <c r="AI1200" i="10"/>
  <c r="Z1200" i="10"/>
  <c r="AN1200" i="10" s="1"/>
  <c r="AC1199" i="10"/>
  <c r="R1199" i="10"/>
  <c r="Q1199" i="10"/>
  <c r="AL1199" i="10"/>
  <c r="AI1199" i="10"/>
  <c r="Z1199" i="10"/>
  <c r="AN1199" i="10" s="1"/>
  <c r="AC1198" i="10"/>
  <c r="R1198" i="10"/>
  <c r="Q1198" i="10"/>
  <c r="AL1198" i="10"/>
  <c r="AI1198" i="10"/>
  <c r="Z1198" i="10"/>
  <c r="AN1198" i="10" s="1"/>
  <c r="AC1197" i="10"/>
  <c r="R1197" i="10"/>
  <c r="Q1197" i="10"/>
  <c r="AL1197" i="10"/>
  <c r="AI1197" i="10"/>
  <c r="Z1197" i="10"/>
  <c r="AN1197" i="10" s="1"/>
  <c r="AC1196" i="10"/>
  <c r="R1196" i="10"/>
  <c r="Q1196" i="10"/>
  <c r="AI1196" i="10"/>
  <c r="Z1196" i="10"/>
  <c r="AN1196" i="10" s="1"/>
  <c r="AL1196" i="10"/>
  <c r="AC1195" i="10"/>
  <c r="R1195" i="10"/>
  <c r="Q1195" i="10"/>
  <c r="AL1195" i="10"/>
  <c r="Z1195" i="10"/>
  <c r="AN1195" i="10" s="1"/>
  <c r="AI1195" i="10"/>
  <c r="AC1194" i="10"/>
  <c r="R1194" i="10"/>
  <c r="Q1194" i="10"/>
  <c r="Z1194" i="10"/>
  <c r="AN1194" i="10" s="1"/>
  <c r="AL1194" i="10"/>
  <c r="AI1194" i="10"/>
  <c r="AC1193" i="10"/>
  <c r="R1193" i="10"/>
  <c r="Q1193" i="10"/>
  <c r="AL1193" i="10"/>
  <c r="AI1193" i="10"/>
  <c r="Z1193" i="10"/>
  <c r="AN1193" i="10" s="1"/>
  <c r="AC1192" i="10"/>
  <c r="R1192" i="10"/>
  <c r="Q1192" i="10"/>
  <c r="Z1192" i="10"/>
  <c r="AN1192" i="10" s="1"/>
  <c r="AL1192" i="10"/>
  <c r="AI1192" i="10"/>
  <c r="Q1191" i="10"/>
  <c r="AC1191" i="10"/>
  <c r="R1191" i="10"/>
  <c r="AI1191" i="10"/>
  <c r="Z1191" i="10"/>
  <c r="AN1191" i="10" s="1"/>
  <c r="AL1191" i="10"/>
  <c r="AC1190" i="10"/>
  <c r="R1190" i="10"/>
  <c r="Q1190" i="10"/>
  <c r="AL1190" i="10"/>
  <c r="AI1190" i="10"/>
  <c r="Z1190" i="10"/>
  <c r="AN1190" i="10" s="1"/>
  <c r="AC1189" i="10"/>
  <c r="R1189" i="10"/>
  <c r="Q1189" i="10"/>
  <c r="AL1189" i="10"/>
  <c r="AI1189" i="10"/>
  <c r="Z1189" i="10"/>
  <c r="AN1189" i="10" s="1"/>
  <c r="AC1188" i="10"/>
  <c r="R1188" i="10"/>
  <c r="Q1188" i="10"/>
  <c r="AL1188" i="10"/>
  <c r="AI1188" i="10"/>
  <c r="Z1188" i="10"/>
  <c r="AN1188" i="10" s="1"/>
  <c r="Q1187" i="10"/>
  <c r="R1187" i="10"/>
  <c r="AC1187" i="10"/>
  <c r="AL1187" i="10"/>
  <c r="AI1187" i="10"/>
  <c r="Z1187" i="10"/>
  <c r="AN1187" i="10" s="1"/>
  <c r="AC1186" i="10"/>
  <c r="R1186" i="10"/>
  <c r="Q1186" i="10"/>
  <c r="AL1186" i="10"/>
  <c r="AI1186" i="10"/>
  <c r="Z1186" i="10"/>
  <c r="AN1186" i="10" s="1"/>
  <c r="AC1185" i="10"/>
  <c r="R1185" i="10"/>
  <c r="Q1185" i="10"/>
  <c r="AI1185" i="10"/>
  <c r="AL1185" i="10"/>
  <c r="Z1185" i="10"/>
  <c r="AN1185" i="10" s="1"/>
  <c r="AC1184" i="10"/>
  <c r="R1184" i="10"/>
  <c r="Q1184" i="10"/>
  <c r="AL1184" i="10"/>
  <c r="AI1184" i="10"/>
  <c r="Z1184" i="10"/>
  <c r="AN1184" i="10" s="1"/>
  <c r="AC1183" i="10"/>
  <c r="R1183" i="10"/>
  <c r="Q1183" i="10"/>
  <c r="Z1183" i="10"/>
  <c r="AN1183" i="10" s="1"/>
  <c r="AL1183" i="10"/>
  <c r="AI1183" i="10"/>
  <c r="AC1182" i="10"/>
  <c r="R1182" i="10"/>
  <c r="Q1182" i="10"/>
  <c r="AL1182" i="10"/>
  <c r="AI1182" i="10"/>
  <c r="Z1182" i="10"/>
  <c r="AN1182" i="10" s="1"/>
  <c r="AC1181" i="10"/>
  <c r="R1181" i="10"/>
  <c r="Q1181" i="10"/>
  <c r="AL1181" i="10"/>
  <c r="AI1181" i="10"/>
  <c r="Z1181" i="10"/>
  <c r="AN1181" i="10" s="1"/>
  <c r="AC1180" i="10"/>
  <c r="R1180" i="10"/>
  <c r="Q1180" i="10"/>
  <c r="AL1180" i="10"/>
  <c r="AI1180" i="10"/>
  <c r="Z1180" i="10"/>
  <c r="AN1180" i="10" s="1"/>
  <c r="AC1179" i="10"/>
  <c r="R1179" i="10"/>
  <c r="Q1179" i="10"/>
  <c r="Z1179" i="10"/>
  <c r="AN1179" i="10" s="1"/>
  <c r="AL1179" i="10"/>
  <c r="AI1179" i="10"/>
  <c r="AC1178" i="10"/>
  <c r="R1178" i="10"/>
  <c r="Q1178" i="10"/>
  <c r="AL1178" i="10"/>
  <c r="AI1178" i="10"/>
  <c r="Z1178" i="10"/>
  <c r="AN1178" i="10" s="1"/>
  <c r="AC1177" i="10"/>
  <c r="R1177" i="10"/>
  <c r="Q1177" i="10"/>
  <c r="Z1177" i="10"/>
  <c r="AN1177" i="10" s="1"/>
  <c r="AI1177" i="10"/>
  <c r="AL1177" i="10"/>
  <c r="AC1176" i="10"/>
  <c r="R1176" i="10"/>
  <c r="Q1176" i="10"/>
  <c r="AL1176" i="10"/>
  <c r="AI1176" i="10"/>
  <c r="Z1176" i="10"/>
  <c r="AN1176" i="10" s="1"/>
  <c r="AC1175" i="10"/>
  <c r="R1175" i="10"/>
  <c r="Q1175" i="10"/>
  <c r="Z1175" i="10"/>
  <c r="AN1175" i="10" s="1"/>
  <c r="AL1175" i="10"/>
  <c r="AI1175" i="10"/>
  <c r="AC1174" i="10"/>
  <c r="R1174" i="10"/>
  <c r="Q1174" i="10"/>
  <c r="AL1174" i="10"/>
  <c r="AI1174" i="10"/>
  <c r="Z1174" i="10"/>
  <c r="AN1174" i="10" s="1"/>
  <c r="AC1173" i="10"/>
  <c r="R1173" i="10"/>
  <c r="Q1173" i="10"/>
  <c r="Z1173" i="10"/>
  <c r="AN1173" i="10" s="1"/>
  <c r="AI1173" i="10"/>
  <c r="AL1173" i="10"/>
  <c r="AC1172" i="10"/>
  <c r="R1172" i="10"/>
  <c r="Q1172" i="10"/>
  <c r="Z1172" i="10"/>
  <c r="AN1172" i="10" s="1"/>
  <c r="AL1172" i="10"/>
  <c r="AI1172" i="10"/>
  <c r="AC1171" i="10"/>
  <c r="R1171" i="10"/>
  <c r="Q1171" i="10"/>
  <c r="AL1171" i="10"/>
  <c r="AI1171" i="10"/>
  <c r="Z1171" i="10"/>
  <c r="AN1171" i="10" s="1"/>
  <c r="AC1170" i="10"/>
  <c r="R1170" i="10"/>
  <c r="Q1170" i="10"/>
  <c r="AL1170" i="10"/>
  <c r="AI1170" i="10"/>
  <c r="Z1170" i="10"/>
  <c r="AN1170" i="10" s="1"/>
  <c r="AC1169" i="10"/>
  <c r="R1169" i="10"/>
  <c r="Q1169" i="10"/>
  <c r="AL1169" i="10"/>
  <c r="AI1169" i="10"/>
  <c r="Z1169" i="10"/>
  <c r="AN1169" i="10" s="1"/>
  <c r="AC1168" i="10"/>
  <c r="R1168" i="10"/>
  <c r="Q1168" i="10"/>
  <c r="AL1168" i="10"/>
  <c r="AI1168" i="10"/>
  <c r="Z1168" i="10"/>
  <c r="AN1168" i="10" s="1"/>
  <c r="AC1167" i="10"/>
  <c r="R1167" i="10"/>
  <c r="Q1167" i="10"/>
  <c r="AL1167" i="10"/>
  <c r="AI1167" i="10"/>
  <c r="Z1167" i="10"/>
  <c r="AN1167" i="10" s="1"/>
  <c r="AC1166" i="10"/>
  <c r="R1166" i="10"/>
  <c r="Q1166" i="10"/>
  <c r="Z1166" i="10"/>
  <c r="AN1166" i="10" s="1"/>
  <c r="AI1166" i="10"/>
  <c r="AL1166" i="10"/>
  <c r="AC1165" i="10"/>
  <c r="Q1165" i="10"/>
  <c r="R1165" i="10"/>
  <c r="AL1165" i="10"/>
  <c r="AI1165" i="10"/>
  <c r="Z1165" i="10"/>
  <c r="AN1165" i="10" s="1"/>
  <c r="AC1164" i="10"/>
  <c r="R1164" i="10"/>
  <c r="Q1164" i="10"/>
  <c r="Z1164" i="10"/>
  <c r="AN1164" i="10" s="1"/>
  <c r="AI1164" i="10"/>
  <c r="AL1164" i="10"/>
  <c r="AC1163" i="10"/>
  <c r="R1163" i="10"/>
  <c r="Q1163" i="10"/>
  <c r="AL1163" i="10"/>
  <c r="AI1163" i="10"/>
  <c r="Z1163" i="10"/>
  <c r="AN1163" i="10" s="1"/>
  <c r="AC1162" i="10"/>
  <c r="R1162" i="10"/>
  <c r="Q1162" i="10"/>
  <c r="Z1162" i="10"/>
  <c r="AN1162" i="10" s="1"/>
  <c r="AL1162" i="10"/>
  <c r="AI1162" i="10"/>
  <c r="AC1161" i="10"/>
  <c r="R1161" i="10"/>
  <c r="Q1161" i="10"/>
  <c r="AL1161" i="10"/>
  <c r="AI1161" i="10"/>
  <c r="Z1161" i="10"/>
  <c r="AN1161" i="10" s="1"/>
  <c r="AC1160" i="10"/>
  <c r="R1160" i="10"/>
  <c r="Q1160" i="10"/>
  <c r="Z1160" i="10"/>
  <c r="AN1160" i="10" s="1"/>
  <c r="AL1160" i="10"/>
  <c r="AI1160" i="10"/>
  <c r="AC1159" i="10"/>
  <c r="R1159" i="10"/>
  <c r="Q1159" i="10"/>
  <c r="AL1159" i="10"/>
  <c r="AI1159" i="10"/>
  <c r="Z1159" i="10"/>
  <c r="AN1159" i="10" s="1"/>
  <c r="AC1158" i="10"/>
  <c r="R1158" i="10"/>
  <c r="Q1158" i="10"/>
  <c r="Z1158" i="10"/>
  <c r="AN1158" i="10" s="1"/>
  <c r="AL1158" i="10"/>
  <c r="AI1158" i="10"/>
  <c r="AC1157" i="10"/>
  <c r="R1157" i="10"/>
  <c r="Q1157" i="10"/>
  <c r="Z1157" i="10"/>
  <c r="AN1157" i="10" s="1"/>
  <c r="AL1157" i="10"/>
  <c r="AI1157" i="10"/>
  <c r="AC1156" i="10"/>
  <c r="R1156" i="10"/>
  <c r="Q1156" i="10"/>
  <c r="AL1156" i="10"/>
  <c r="AI1156" i="10"/>
  <c r="Z1156" i="10"/>
  <c r="AN1156" i="10" s="1"/>
  <c r="AC1155" i="10"/>
  <c r="R1155" i="10"/>
  <c r="Q1155" i="10"/>
  <c r="AL1155" i="10"/>
  <c r="AI1155" i="10"/>
  <c r="Z1155" i="10"/>
  <c r="AN1155" i="10" s="1"/>
  <c r="AC1154" i="10"/>
  <c r="R1154" i="10"/>
  <c r="Q1154" i="10"/>
  <c r="AL1154" i="10"/>
  <c r="AI1154" i="10"/>
  <c r="Z1154" i="10"/>
  <c r="AN1154" i="10" s="1"/>
  <c r="AC1153" i="10"/>
  <c r="R1153" i="10"/>
  <c r="Q1153" i="10"/>
  <c r="AL1153" i="10"/>
  <c r="AI1153" i="10"/>
  <c r="Z1153" i="10"/>
  <c r="AN1153" i="10" s="1"/>
  <c r="AC1152" i="10"/>
  <c r="R1152" i="10"/>
  <c r="Q1152" i="10"/>
  <c r="AL1152" i="10"/>
  <c r="AI1152" i="10"/>
  <c r="Z1152" i="10"/>
  <c r="AN1152" i="10" s="1"/>
  <c r="AC1151" i="10"/>
  <c r="R1151" i="10"/>
  <c r="Q1151" i="10"/>
  <c r="Z1151" i="10"/>
  <c r="AN1151" i="10" s="1"/>
  <c r="AL1151" i="10"/>
  <c r="AI1151" i="10"/>
  <c r="AC1150" i="10"/>
  <c r="R1150" i="10"/>
  <c r="Q1150" i="10"/>
  <c r="AL1150" i="10"/>
  <c r="AI1150" i="10"/>
  <c r="Z1150" i="10"/>
  <c r="AN1150" i="10" s="1"/>
  <c r="AC1149" i="10"/>
  <c r="R1149" i="10"/>
  <c r="Q1149" i="10"/>
  <c r="Z1149" i="10"/>
  <c r="AN1149" i="10" s="1"/>
  <c r="AL1149" i="10"/>
  <c r="AI1149" i="10"/>
  <c r="AC1148" i="10"/>
  <c r="R1148" i="10"/>
  <c r="Q1148" i="10"/>
  <c r="AL1148" i="10"/>
  <c r="AI1148" i="10"/>
  <c r="Z1148" i="10"/>
  <c r="AN1148" i="10" s="1"/>
  <c r="AC1147" i="10"/>
  <c r="R1147" i="10"/>
  <c r="Q1147" i="10"/>
  <c r="AL1147" i="10"/>
  <c r="AI1147" i="10"/>
  <c r="Z1147" i="10"/>
  <c r="AN1147" i="10" s="1"/>
  <c r="AC1146" i="10"/>
  <c r="R1146" i="10"/>
  <c r="Q1146" i="10"/>
  <c r="AL1146" i="10"/>
  <c r="AI1146" i="10"/>
  <c r="Z1146" i="10"/>
  <c r="AN1146" i="10" s="1"/>
  <c r="AC1145" i="10"/>
  <c r="R1145" i="10"/>
  <c r="Q1145" i="10"/>
  <c r="AL1145" i="10"/>
  <c r="AI1145" i="10"/>
  <c r="Z1145" i="10"/>
  <c r="AN1145" i="10" s="1"/>
  <c r="AC1144" i="10"/>
  <c r="R1144" i="10"/>
  <c r="Q1144" i="10"/>
  <c r="Z1144" i="10"/>
  <c r="AN1144" i="10" s="1"/>
  <c r="AI1144" i="10"/>
  <c r="AL1144" i="10"/>
  <c r="Q1143" i="10"/>
  <c r="AC1143" i="10"/>
  <c r="R1143" i="10"/>
  <c r="AI1143" i="10"/>
  <c r="Z1143" i="10"/>
  <c r="AN1143" i="10" s="1"/>
  <c r="AL1143" i="10"/>
  <c r="AC1142" i="10"/>
  <c r="R1142" i="10"/>
  <c r="Q1142" i="10"/>
  <c r="AL1142" i="10"/>
  <c r="AI1142" i="10"/>
  <c r="Z1142" i="10"/>
  <c r="AN1142" i="10" s="1"/>
  <c r="AC1141" i="10"/>
  <c r="R1141" i="10"/>
  <c r="Q1141" i="10"/>
  <c r="AL1141" i="10"/>
  <c r="AI1141" i="10"/>
  <c r="Z1141" i="10"/>
  <c r="AN1141" i="10" s="1"/>
  <c r="AC1140" i="10"/>
  <c r="R1140" i="10"/>
  <c r="Q1140" i="10"/>
  <c r="AL1140" i="10"/>
  <c r="AI1140" i="10"/>
  <c r="Z1140" i="10"/>
  <c r="AN1140" i="10" s="1"/>
  <c r="AC1139" i="10"/>
  <c r="R1139" i="10"/>
  <c r="Q1139" i="10"/>
  <c r="AL1139" i="10"/>
  <c r="AI1139" i="10"/>
  <c r="Z1139" i="10"/>
  <c r="AN1139" i="10" s="1"/>
  <c r="AC1138" i="10"/>
  <c r="R1138" i="10"/>
  <c r="Q1138" i="10"/>
  <c r="AL1138" i="10"/>
  <c r="AI1138" i="10"/>
  <c r="Z1138" i="10"/>
  <c r="AN1138" i="10" s="1"/>
  <c r="AP1137" i="10"/>
  <c r="AD1137" i="10"/>
  <c r="Q1137" i="10"/>
  <c r="R1137" i="10"/>
  <c r="Q1136" i="10"/>
  <c r="AC1136" i="10"/>
  <c r="R1136" i="10"/>
  <c r="AL1136" i="10"/>
  <c r="AI1136" i="10"/>
  <c r="Z1136" i="10"/>
  <c r="AN1136" i="10" s="1"/>
  <c r="AC1135" i="10"/>
  <c r="Q1135" i="10"/>
  <c r="R1135" i="10"/>
  <c r="AI1135" i="10"/>
  <c r="Z1135" i="10"/>
  <c r="AN1135" i="10" s="1"/>
  <c r="AL1135" i="10"/>
  <c r="AC1134" i="10"/>
  <c r="R1134" i="10"/>
  <c r="Q1134" i="10"/>
  <c r="Z1134" i="10"/>
  <c r="AN1134" i="10" s="1"/>
  <c r="AL1134" i="10"/>
  <c r="AI1134" i="10"/>
  <c r="AC1133" i="10"/>
  <c r="R1133" i="10"/>
  <c r="Q1133" i="10"/>
  <c r="AL1133" i="10"/>
  <c r="AI1133" i="10"/>
  <c r="Z1133" i="10"/>
  <c r="AN1133" i="10" s="1"/>
  <c r="Q1132" i="10"/>
  <c r="R1132" i="10"/>
  <c r="AC1132" i="10"/>
  <c r="AI1132" i="10"/>
  <c r="AL1132" i="10"/>
  <c r="Z1132" i="10"/>
  <c r="AN1132" i="10" s="1"/>
  <c r="Q1131" i="10"/>
  <c r="R1131" i="10"/>
  <c r="AC1131" i="10"/>
  <c r="Z1131" i="10"/>
  <c r="AN1131" i="10" s="1"/>
  <c r="AI1131" i="10"/>
  <c r="AL1131" i="10"/>
  <c r="R1130" i="10"/>
  <c r="Q1130" i="10"/>
  <c r="AC1130" i="10"/>
  <c r="AL1130" i="10"/>
  <c r="AI1130" i="10"/>
  <c r="Z1130" i="10"/>
  <c r="AN1130" i="10" s="1"/>
  <c r="Q1129" i="10"/>
  <c r="R1129" i="10"/>
  <c r="AC1129" i="10"/>
  <c r="Z1129" i="10"/>
  <c r="AN1129" i="10" s="1"/>
  <c r="AI1129" i="10"/>
  <c r="AL1129" i="10"/>
  <c r="AC1128" i="10"/>
  <c r="Q1128" i="10"/>
  <c r="R1128" i="10"/>
  <c r="Z1128" i="10"/>
  <c r="AN1128" i="10" s="1"/>
  <c r="AI1128" i="10"/>
  <c r="AL1128" i="10"/>
  <c r="Q1127" i="10"/>
  <c r="AC1127" i="10"/>
  <c r="R1127" i="10"/>
  <c r="AL1127" i="10"/>
  <c r="AI1127" i="10"/>
  <c r="Z1127" i="10"/>
  <c r="AN1127" i="10" s="1"/>
  <c r="Q1126" i="10"/>
  <c r="R1126" i="10"/>
  <c r="AC1126" i="10"/>
  <c r="AI1126" i="10"/>
  <c r="AL1126" i="10"/>
  <c r="Z1126" i="10"/>
  <c r="AN1126" i="10" s="1"/>
  <c r="AC1125" i="10"/>
  <c r="R1125" i="10"/>
  <c r="Q1125" i="10"/>
  <c r="AL1125" i="10"/>
  <c r="AI1125" i="10"/>
  <c r="Z1125" i="10"/>
  <c r="AN1125" i="10" s="1"/>
  <c r="Q1124" i="10"/>
  <c r="R1124" i="10"/>
  <c r="AC1124" i="10"/>
  <c r="AL1124" i="10"/>
  <c r="AI1124" i="10"/>
  <c r="Z1124" i="10"/>
  <c r="AN1124" i="10" s="1"/>
  <c r="AC1123" i="10"/>
  <c r="R1123" i="10"/>
  <c r="Q1123" i="10"/>
  <c r="AL1123" i="10"/>
  <c r="AI1123" i="10"/>
  <c r="Z1123" i="10"/>
  <c r="AN1123" i="10" s="1"/>
  <c r="Q1122" i="10"/>
  <c r="AC1122" i="10"/>
  <c r="R1122" i="10"/>
  <c r="AI1122" i="10"/>
  <c r="Z1122" i="10"/>
  <c r="AN1122" i="10" s="1"/>
  <c r="AL1122" i="10"/>
  <c r="AC1121" i="10"/>
  <c r="Q1121" i="10"/>
  <c r="R1121" i="10"/>
  <c r="AL1121" i="10"/>
  <c r="AI1121" i="10"/>
  <c r="Z1121" i="10"/>
  <c r="AN1121" i="10" s="1"/>
  <c r="AC1120" i="10"/>
  <c r="Q1120" i="10"/>
  <c r="R1120" i="10"/>
  <c r="AI1120" i="10"/>
  <c r="Z1120" i="10"/>
  <c r="AN1120" i="10" s="1"/>
  <c r="AL1120" i="10"/>
  <c r="R1119" i="10"/>
  <c r="AC1119" i="10"/>
  <c r="Q1119" i="10"/>
  <c r="AI1119" i="10"/>
  <c r="Z1119" i="10"/>
  <c r="AN1119" i="10" s="1"/>
  <c r="AL1119" i="10"/>
  <c r="Q1118" i="10"/>
  <c r="R1118" i="10"/>
  <c r="AC1118" i="10"/>
  <c r="AI1118" i="10"/>
  <c r="Z1118" i="10"/>
  <c r="AN1118" i="10" s="1"/>
  <c r="AL1118" i="10"/>
  <c r="Q1117" i="10"/>
  <c r="AC1117" i="10"/>
  <c r="R1117" i="10"/>
  <c r="AI1117" i="10"/>
  <c r="AL1117" i="10"/>
  <c r="Z1117" i="10"/>
  <c r="AN1117" i="10" s="1"/>
  <c r="AC1116" i="10"/>
  <c r="Q1116" i="10"/>
  <c r="R1116" i="10"/>
  <c r="Z1116" i="10"/>
  <c r="AN1116" i="10" s="1"/>
  <c r="AL1116" i="10"/>
  <c r="AI1116" i="10"/>
  <c r="AC1115" i="10"/>
  <c r="R1115" i="10"/>
  <c r="Q1115" i="10"/>
  <c r="AL1115" i="10"/>
  <c r="AI1115" i="10"/>
  <c r="Z1115" i="10"/>
  <c r="AN1115" i="10" s="1"/>
  <c r="AC1114" i="10"/>
  <c r="Q1114" i="10"/>
  <c r="R1114" i="10"/>
  <c r="AI1114" i="10"/>
  <c r="AL1114" i="10"/>
  <c r="Z1114" i="10"/>
  <c r="AN1114" i="10" s="1"/>
  <c r="AC1113" i="10"/>
  <c r="R1113" i="10"/>
  <c r="Q1113" i="10"/>
  <c r="AI1113" i="10"/>
  <c r="Z1113" i="10"/>
  <c r="AN1113" i="10" s="1"/>
  <c r="AL1113" i="10"/>
  <c r="R1112" i="10"/>
  <c r="Q1112" i="10"/>
  <c r="AC1112" i="10"/>
  <c r="AI1112" i="10"/>
  <c r="AL1112" i="10"/>
  <c r="Z1112" i="10"/>
  <c r="AN1112" i="10" s="1"/>
  <c r="R1111" i="10"/>
  <c r="Q1111" i="10"/>
  <c r="AC1111" i="10"/>
  <c r="Z1111" i="10"/>
  <c r="AN1111" i="10" s="1"/>
  <c r="AL1111" i="10"/>
  <c r="AI1111" i="10"/>
  <c r="AC1110" i="10"/>
  <c r="Q1110" i="10"/>
  <c r="R1110" i="10"/>
  <c r="AI1110" i="10"/>
  <c r="AL1110" i="10"/>
  <c r="Z1110" i="10"/>
  <c r="AN1110" i="10" s="1"/>
  <c r="Q1109" i="10"/>
  <c r="R1109" i="10"/>
  <c r="AC1109" i="10"/>
  <c r="Z1109" i="10"/>
  <c r="AN1109" i="10" s="1"/>
  <c r="AI1109" i="10"/>
  <c r="AL1109" i="10"/>
  <c r="Q1108" i="10"/>
  <c r="AC1108" i="10"/>
  <c r="R1108" i="10"/>
  <c r="AL1108" i="10"/>
  <c r="Z1108" i="10"/>
  <c r="AN1108" i="10" s="1"/>
  <c r="AI1108" i="10"/>
  <c r="AC1107" i="10"/>
  <c r="R1107" i="10"/>
  <c r="Q1107" i="10"/>
  <c r="AL1107" i="10"/>
  <c r="Z1107" i="10"/>
  <c r="AN1107" i="10" s="1"/>
  <c r="AI1107" i="10"/>
  <c r="Q1106" i="10"/>
  <c r="R1106" i="10"/>
  <c r="AC1106" i="10"/>
  <c r="AL1106" i="10"/>
  <c r="AI1106" i="10"/>
  <c r="Z1106" i="10"/>
  <c r="AN1106" i="10" s="1"/>
  <c r="AC1105" i="10"/>
  <c r="Q1105" i="10"/>
  <c r="R1105" i="10"/>
  <c r="AI1105" i="10"/>
  <c r="Z1105" i="10"/>
  <c r="AN1105" i="10" s="1"/>
  <c r="AL1105" i="10"/>
  <c r="AC1104" i="10"/>
  <c r="R1104" i="10"/>
  <c r="Q1104" i="10"/>
  <c r="AI1104" i="10"/>
  <c r="Z1104" i="10"/>
  <c r="AN1104" i="10" s="1"/>
  <c r="AL1104" i="10"/>
  <c r="AC1103" i="10"/>
  <c r="R1103" i="10"/>
  <c r="Q1103" i="10"/>
  <c r="AI1103" i="10"/>
  <c r="AL1103" i="10"/>
  <c r="Z1103" i="10"/>
  <c r="AN1103" i="10" s="1"/>
  <c r="Q1102" i="10"/>
  <c r="R1102" i="10"/>
  <c r="AC1102" i="10"/>
  <c r="Z1102" i="10"/>
  <c r="AN1102" i="10" s="1"/>
  <c r="AI1102" i="10"/>
  <c r="AL1102" i="10"/>
  <c r="Q1101" i="10"/>
  <c r="R1101" i="10"/>
  <c r="AC1101" i="10"/>
  <c r="Z1101" i="10"/>
  <c r="AN1101" i="10" s="1"/>
  <c r="AI1101" i="10"/>
  <c r="AL1101" i="10"/>
  <c r="Q1100" i="10"/>
  <c r="R1100" i="10"/>
  <c r="AC1100" i="10"/>
  <c r="Z1100" i="10"/>
  <c r="AN1100" i="10" s="1"/>
  <c r="AI1100" i="10"/>
  <c r="AL1100" i="10"/>
  <c r="AC1099" i="10"/>
  <c r="Q1099" i="10"/>
  <c r="R1099" i="10"/>
  <c r="Z1099" i="10"/>
  <c r="AN1099" i="10" s="1"/>
  <c r="AL1099" i="10"/>
  <c r="AI1099" i="10"/>
  <c r="Q1098" i="10"/>
  <c r="R1098" i="10"/>
  <c r="AC1098" i="10"/>
  <c r="AI1098" i="10"/>
  <c r="Z1098" i="10"/>
  <c r="AN1098" i="10" s="1"/>
  <c r="AL1098" i="10"/>
  <c r="Q1097" i="10"/>
  <c r="AC1097" i="10"/>
  <c r="R1097" i="10"/>
  <c r="AL1097" i="10"/>
  <c r="AI1097" i="10"/>
  <c r="Z1097" i="10"/>
  <c r="AN1097" i="10" s="1"/>
  <c r="AC1096" i="10"/>
  <c r="Q1096" i="10"/>
  <c r="R1096" i="10"/>
  <c r="AL1096" i="10"/>
  <c r="Z1096" i="10"/>
  <c r="AN1096" i="10" s="1"/>
  <c r="AI1096" i="10"/>
  <c r="Q1095" i="10"/>
  <c r="AC1095" i="10"/>
  <c r="R1095" i="10"/>
  <c r="Z1095" i="10"/>
  <c r="AN1095" i="10" s="1"/>
  <c r="AL1095" i="10"/>
  <c r="AI1095" i="10"/>
  <c r="AC1094" i="10"/>
  <c r="Q1094" i="10"/>
  <c r="R1094" i="10"/>
  <c r="AL1094" i="10"/>
  <c r="AI1094" i="10"/>
  <c r="Z1094" i="10"/>
  <c r="AN1094" i="10" s="1"/>
  <c r="R1093" i="10"/>
  <c r="Q1093" i="10"/>
  <c r="AC1093" i="10"/>
  <c r="Z1093" i="10"/>
  <c r="AN1093" i="10" s="1"/>
  <c r="AI1093" i="10"/>
  <c r="AL1093" i="10"/>
  <c r="AC1092" i="10"/>
  <c r="Q1092" i="10"/>
  <c r="R1092" i="10"/>
  <c r="AL1092" i="10"/>
  <c r="AI1092" i="10"/>
  <c r="Z1092" i="10"/>
  <c r="AN1092" i="10" s="1"/>
  <c r="R1091" i="10"/>
  <c r="Q1091" i="10"/>
  <c r="AC1091" i="10"/>
  <c r="Z1091" i="10"/>
  <c r="AN1091" i="10" s="1"/>
  <c r="AL1091" i="10"/>
  <c r="AI1091" i="10"/>
  <c r="AC1090" i="10"/>
  <c r="Q1090" i="10"/>
  <c r="R1090" i="10"/>
  <c r="Z1090" i="10"/>
  <c r="AN1090" i="10" s="1"/>
  <c r="AL1090" i="10"/>
  <c r="AI1090" i="10"/>
  <c r="R1089" i="10"/>
  <c r="Q1089" i="10"/>
  <c r="AC1089" i="10"/>
  <c r="AI1089" i="10"/>
  <c r="AL1089" i="10"/>
  <c r="Z1089" i="10"/>
  <c r="AN1089" i="10" s="1"/>
  <c r="AC1088" i="10"/>
  <c r="Q1088" i="10"/>
  <c r="R1088" i="10"/>
  <c r="AI1088" i="10"/>
  <c r="Z1088" i="10"/>
  <c r="AN1088" i="10" s="1"/>
  <c r="AL1088" i="10"/>
  <c r="AC1087" i="10"/>
  <c r="Q1087" i="10"/>
  <c r="R1087" i="10"/>
  <c r="AL1087" i="10"/>
  <c r="Z1087" i="10"/>
  <c r="AN1087" i="10" s="1"/>
  <c r="AI1087" i="10"/>
  <c r="AC1086" i="10"/>
  <c r="Q1086" i="10"/>
  <c r="R1086" i="10"/>
  <c r="AI1086" i="10"/>
  <c r="Z1086" i="10"/>
  <c r="AN1086" i="10" s="1"/>
  <c r="AL1086" i="10"/>
  <c r="R1085" i="10"/>
  <c r="Q1085" i="10"/>
  <c r="AC1085" i="10"/>
  <c r="Z1085" i="10"/>
  <c r="AN1085" i="10" s="1"/>
  <c r="AL1085" i="10"/>
  <c r="AI1085" i="10"/>
  <c r="R1084" i="10"/>
  <c r="Q1084" i="10"/>
  <c r="AC1084" i="10"/>
  <c r="AL1084" i="10"/>
  <c r="Z1084" i="10"/>
  <c r="AN1084" i="10" s="1"/>
  <c r="AI1084" i="10"/>
  <c r="AC1083" i="10"/>
  <c r="Q1083" i="10"/>
  <c r="R1083" i="10"/>
  <c r="AI1083" i="10"/>
  <c r="AL1083" i="10"/>
  <c r="Z1083" i="10"/>
  <c r="AN1083" i="10" s="1"/>
  <c r="R1082" i="10"/>
  <c r="Q1082" i="10"/>
  <c r="AC1082" i="10"/>
  <c r="AI1082" i="10"/>
  <c r="AL1082" i="10"/>
  <c r="Z1082" i="10"/>
  <c r="AN1082" i="10" s="1"/>
  <c r="R1081" i="10"/>
  <c r="Q1081" i="10"/>
  <c r="AC1081" i="10"/>
  <c r="AL1081" i="10"/>
  <c r="AI1081" i="10"/>
  <c r="Z1081" i="10"/>
  <c r="AN1081" i="10" s="1"/>
  <c r="R1080" i="10"/>
  <c r="Q1080" i="10"/>
  <c r="AC1080" i="10"/>
  <c r="AL1080" i="10"/>
  <c r="Z1080" i="10"/>
  <c r="AN1080" i="10" s="1"/>
  <c r="AI1080" i="10"/>
  <c r="AC1079" i="10"/>
  <c r="R1079" i="10"/>
  <c r="Q1079" i="10"/>
  <c r="AI1079" i="10"/>
  <c r="Z1079" i="10"/>
  <c r="AN1079" i="10" s="1"/>
  <c r="AL1079" i="10"/>
  <c r="Q1078" i="10"/>
  <c r="R1078" i="10"/>
  <c r="AC1078" i="10"/>
  <c r="AI1078" i="10"/>
  <c r="AL1078" i="10"/>
  <c r="Z1078" i="10"/>
  <c r="AN1078" i="10" s="1"/>
  <c r="R1077" i="10"/>
  <c r="AC1077" i="10"/>
  <c r="Q1077" i="10"/>
  <c r="Z1077" i="10"/>
  <c r="AN1077" i="10" s="1"/>
  <c r="AL1077" i="10"/>
  <c r="AI1077" i="10"/>
  <c r="Q1076" i="10"/>
  <c r="AC1076" i="10"/>
  <c r="R1076" i="10"/>
  <c r="AL1076" i="10"/>
  <c r="Z1076" i="10"/>
  <c r="AN1076" i="10" s="1"/>
  <c r="AI1076" i="10"/>
  <c r="R1075" i="10"/>
  <c r="Q1075" i="10"/>
  <c r="AC1075" i="10"/>
  <c r="AL1075" i="10"/>
  <c r="Z1075" i="10"/>
  <c r="AN1075" i="10" s="1"/>
  <c r="AI1075" i="10"/>
  <c r="AC1074" i="10"/>
  <c r="R1074" i="10"/>
  <c r="Q1074" i="10"/>
  <c r="AL1074" i="10"/>
  <c r="AI1074" i="10"/>
  <c r="Z1074" i="10"/>
  <c r="AN1074" i="10" s="1"/>
  <c r="AC1073" i="10"/>
  <c r="R1073" i="10"/>
  <c r="Q1073" i="10"/>
  <c r="Z1073" i="10"/>
  <c r="AN1073" i="10" s="1"/>
  <c r="AI1073" i="10"/>
  <c r="AL1073" i="10"/>
  <c r="Q1072" i="10"/>
  <c r="AC1072" i="10"/>
  <c r="R1072" i="10"/>
  <c r="R1071" i="10"/>
  <c r="Q1071" i="10"/>
  <c r="AC1071" i="10"/>
  <c r="Z1071" i="10"/>
  <c r="AN1071" i="10" s="1"/>
  <c r="AL1071" i="10"/>
  <c r="AI1071" i="10"/>
  <c r="R1070" i="10"/>
  <c r="Q1070" i="10"/>
  <c r="AC1070" i="10"/>
  <c r="AL1070" i="10"/>
  <c r="AI1070" i="10"/>
  <c r="Z1070" i="10"/>
  <c r="AN1070" i="10" s="1"/>
  <c r="AC1069" i="10"/>
  <c r="Q1069" i="10"/>
  <c r="R1069" i="10"/>
  <c r="Z1069" i="10"/>
  <c r="AN1069" i="10" s="1"/>
  <c r="AI1069" i="10"/>
  <c r="AL1069" i="10"/>
  <c r="AC1068" i="10"/>
  <c r="Q1068" i="10"/>
  <c r="R1068" i="10"/>
  <c r="AL1068" i="10"/>
  <c r="AI1068" i="10"/>
  <c r="Z1068" i="10"/>
  <c r="AN1068" i="10" s="1"/>
  <c r="AC1067" i="10"/>
  <c r="R1067" i="10"/>
  <c r="Q1067" i="10"/>
  <c r="AI1067" i="10"/>
  <c r="Z1067" i="10"/>
  <c r="AN1067" i="10" s="1"/>
  <c r="AL1067" i="10"/>
  <c r="AC1066" i="10"/>
  <c r="R1066" i="10"/>
  <c r="Q1066" i="10"/>
  <c r="Z1066" i="10"/>
  <c r="AN1066" i="10" s="1"/>
  <c r="AL1066" i="10"/>
  <c r="AI1066" i="10"/>
  <c r="AC1065" i="10"/>
  <c r="R1065" i="10"/>
  <c r="Q1065" i="10"/>
  <c r="Z1065" i="10"/>
  <c r="AN1065" i="10" s="1"/>
  <c r="AI1065" i="10"/>
  <c r="AL1065" i="10"/>
  <c r="Q1064" i="10"/>
  <c r="AC1064" i="10"/>
  <c r="R1064" i="10"/>
  <c r="Z1064" i="10"/>
  <c r="AN1064" i="10" s="1"/>
  <c r="AI1064" i="10"/>
  <c r="AL1064" i="10"/>
  <c r="R1063" i="10"/>
  <c r="Q1063" i="10"/>
  <c r="AC1063" i="10"/>
  <c r="AI1063" i="10"/>
  <c r="Z1063" i="10"/>
  <c r="AN1063" i="10" s="1"/>
  <c r="AL1063" i="10"/>
  <c r="R1062" i="10"/>
  <c r="AC1062" i="10"/>
  <c r="Q1062" i="10"/>
  <c r="Z1062" i="10"/>
  <c r="AN1062" i="10" s="1"/>
  <c r="AL1062" i="10"/>
  <c r="AI1062" i="10"/>
  <c r="R1061" i="10"/>
  <c r="Q1061" i="10"/>
  <c r="AC1061" i="10"/>
  <c r="AI1061" i="10"/>
  <c r="AL1061" i="10"/>
  <c r="Z1061" i="10"/>
  <c r="AN1061" i="10" s="1"/>
  <c r="R1060" i="10"/>
  <c r="Q1060" i="10"/>
  <c r="AC1060" i="10"/>
  <c r="AL1060" i="10"/>
  <c r="AI1060" i="10"/>
  <c r="Z1060" i="10"/>
  <c r="AN1060" i="10" s="1"/>
  <c r="AC1059" i="10"/>
  <c r="R1059" i="10"/>
  <c r="Q1059" i="10"/>
  <c r="AL1059" i="10"/>
  <c r="AI1059" i="10"/>
  <c r="Z1059" i="10"/>
  <c r="AN1059" i="10" s="1"/>
  <c r="R1058" i="10"/>
  <c r="Q1058" i="10"/>
  <c r="AC1058" i="10"/>
  <c r="Z1058" i="10"/>
  <c r="AN1058" i="10" s="1"/>
  <c r="AI1058" i="10"/>
  <c r="AL1058" i="10"/>
  <c r="Q1057" i="10"/>
  <c r="AC1057" i="10"/>
  <c r="R1057" i="10"/>
  <c r="AL1057" i="10"/>
  <c r="AI1057" i="10"/>
  <c r="Z1057" i="10"/>
  <c r="AN1057" i="10" s="1"/>
  <c r="AC1056" i="10"/>
  <c r="R1056" i="10"/>
  <c r="Q1056" i="10"/>
  <c r="AL1056" i="10"/>
  <c r="AI1056" i="10"/>
  <c r="Z1056" i="10"/>
  <c r="AN1056" i="10" s="1"/>
  <c r="R1055" i="10"/>
  <c r="Q1055" i="10"/>
  <c r="AC1055" i="10"/>
  <c r="Z1055" i="10"/>
  <c r="AN1055" i="10" s="1"/>
  <c r="AI1055" i="10"/>
  <c r="AL1055" i="10"/>
  <c r="R1054" i="10"/>
  <c r="AC1054" i="10"/>
  <c r="Q1054" i="10"/>
  <c r="AI1054" i="10"/>
  <c r="Z1054" i="10"/>
  <c r="AN1054" i="10" s="1"/>
  <c r="AL1054" i="10"/>
  <c r="R1053" i="10"/>
  <c r="Q1053" i="10"/>
  <c r="AC1053" i="10"/>
  <c r="AI1053" i="10"/>
  <c r="Z1053" i="10"/>
  <c r="AN1053" i="10" s="1"/>
  <c r="AL1053" i="10"/>
  <c r="AC1052" i="10"/>
  <c r="R1052" i="10"/>
  <c r="Q1052" i="10"/>
  <c r="Z1052" i="10"/>
  <c r="AN1052" i="10" s="1"/>
  <c r="AL1052" i="10"/>
  <c r="AI1052" i="10"/>
  <c r="R1051" i="10"/>
  <c r="Q1051" i="10"/>
  <c r="AC1051" i="10"/>
  <c r="AL1051" i="10"/>
  <c r="AI1051" i="10"/>
  <c r="Z1051" i="10"/>
  <c r="AN1051" i="10" s="1"/>
  <c r="AC1050" i="10"/>
  <c r="R1050" i="10"/>
  <c r="Q1050" i="10"/>
  <c r="AL1050" i="10"/>
  <c r="AI1050" i="10"/>
  <c r="Z1050" i="10"/>
  <c r="AN1050" i="10" s="1"/>
  <c r="AC1049" i="10"/>
  <c r="R1049" i="10"/>
  <c r="Q1049" i="10"/>
  <c r="Z1049" i="10"/>
  <c r="AN1049" i="10" s="1"/>
  <c r="AI1049" i="10"/>
  <c r="AL1049" i="10"/>
  <c r="Q1048" i="10"/>
  <c r="R1048" i="10"/>
  <c r="AC1048" i="10"/>
  <c r="Z1048" i="10"/>
  <c r="AN1048" i="10" s="1"/>
  <c r="AI1048" i="10"/>
  <c r="AL1048" i="10"/>
  <c r="AC1047" i="10"/>
  <c r="R1047" i="10"/>
  <c r="Q1047" i="10"/>
  <c r="AL1047" i="10"/>
  <c r="Z1047" i="10"/>
  <c r="AN1047" i="10" s="1"/>
  <c r="AI1047" i="10"/>
  <c r="AC1046" i="10"/>
  <c r="R1046" i="10"/>
  <c r="Q1046" i="10"/>
  <c r="AL1046" i="10"/>
  <c r="Z1046" i="10"/>
  <c r="AN1046" i="10" s="1"/>
  <c r="AI1046" i="10"/>
  <c r="AC1045" i="10"/>
  <c r="R1045" i="10"/>
  <c r="Q1045" i="10"/>
  <c r="AI1045" i="10"/>
  <c r="Z1045" i="10"/>
  <c r="AN1045" i="10" s="1"/>
  <c r="AL1045" i="10"/>
  <c r="Q1044" i="10"/>
  <c r="R1044" i="10"/>
  <c r="AC1044" i="10"/>
  <c r="AI1044" i="10"/>
  <c r="AL1044" i="10"/>
  <c r="Z1044" i="10"/>
  <c r="AN1044" i="10" s="1"/>
  <c r="AC1043" i="10"/>
  <c r="R1043" i="10"/>
  <c r="Q1043" i="10"/>
  <c r="Z1043" i="10"/>
  <c r="AN1043" i="10" s="1"/>
  <c r="AL1043" i="10"/>
  <c r="AI1043" i="10"/>
  <c r="AC1042" i="10"/>
  <c r="R1042" i="10"/>
  <c r="Q1042" i="10"/>
  <c r="AL1042" i="10"/>
  <c r="AI1042" i="10"/>
  <c r="Z1042" i="10"/>
  <c r="AN1042" i="10" s="1"/>
  <c r="R1041" i="10"/>
  <c r="AC1041" i="10"/>
  <c r="Q1041" i="10"/>
  <c r="Z1041" i="10"/>
  <c r="AN1041" i="10" s="1"/>
  <c r="AL1041" i="10"/>
  <c r="AI1041" i="10"/>
  <c r="R1040" i="10"/>
  <c r="Q1040" i="10"/>
  <c r="AC1040" i="10"/>
  <c r="Z1040" i="10"/>
  <c r="AN1040" i="10" s="1"/>
  <c r="AI1040" i="10"/>
  <c r="AL1040" i="10"/>
  <c r="Q1039" i="10"/>
  <c r="R1039" i="10"/>
  <c r="AC1039" i="10"/>
  <c r="Z1039" i="10"/>
  <c r="AN1039" i="10" s="1"/>
  <c r="AL1039" i="10"/>
  <c r="AI1039" i="10"/>
  <c r="Q1038" i="10"/>
  <c r="R1038" i="10"/>
  <c r="AC1038" i="10"/>
  <c r="AI1038" i="10"/>
  <c r="Z1038" i="10"/>
  <c r="AN1038" i="10" s="1"/>
  <c r="AL1038" i="10"/>
  <c r="Q1037" i="10"/>
  <c r="R1037" i="10"/>
  <c r="AC1037" i="10"/>
  <c r="AL1037" i="10"/>
  <c r="Z1037" i="10"/>
  <c r="AN1037" i="10" s="1"/>
  <c r="AI1037" i="10"/>
  <c r="R1036" i="10"/>
  <c r="AC1036" i="10"/>
  <c r="Q1036" i="10"/>
  <c r="AI1036" i="10"/>
  <c r="AL1036" i="10"/>
  <c r="Z1036" i="10"/>
  <c r="AN1036" i="10" s="1"/>
  <c r="Q1035" i="10"/>
  <c r="R1035" i="10"/>
  <c r="AC1035" i="10"/>
  <c r="Z1035" i="10"/>
  <c r="AN1035" i="10" s="1"/>
  <c r="AI1035" i="10"/>
  <c r="AL1035" i="10"/>
  <c r="Q1034" i="10"/>
  <c r="AC1034" i="10"/>
  <c r="R1034" i="10"/>
  <c r="Z1034" i="10"/>
  <c r="AN1034" i="10" s="1"/>
  <c r="AL1034" i="10"/>
  <c r="AI1034" i="10"/>
  <c r="AC1033" i="10"/>
  <c r="R1033" i="10"/>
  <c r="Q1033" i="10"/>
  <c r="AI1033" i="10"/>
  <c r="Z1033" i="10"/>
  <c r="AN1033" i="10" s="1"/>
  <c r="AL1033" i="10"/>
  <c r="R1032" i="10"/>
  <c r="Q1032" i="10"/>
  <c r="AC1032" i="10"/>
  <c r="AL1032" i="10"/>
  <c r="AI1032" i="10"/>
  <c r="Z1032" i="10"/>
  <c r="AN1032" i="10" s="1"/>
  <c r="Q1031" i="10"/>
  <c r="AC1031" i="10"/>
  <c r="R1031" i="10"/>
  <c r="AI1031" i="10"/>
  <c r="Z1031" i="10"/>
  <c r="AN1031" i="10" s="1"/>
  <c r="AL1031" i="10"/>
  <c r="R1030" i="10"/>
  <c r="AC1030" i="10"/>
  <c r="Q1030" i="10"/>
  <c r="Z1030" i="10"/>
  <c r="AN1030" i="10" s="1"/>
  <c r="AI1030" i="10"/>
  <c r="AL1030" i="10"/>
  <c r="AC1029" i="10"/>
  <c r="R1029" i="10"/>
  <c r="Q1029" i="10"/>
  <c r="AL1029" i="10"/>
  <c r="Z1029" i="10"/>
  <c r="AN1029" i="10" s="1"/>
  <c r="AI1029" i="10"/>
  <c r="AC1028" i="10"/>
  <c r="Q1028" i="10"/>
  <c r="R1028" i="10"/>
  <c r="AL1028" i="10"/>
  <c r="AI1028" i="10"/>
  <c r="Z1028" i="10"/>
  <c r="AN1028" i="10" s="1"/>
  <c r="Q1027" i="10"/>
  <c r="R1027" i="10"/>
  <c r="AC1027" i="10"/>
  <c r="AI1027" i="10"/>
  <c r="Z1027" i="10"/>
  <c r="AN1027" i="10" s="1"/>
  <c r="AL1027" i="10"/>
  <c r="R1026" i="10"/>
  <c r="AC1026" i="10"/>
  <c r="Q1026" i="10"/>
  <c r="AL1026" i="10"/>
  <c r="AI1026" i="10"/>
  <c r="Z1026" i="10"/>
  <c r="AN1026" i="10" s="1"/>
  <c r="AC1025" i="10"/>
  <c r="R1025" i="10"/>
  <c r="Q1025" i="10"/>
  <c r="AL1025" i="10"/>
  <c r="AI1025" i="10"/>
  <c r="Z1025" i="10"/>
  <c r="AN1025" i="10" s="1"/>
  <c r="Q1024" i="10"/>
  <c r="R1024" i="10"/>
  <c r="AC1024" i="10"/>
  <c r="AL1024" i="10"/>
  <c r="Z1024" i="10"/>
  <c r="AN1024" i="10" s="1"/>
  <c r="AI1024" i="10"/>
  <c r="R1023" i="10"/>
  <c r="AC1023" i="10"/>
  <c r="Q1023" i="10"/>
  <c r="AL1023" i="10"/>
  <c r="Z1023" i="10"/>
  <c r="AN1023" i="10" s="1"/>
  <c r="AI1023" i="10"/>
  <c r="R1022" i="10"/>
  <c r="Q1022" i="10"/>
  <c r="AC1022" i="10"/>
  <c r="Z1022" i="10"/>
  <c r="AN1022" i="10" s="1"/>
  <c r="AL1022" i="10"/>
  <c r="AI1022" i="10"/>
  <c r="AC1021" i="10"/>
  <c r="R1021" i="10"/>
  <c r="Q1021" i="10"/>
  <c r="AL1021" i="10"/>
  <c r="AI1021" i="10"/>
  <c r="Z1021" i="10"/>
  <c r="AN1021" i="10" s="1"/>
  <c r="AC1020" i="10"/>
  <c r="R1020" i="10"/>
  <c r="Q1020" i="10"/>
  <c r="AL1020" i="10"/>
  <c r="Z1020" i="10"/>
  <c r="AN1020" i="10" s="1"/>
  <c r="AI1020" i="10"/>
  <c r="AC1019" i="10"/>
  <c r="R1019" i="10"/>
  <c r="Q1019" i="10"/>
  <c r="Z1019" i="10"/>
  <c r="AN1019" i="10" s="1"/>
  <c r="AL1019" i="10"/>
  <c r="AI1019" i="10"/>
  <c r="AC1018" i="10"/>
  <c r="R1018" i="10"/>
  <c r="Q1018" i="10"/>
  <c r="AL1018" i="10"/>
  <c r="Z1018" i="10"/>
  <c r="AN1018" i="10" s="1"/>
  <c r="AI1018" i="10"/>
  <c r="R1017" i="10"/>
  <c r="Q1017" i="10"/>
  <c r="AC1017" i="10"/>
  <c r="Z1017" i="10"/>
  <c r="AN1017" i="10" s="1"/>
  <c r="AL1017" i="10"/>
  <c r="AI1017" i="10"/>
  <c r="R1016" i="10"/>
  <c r="AC1016" i="10"/>
  <c r="Q1016" i="10"/>
  <c r="AI1016" i="10"/>
  <c r="AL1016" i="10"/>
  <c r="Z1016" i="10"/>
  <c r="AN1016" i="10" s="1"/>
  <c r="Q1015" i="10"/>
  <c r="R1015" i="10"/>
  <c r="AC1015" i="10"/>
  <c r="AI1015" i="10"/>
  <c r="AL1015" i="10"/>
  <c r="Z1015" i="10"/>
  <c r="AN1015" i="10" s="1"/>
  <c r="Q1014" i="10"/>
  <c r="R1014" i="10"/>
  <c r="AC1014" i="10"/>
  <c r="AI1014" i="10"/>
  <c r="AL1014" i="10"/>
  <c r="Z1014" i="10"/>
  <c r="AN1014" i="10" s="1"/>
  <c r="AC1013" i="10"/>
  <c r="R1013" i="10"/>
  <c r="Q1013" i="10"/>
  <c r="AI1013" i="10"/>
  <c r="Z1013" i="10"/>
  <c r="AN1013" i="10" s="1"/>
  <c r="AL1013" i="10"/>
  <c r="R1012" i="10"/>
  <c r="Q1012" i="10"/>
  <c r="AC1012" i="10"/>
  <c r="AL1012" i="10"/>
  <c r="AI1012" i="10"/>
  <c r="Z1012" i="10"/>
  <c r="AN1012" i="10" s="1"/>
  <c r="Q1011" i="10"/>
  <c r="AC1011" i="10"/>
  <c r="R1011" i="10"/>
  <c r="Z1011" i="10"/>
  <c r="AN1011" i="10" s="1"/>
  <c r="AI1011" i="10"/>
  <c r="AL1011" i="10"/>
  <c r="AC1010" i="10"/>
  <c r="R1010" i="10"/>
  <c r="Q1010" i="10"/>
  <c r="Z1010" i="10"/>
  <c r="AN1010" i="10" s="1"/>
  <c r="AL1010" i="10"/>
  <c r="AI1010" i="10"/>
  <c r="AC1009" i="10"/>
  <c r="R1009" i="10"/>
  <c r="Q1009" i="10"/>
  <c r="AL1009" i="10"/>
  <c r="AI1009" i="10"/>
  <c r="Z1009" i="10"/>
  <c r="AN1009" i="10" s="1"/>
  <c r="R1008" i="10"/>
  <c r="AC1008" i="10"/>
  <c r="Q1008" i="10"/>
  <c r="AL1008" i="10"/>
  <c r="Z1008" i="10"/>
  <c r="AN1008" i="10" s="1"/>
  <c r="AI1008" i="10"/>
  <c r="Q1007" i="10"/>
  <c r="AC1007" i="10"/>
  <c r="R1007" i="10"/>
  <c r="AL1007" i="10"/>
  <c r="Z1007" i="10"/>
  <c r="AN1007" i="10" s="1"/>
  <c r="AI1007" i="10"/>
  <c r="AC1006" i="10"/>
  <c r="R1006" i="10"/>
  <c r="Q1006" i="10"/>
  <c r="AL1006" i="10"/>
  <c r="Z1006" i="10"/>
  <c r="AN1006" i="10" s="1"/>
  <c r="AI1006" i="10"/>
  <c r="AC1005" i="10"/>
  <c r="R1005" i="10"/>
  <c r="Q1005" i="10"/>
  <c r="Z1005" i="10"/>
  <c r="AN1005" i="10" s="1"/>
  <c r="AL1005" i="10"/>
  <c r="AI1005" i="10"/>
  <c r="AC1004" i="10"/>
  <c r="R1004" i="10"/>
  <c r="Q1004" i="10"/>
  <c r="AL1004" i="10"/>
  <c r="AI1004" i="10"/>
  <c r="Z1004" i="10"/>
  <c r="AN1004" i="10" s="1"/>
  <c r="AC1003" i="10"/>
  <c r="R1003" i="10"/>
  <c r="Q1003" i="10"/>
  <c r="AL1003" i="10"/>
  <c r="AI1003" i="10"/>
  <c r="Z1003" i="10"/>
  <c r="AN1003" i="10" s="1"/>
  <c r="Q1002" i="10"/>
  <c r="AC1002" i="10"/>
  <c r="R1002" i="10"/>
  <c r="AI1002" i="10"/>
  <c r="Z1002" i="10"/>
  <c r="AN1002" i="10" s="1"/>
  <c r="AL1002" i="10"/>
  <c r="Q1001" i="10"/>
  <c r="R1001" i="10"/>
  <c r="AC1001" i="10"/>
  <c r="AI1001" i="10"/>
  <c r="AL1001" i="10"/>
  <c r="Z1001" i="10"/>
  <c r="AN1001" i="10" s="1"/>
  <c r="R1000" i="10"/>
  <c r="Q1000" i="10"/>
  <c r="AC1000" i="10"/>
  <c r="AL1000" i="10"/>
  <c r="Z1000" i="10"/>
  <c r="AN1000" i="10" s="1"/>
  <c r="AI1000" i="10"/>
  <c r="Q999" i="10"/>
  <c r="R999" i="10"/>
  <c r="AC999" i="10"/>
  <c r="Z999" i="10"/>
  <c r="AN999" i="10" s="1"/>
  <c r="AI999" i="10"/>
  <c r="AL999" i="10"/>
  <c r="AC998" i="10"/>
  <c r="Q998" i="10"/>
  <c r="R998" i="10"/>
  <c r="Z998" i="10"/>
  <c r="AN998" i="10" s="1"/>
  <c r="AI998" i="10"/>
  <c r="AL998" i="10"/>
  <c r="AC997" i="10"/>
  <c r="R997" i="10"/>
  <c r="Q997" i="10"/>
  <c r="AL997" i="10"/>
  <c r="AI997" i="10"/>
  <c r="Z997" i="10"/>
  <c r="AN997" i="10" s="1"/>
  <c r="AC996" i="10"/>
  <c r="R996" i="10"/>
  <c r="Q996" i="10"/>
  <c r="AL996" i="10"/>
  <c r="AI996" i="10"/>
  <c r="Z996" i="10"/>
  <c r="AN996" i="10" s="1"/>
  <c r="Q995" i="10"/>
  <c r="AC995" i="10"/>
  <c r="R995" i="10"/>
  <c r="Z995" i="10"/>
  <c r="AN995" i="10" s="1"/>
  <c r="AI995" i="10"/>
  <c r="AL995" i="10"/>
  <c r="R994" i="10"/>
  <c r="Q994" i="10"/>
  <c r="AC994" i="10"/>
  <c r="Z994" i="10"/>
  <c r="AN994" i="10" s="1"/>
  <c r="AI994" i="10"/>
  <c r="AL994" i="10"/>
  <c r="AC993" i="10"/>
  <c r="R993" i="10"/>
  <c r="Q993" i="10"/>
  <c r="AI993" i="10"/>
  <c r="AL993" i="10"/>
  <c r="Z993" i="10"/>
  <c r="AN993" i="10" s="1"/>
  <c r="R992" i="10"/>
  <c r="Q992" i="10"/>
  <c r="AC992" i="10"/>
  <c r="Z992" i="10"/>
  <c r="AN992" i="10" s="1"/>
  <c r="AI992" i="10"/>
  <c r="AL992" i="10"/>
  <c r="Q991" i="10"/>
  <c r="AC991" i="10"/>
  <c r="R991" i="10"/>
  <c r="AL991" i="10"/>
  <c r="AI991" i="10"/>
  <c r="Z991" i="10"/>
  <c r="AN991" i="10" s="1"/>
  <c r="Q990" i="10"/>
  <c r="R990" i="10"/>
  <c r="AC990" i="10"/>
  <c r="AL990" i="10"/>
  <c r="AI990" i="10"/>
  <c r="Z990" i="10"/>
  <c r="AN990" i="10" s="1"/>
  <c r="Q989" i="10"/>
  <c r="R989" i="10"/>
  <c r="AC989" i="10"/>
  <c r="AI989" i="10"/>
  <c r="AL989" i="10"/>
  <c r="Z989" i="10"/>
  <c r="AN989" i="10" s="1"/>
  <c r="Q988" i="10"/>
  <c r="R988" i="10"/>
  <c r="AC988" i="10"/>
  <c r="Z988" i="10"/>
  <c r="AN988" i="10" s="1"/>
  <c r="AI988" i="10"/>
  <c r="AL988" i="10"/>
  <c r="R987" i="10"/>
  <c r="Q987" i="10"/>
  <c r="AC987" i="10"/>
  <c r="AI987" i="10"/>
  <c r="Z987" i="10"/>
  <c r="AN987" i="10" s="1"/>
  <c r="AL987" i="10"/>
  <c r="AC986" i="10"/>
  <c r="Q986" i="10"/>
  <c r="R986" i="10"/>
  <c r="Z986" i="10"/>
  <c r="AN986" i="10" s="1"/>
  <c r="AI986" i="10"/>
  <c r="AL986" i="10"/>
  <c r="R985" i="10"/>
  <c r="Q985" i="10"/>
  <c r="AC985" i="10"/>
  <c r="AL985" i="10"/>
  <c r="Z985" i="10"/>
  <c r="AN985" i="10" s="1"/>
  <c r="AI985" i="10"/>
  <c r="AC984" i="10"/>
  <c r="R984" i="10"/>
  <c r="Q984" i="10"/>
  <c r="Z984" i="10"/>
  <c r="AN984" i="10" s="1"/>
  <c r="AI984" i="10"/>
  <c r="AL984" i="10"/>
  <c r="R983" i="10"/>
  <c r="Q983" i="10"/>
  <c r="AC983" i="10"/>
  <c r="Z983" i="10"/>
  <c r="AN983" i="10" s="1"/>
  <c r="AI983" i="10"/>
  <c r="AL983" i="10"/>
  <c r="R982" i="10"/>
  <c r="Q982" i="10"/>
  <c r="AC982" i="10"/>
  <c r="AL982" i="10"/>
  <c r="Z982" i="10"/>
  <c r="AN982" i="10" s="1"/>
  <c r="AI982" i="10"/>
  <c r="Q981" i="10"/>
  <c r="AC981" i="10"/>
  <c r="R981" i="10"/>
  <c r="AL981" i="10"/>
  <c r="Z981" i="10"/>
  <c r="AN981" i="10" s="1"/>
  <c r="AI981" i="10"/>
  <c r="AC980" i="10"/>
  <c r="R980" i="10"/>
  <c r="Q980" i="10"/>
  <c r="AI980" i="10"/>
  <c r="AL980" i="10"/>
  <c r="Z980" i="10"/>
  <c r="AN980" i="10" s="1"/>
  <c r="Q979" i="10"/>
  <c r="R979" i="10"/>
  <c r="AC979" i="10"/>
  <c r="AI979" i="10"/>
  <c r="AL979" i="10"/>
  <c r="Z979" i="10"/>
  <c r="AN979" i="10" s="1"/>
  <c r="AC978" i="10"/>
  <c r="R978" i="10"/>
  <c r="Q978" i="10"/>
  <c r="AI978" i="10"/>
  <c r="AL978" i="10"/>
  <c r="Z978" i="10"/>
  <c r="AN978" i="10" s="1"/>
  <c r="AC977" i="10"/>
  <c r="R977" i="10"/>
  <c r="Q977" i="10"/>
  <c r="AL977" i="10"/>
  <c r="AI977" i="10"/>
  <c r="Z977" i="10"/>
  <c r="AN977" i="10" s="1"/>
  <c r="R976" i="10"/>
  <c r="Q976" i="10"/>
  <c r="AC976" i="10"/>
  <c r="Z976" i="10"/>
  <c r="AN976" i="10" s="1"/>
  <c r="AI976" i="10"/>
  <c r="AL976" i="10"/>
  <c r="AC975" i="10"/>
  <c r="Q975" i="10"/>
  <c r="R975" i="10"/>
  <c r="Z975" i="10"/>
  <c r="AN975" i="10" s="1"/>
  <c r="AL975" i="10"/>
  <c r="AI975" i="10"/>
  <c r="Q974" i="10"/>
  <c r="R974" i="10"/>
  <c r="AC974" i="10"/>
  <c r="Z974" i="10"/>
  <c r="AN974" i="10" s="1"/>
  <c r="AI974" i="10"/>
  <c r="AL974" i="10"/>
  <c r="Q973" i="10"/>
  <c r="R973" i="10"/>
  <c r="AC973" i="10"/>
  <c r="Z973" i="10"/>
  <c r="AN973" i="10" s="1"/>
  <c r="AI973" i="10"/>
  <c r="AC972" i="10"/>
  <c r="R972" i="10"/>
  <c r="Q972" i="10"/>
  <c r="AL972" i="10"/>
  <c r="AI972" i="10"/>
  <c r="Z972" i="10"/>
  <c r="AN972" i="10" s="1"/>
  <c r="R971" i="10"/>
  <c r="AC971" i="10"/>
  <c r="Q971" i="10"/>
  <c r="Z971" i="10"/>
  <c r="AN971" i="10" s="1"/>
  <c r="AI971" i="10"/>
  <c r="AL971" i="10"/>
  <c r="AC970" i="10"/>
  <c r="Q970" i="10"/>
  <c r="R970" i="10"/>
  <c r="AI970" i="10"/>
  <c r="Z970" i="10"/>
  <c r="AN970" i="10" s="1"/>
  <c r="AL970" i="10"/>
  <c r="AC969" i="10"/>
  <c r="R969" i="10"/>
  <c r="Q969" i="10"/>
  <c r="AI969" i="10"/>
  <c r="AL969" i="10"/>
  <c r="Z969" i="10"/>
  <c r="AN969" i="10" s="1"/>
  <c r="Q968" i="10"/>
  <c r="AC968" i="10"/>
  <c r="R968" i="10"/>
  <c r="AL968" i="10"/>
  <c r="AI968" i="10"/>
  <c r="Z968" i="10"/>
  <c r="AN968" i="10" s="1"/>
  <c r="Q967" i="10"/>
  <c r="R967" i="10"/>
  <c r="AC967" i="10"/>
  <c r="AI967" i="10"/>
  <c r="AL967" i="10"/>
  <c r="Z967" i="10"/>
  <c r="AN967" i="10" s="1"/>
  <c r="R966" i="10"/>
  <c r="Q966" i="10"/>
  <c r="AC966" i="10"/>
  <c r="Z966" i="10"/>
  <c r="AN966" i="10" s="1"/>
  <c r="AI966" i="10"/>
  <c r="AL966" i="10"/>
  <c r="AC965" i="10"/>
  <c r="R965" i="10"/>
  <c r="Q965" i="10"/>
  <c r="Z965" i="10"/>
  <c r="AN965" i="10" s="1"/>
  <c r="AI965" i="10"/>
  <c r="AL965" i="10"/>
  <c r="Q964" i="10"/>
  <c r="R964" i="10"/>
  <c r="AC964" i="10"/>
  <c r="AL964" i="10"/>
  <c r="Z964" i="10"/>
  <c r="AN964" i="10" s="1"/>
  <c r="AI964" i="10"/>
  <c r="AC963" i="10"/>
  <c r="Q963" i="10"/>
  <c r="R963" i="10"/>
  <c r="AL963" i="10"/>
  <c r="AI963" i="10"/>
  <c r="Z963" i="10"/>
  <c r="AN963" i="10" s="1"/>
  <c r="Q962" i="10"/>
  <c r="R962" i="10"/>
  <c r="AC962" i="10"/>
  <c r="AI962" i="10"/>
  <c r="Z962" i="10"/>
  <c r="AN962" i="10" s="1"/>
  <c r="AL962" i="10"/>
  <c r="Q961" i="10"/>
  <c r="R961" i="10"/>
  <c r="AC961" i="10"/>
  <c r="Z961" i="10"/>
  <c r="AN961" i="10" s="1"/>
  <c r="AL961" i="10"/>
  <c r="AI961" i="10"/>
  <c r="AC960" i="10"/>
  <c r="R960" i="10"/>
  <c r="Q960" i="10"/>
  <c r="AI960" i="10"/>
  <c r="Z960" i="10"/>
  <c r="AN960" i="10" s="1"/>
  <c r="AL960" i="10"/>
  <c r="R959" i="10"/>
  <c r="Q959" i="10"/>
  <c r="AC959" i="10"/>
  <c r="Z959" i="10"/>
  <c r="AN959" i="10" s="1"/>
  <c r="AI959" i="10"/>
  <c r="AL959" i="10"/>
  <c r="AC958" i="10"/>
  <c r="R958" i="10"/>
  <c r="Q958" i="10"/>
  <c r="Z958" i="10"/>
  <c r="AN958" i="10" s="1"/>
  <c r="AI958" i="10"/>
  <c r="AL958" i="10"/>
  <c r="AC957" i="10"/>
  <c r="R957" i="10"/>
  <c r="Q957" i="10"/>
  <c r="AI957" i="10"/>
  <c r="AL957" i="10"/>
  <c r="Z957" i="10"/>
  <c r="AN957" i="10" s="1"/>
  <c r="Q956" i="10"/>
  <c r="R956" i="10"/>
  <c r="AC956" i="10"/>
  <c r="AI956" i="10"/>
  <c r="AL956" i="10"/>
  <c r="Z956" i="10"/>
  <c r="AN956" i="10" s="1"/>
  <c r="AC955" i="10"/>
  <c r="Q955" i="10"/>
  <c r="R955" i="10"/>
  <c r="AL955" i="10"/>
  <c r="Z955" i="10"/>
  <c r="AN955" i="10" s="1"/>
  <c r="AI955" i="10"/>
  <c r="Q954" i="10"/>
  <c r="R954" i="10"/>
  <c r="AC954" i="10"/>
  <c r="Z954" i="10"/>
  <c r="AN954" i="10" s="1"/>
  <c r="AL954" i="10"/>
  <c r="AI954" i="10"/>
  <c r="AC953" i="10"/>
  <c r="Q953" i="10"/>
  <c r="R953" i="10"/>
  <c r="Z953" i="10"/>
  <c r="AN953" i="10" s="1"/>
  <c r="AI953" i="10"/>
  <c r="AL953" i="10"/>
  <c r="AC952" i="10"/>
  <c r="R952" i="10"/>
  <c r="Q952" i="10"/>
  <c r="Z952" i="10"/>
  <c r="AN952" i="10" s="1"/>
  <c r="AL952" i="10"/>
  <c r="AI952" i="10"/>
  <c r="R951" i="10"/>
  <c r="AC951" i="10"/>
  <c r="Q951" i="10"/>
  <c r="Z951" i="10"/>
  <c r="AN951" i="10" s="1"/>
  <c r="AL951" i="10"/>
  <c r="AI951" i="10"/>
  <c r="R950" i="10"/>
  <c r="Q950" i="10"/>
  <c r="AC950" i="10"/>
  <c r="AL950" i="10"/>
  <c r="AI950" i="10"/>
  <c r="Z950" i="10"/>
  <c r="AN950" i="10" s="1"/>
  <c r="Q949" i="10"/>
  <c r="R949" i="10"/>
  <c r="AC949" i="10"/>
  <c r="AI949" i="10"/>
  <c r="Z949" i="10"/>
  <c r="AN949" i="10" s="1"/>
  <c r="AL949" i="10"/>
  <c r="R948" i="10"/>
  <c r="AC948" i="10"/>
  <c r="Q948" i="10"/>
  <c r="AL948" i="10"/>
  <c r="Z948" i="10"/>
  <c r="AN948" i="10" s="1"/>
  <c r="AI948" i="10"/>
  <c r="Q947" i="10"/>
  <c r="R947" i="10"/>
  <c r="AC947" i="10"/>
  <c r="AL947" i="10"/>
  <c r="Z947" i="10"/>
  <c r="AN947" i="10" s="1"/>
  <c r="AI947" i="10"/>
  <c r="Q946" i="10"/>
  <c r="R946" i="10"/>
  <c r="AC946" i="10"/>
  <c r="AI946" i="10"/>
  <c r="Z946" i="10"/>
  <c r="AN946" i="10" s="1"/>
  <c r="AL946" i="10"/>
  <c r="AC945" i="10"/>
  <c r="Q945" i="10"/>
  <c r="R945" i="10"/>
  <c r="AI945" i="10"/>
  <c r="AL945" i="10"/>
  <c r="Z945" i="10"/>
  <c r="AN945" i="10" s="1"/>
  <c r="Q944" i="10"/>
  <c r="R944" i="10"/>
  <c r="AC944" i="10"/>
  <c r="Z944" i="10"/>
  <c r="AN944" i="10" s="1"/>
  <c r="AI944" i="10"/>
  <c r="AL944" i="10"/>
  <c r="AP943" i="10"/>
  <c r="AD943" i="10"/>
  <c r="Q943" i="10"/>
  <c r="R943" i="10"/>
  <c r="R942" i="10"/>
  <c r="Q942" i="10"/>
  <c r="AC942" i="10"/>
  <c r="Z942" i="10"/>
  <c r="AN942" i="10" s="1"/>
  <c r="AL942" i="10"/>
  <c r="AI942" i="10"/>
  <c r="AC941" i="10"/>
  <c r="Q941" i="10"/>
  <c r="R941" i="10"/>
  <c r="AI941" i="10"/>
  <c r="Z941" i="10"/>
  <c r="AN941" i="10" s="1"/>
  <c r="AL941" i="10"/>
  <c r="AC940" i="10"/>
  <c r="Q940" i="10"/>
  <c r="R940" i="10"/>
  <c r="AL940" i="10"/>
  <c r="AI940" i="10"/>
  <c r="Z940" i="10"/>
  <c r="AN940" i="10" s="1"/>
  <c r="Q939" i="10"/>
  <c r="R939" i="10"/>
  <c r="AC939" i="10"/>
  <c r="Z939" i="10"/>
  <c r="AN939" i="10" s="1"/>
  <c r="AI939" i="10"/>
  <c r="AL939" i="10"/>
  <c r="Q938" i="10"/>
  <c r="AC938" i="10"/>
  <c r="R938" i="10"/>
  <c r="Z938" i="10"/>
  <c r="AN938" i="10" s="1"/>
  <c r="AI938" i="10"/>
  <c r="AL938" i="10"/>
  <c r="Q937" i="10"/>
  <c r="R937" i="10"/>
  <c r="AC937" i="10"/>
  <c r="Z937" i="10"/>
  <c r="AN937" i="10" s="1"/>
  <c r="AI937" i="10"/>
  <c r="AL937" i="10"/>
  <c r="AC936" i="10"/>
  <c r="R936" i="10"/>
  <c r="Q936" i="10"/>
  <c r="AL936" i="10"/>
  <c r="AI936" i="10"/>
  <c r="Z936" i="10"/>
  <c r="AN936" i="10" s="1"/>
  <c r="R935" i="10"/>
  <c r="Q935" i="10"/>
  <c r="AC935" i="10"/>
  <c r="AL935" i="10"/>
  <c r="AI935" i="10"/>
  <c r="Z935" i="10"/>
  <c r="AN935" i="10" s="1"/>
  <c r="R934" i="10"/>
  <c r="Q934" i="10"/>
  <c r="AC934" i="10"/>
  <c r="Z934" i="10"/>
  <c r="AN934" i="10" s="1"/>
  <c r="AL934" i="10"/>
  <c r="AI934" i="10"/>
  <c r="AC933" i="10"/>
  <c r="Q933" i="10"/>
  <c r="R933" i="10"/>
  <c r="AL933" i="10"/>
  <c r="Z933" i="10"/>
  <c r="AN933" i="10" s="1"/>
  <c r="AI933" i="10"/>
  <c r="AC932" i="10"/>
  <c r="R932" i="10"/>
  <c r="Q932" i="10"/>
  <c r="AI932" i="10"/>
  <c r="Z932" i="10"/>
  <c r="AN932" i="10" s="1"/>
  <c r="AL932" i="10"/>
  <c r="AC931" i="10"/>
  <c r="R931" i="10"/>
  <c r="Q931" i="10"/>
  <c r="AL931" i="10"/>
  <c r="Z931" i="10"/>
  <c r="AN931" i="10" s="1"/>
  <c r="AI931" i="10"/>
  <c r="Q930" i="10"/>
  <c r="R930" i="10"/>
  <c r="AC930" i="10"/>
  <c r="Z930" i="10"/>
  <c r="AN930" i="10" s="1"/>
  <c r="AI930" i="10"/>
  <c r="AL930" i="10"/>
  <c r="Q929" i="10"/>
  <c r="R929" i="10"/>
  <c r="AC929" i="10"/>
  <c r="Z929" i="10"/>
  <c r="AN929" i="10" s="1"/>
  <c r="AL929" i="10"/>
  <c r="AI929" i="10"/>
  <c r="AC928" i="10"/>
  <c r="R928" i="10"/>
  <c r="Q928" i="10"/>
  <c r="Z928" i="10"/>
  <c r="AN928" i="10" s="1"/>
  <c r="AI928" i="10"/>
  <c r="AL928" i="10"/>
  <c r="Q927" i="10"/>
  <c r="R927" i="10"/>
  <c r="AC927" i="10"/>
  <c r="AL927" i="10"/>
  <c r="Z927" i="10"/>
  <c r="AN927" i="10" s="1"/>
  <c r="AI927" i="10"/>
  <c r="Q926" i="10"/>
  <c r="R926" i="10"/>
  <c r="AC926" i="10"/>
  <c r="AI926" i="10"/>
  <c r="AL926" i="10"/>
  <c r="Z926" i="10"/>
  <c r="AN926" i="10" s="1"/>
  <c r="R925" i="10"/>
  <c r="AC925" i="10"/>
  <c r="Q925" i="10"/>
  <c r="AL925" i="10"/>
  <c r="AI925" i="10"/>
  <c r="Z925" i="10"/>
  <c r="AN925" i="10" s="1"/>
  <c r="AC924" i="10"/>
  <c r="R924" i="10"/>
  <c r="Q924" i="10"/>
  <c r="AL924" i="10"/>
  <c r="AI924" i="10"/>
  <c r="Z924" i="10"/>
  <c r="AN924" i="10" s="1"/>
  <c r="AC923" i="10"/>
  <c r="Q923" i="10"/>
  <c r="R923" i="10"/>
  <c r="AI923" i="10"/>
  <c r="Z923" i="10"/>
  <c r="AN923" i="10" s="1"/>
  <c r="AL923" i="10"/>
  <c r="AC922" i="10"/>
  <c r="R922" i="10"/>
  <c r="Q922" i="10"/>
  <c r="AI922" i="10"/>
  <c r="AL922" i="10"/>
  <c r="Z922" i="10"/>
  <c r="AN922" i="10" s="1"/>
  <c r="R921" i="10"/>
  <c r="AC921" i="10"/>
  <c r="Q921" i="10"/>
  <c r="AL921" i="10"/>
  <c r="Z921" i="10"/>
  <c r="AN921" i="10" s="1"/>
  <c r="AI921" i="10"/>
  <c r="R920" i="10"/>
  <c r="Q920" i="10"/>
  <c r="AC920" i="10"/>
  <c r="AI920" i="10"/>
  <c r="AL920" i="10"/>
  <c r="Z920" i="10"/>
  <c r="AN920" i="10" s="1"/>
  <c r="Q919" i="10"/>
  <c r="AC919" i="10"/>
  <c r="R919" i="10"/>
  <c r="Z919" i="10"/>
  <c r="AN919" i="10" s="1"/>
  <c r="AI919" i="10"/>
  <c r="AL919" i="10"/>
  <c r="Q918" i="10"/>
  <c r="R918" i="10"/>
  <c r="AC918" i="10"/>
  <c r="Z918" i="10"/>
  <c r="AN918" i="10" s="1"/>
  <c r="AL918" i="10"/>
  <c r="AI918" i="10"/>
  <c r="Q917" i="10"/>
  <c r="AC917" i="10"/>
  <c r="R917" i="10"/>
  <c r="AL917" i="10"/>
  <c r="AI917" i="10"/>
  <c r="Z917" i="10"/>
  <c r="AN917" i="10" s="1"/>
  <c r="R916" i="10"/>
  <c r="Q916" i="10"/>
  <c r="AC916" i="10"/>
  <c r="AI916" i="10"/>
  <c r="Z916" i="10"/>
  <c r="AN916" i="10" s="1"/>
  <c r="AL916" i="10"/>
  <c r="R915" i="10"/>
  <c r="Q915" i="10"/>
  <c r="AC915" i="10"/>
  <c r="AI915" i="10"/>
  <c r="AL915" i="10"/>
  <c r="Z915" i="10"/>
  <c r="AN915" i="10" s="1"/>
  <c r="Q914" i="10"/>
  <c r="R914" i="10"/>
  <c r="AC914" i="10"/>
  <c r="Z914" i="10"/>
  <c r="AN914" i="10" s="1"/>
  <c r="AI914" i="10"/>
  <c r="AL914" i="10"/>
  <c r="AC913" i="10"/>
  <c r="R913" i="10"/>
  <c r="Q913" i="10"/>
  <c r="AI913" i="10"/>
  <c r="Z913" i="10"/>
  <c r="AN913" i="10" s="1"/>
  <c r="AL913" i="10"/>
  <c r="AC912" i="10"/>
  <c r="Q912" i="10"/>
  <c r="R912" i="10"/>
  <c r="Z912" i="10"/>
  <c r="AN912" i="10" s="1"/>
  <c r="AI912" i="10"/>
  <c r="AL912" i="10"/>
  <c r="AC911" i="10"/>
  <c r="Q911" i="10"/>
  <c r="R911" i="10"/>
  <c r="AL911" i="10"/>
  <c r="AI911" i="10"/>
  <c r="Z911" i="10"/>
  <c r="AN911" i="10" s="1"/>
  <c r="R910" i="10"/>
  <c r="AC910" i="10"/>
  <c r="Q910" i="10"/>
  <c r="Z910" i="10"/>
  <c r="AN910" i="10" s="1"/>
  <c r="AI910" i="10"/>
  <c r="AL910" i="10"/>
  <c r="AC909" i="10"/>
  <c r="Q909" i="10"/>
  <c r="R909" i="10"/>
  <c r="AL909" i="10"/>
  <c r="AI909" i="10"/>
  <c r="Z909" i="10"/>
  <c r="AN909" i="10" s="1"/>
  <c r="AC908" i="10"/>
  <c r="Q908" i="10"/>
  <c r="R908" i="10"/>
  <c r="Z908" i="10"/>
  <c r="AN908" i="10" s="1"/>
  <c r="AI908" i="10"/>
  <c r="AL908" i="10"/>
  <c r="R907" i="10"/>
  <c r="Q907" i="10"/>
  <c r="AC907" i="10"/>
  <c r="Z907" i="10"/>
  <c r="AN907" i="10" s="1"/>
  <c r="AL907" i="10"/>
  <c r="AI907" i="10"/>
  <c r="AC906" i="10"/>
  <c r="R906" i="10"/>
  <c r="Q906" i="10"/>
  <c r="AI906" i="10"/>
  <c r="AL906" i="10"/>
  <c r="Z906" i="10"/>
  <c r="AN906" i="10" s="1"/>
  <c r="AC905" i="10"/>
  <c r="R905" i="10"/>
  <c r="Q905" i="10"/>
  <c r="Z905" i="10"/>
  <c r="AN905" i="10" s="1"/>
  <c r="AI905" i="10"/>
  <c r="AL905" i="10"/>
  <c r="Q904" i="10"/>
  <c r="R904" i="10"/>
  <c r="AC904" i="10"/>
  <c r="AL904" i="10"/>
  <c r="AI904" i="10"/>
  <c r="Z904" i="10"/>
  <c r="AN904" i="10" s="1"/>
  <c r="AC903" i="10"/>
  <c r="Q903" i="10"/>
  <c r="R903" i="10"/>
  <c r="AI903" i="10"/>
  <c r="AL903" i="10"/>
  <c r="Z903" i="10"/>
  <c r="AN903" i="10" s="1"/>
  <c r="R902" i="10"/>
  <c r="Q902" i="10"/>
  <c r="AC902" i="10"/>
  <c r="AI902" i="10"/>
  <c r="Z902" i="10"/>
  <c r="AN902" i="10" s="1"/>
  <c r="AL902" i="10"/>
  <c r="R901" i="10"/>
  <c r="AC901" i="10"/>
  <c r="Q901" i="10"/>
  <c r="AL901" i="10"/>
  <c r="AI901" i="10"/>
  <c r="Z901" i="10"/>
  <c r="AN901" i="10" s="1"/>
  <c r="AC900" i="10"/>
  <c r="Q900" i="10"/>
  <c r="R900" i="10"/>
  <c r="Z900" i="10"/>
  <c r="AN900" i="10" s="1"/>
  <c r="AL900" i="10"/>
  <c r="AI900" i="10"/>
  <c r="Q899" i="10"/>
  <c r="R899" i="10"/>
  <c r="AC899" i="10"/>
  <c r="AI899" i="10"/>
  <c r="AL899" i="10"/>
  <c r="Z899" i="10"/>
  <c r="AN899" i="10" s="1"/>
  <c r="R898" i="10"/>
  <c r="AC898" i="10"/>
  <c r="Q898" i="10"/>
  <c r="AI898" i="10"/>
  <c r="Z898" i="10"/>
  <c r="AN898" i="10" s="1"/>
  <c r="AL898" i="10"/>
  <c r="R897" i="10"/>
  <c r="Q897" i="10"/>
  <c r="AC897" i="10"/>
  <c r="AL897" i="10"/>
  <c r="Z897" i="10"/>
  <c r="AN897" i="10" s="1"/>
  <c r="AI897" i="10"/>
  <c r="Q896" i="10"/>
  <c r="R896" i="10"/>
  <c r="AC896" i="10"/>
  <c r="Z896" i="10"/>
  <c r="AN896" i="10" s="1"/>
  <c r="AI896" i="10"/>
  <c r="AL896" i="10"/>
  <c r="R895" i="10"/>
  <c r="AC895" i="10"/>
  <c r="Q895" i="10"/>
  <c r="AI895" i="10"/>
  <c r="Z895" i="10"/>
  <c r="AN895" i="10" s="1"/>
  <c r="AL895" i="10"/>
  <c r="Q894" i="10"/>
  <c r="R894" i="10"/>
  <c r="AC894" i="10"/>
  <c r="AL894" i="10"/>
  <c r="Z894" i="10"/>
  <c r="AN894" i="10" s="1"/>
  <c r="AI894" i="10"/>
  <c r="AC893" i="10"/>
  <c r="Q893" i="10"/>
  <c r="R893" i="10"/>
  <c r="Z893" i="10"/>
  <c r="AN893" i="10" s="1"/>
  <c r="AI893" i="10"/>
  <c r="AL893" i="10"/>
  <c r="Q892" i="10"/>
  <c r="R892" i="10"/>
  <c r="AC892" i="10"/>
  <c r="Z892" i="10"/>
  <c r="AN892" i="10" s="1"/>
  <c r="AI892" i="10"/>
  <c r="AL892" i="10"/>
  <c r="AC891" i="10"/>
  <c r="Q891" i="10"/>
  <c r="R891" i="10"/>
  <c r="AL891" i="10"/>
  <c r="AI891" i="10"/>
  <c r="Z891" i="10"/>
  <c r="AN891" i="10" s="1"/>
  <c r="AC890" i="10"/>
  <c r="Q890" i="10"/>
  <c r="R890" i="10"/>
  <c r="Z890" i="10"/>
  <c r="AN890" i="10" s="1"/>
  <c r="AI890" i="10"/>
  <c r="AL890" i="10"/>
  <c r="Q889" i="10"/>
  <c r="R889" i="10"/>
  <c r="AC889" i="10"/>
  <c r="AL889" i="10"/>
  <c r="Z889" i="10"/>
  <c r="AN889" i="10" s="1"/>
  <c r="AI889" i="10"/>
  <c r="Q888" i="10"/>
  <c r="R888" i="10"/>
  <c r="AC888" i="10"/>
  <c r="AI888" i="10"/>
  <c r="AL888" i="10"/>
  <c r="Z888" i="10"/>
  <c r="AN888" i="10" s="1"/>
  <c r="AC887" i="10"/>
  <c r="Q887" i="10"/>
  <c r="R887" i="10"/>
  <c r="Z887" i="10"/>
  <c r="AN887" i="10" s="1"/>
  <c r="AL887" i="10"/>
  <c r="AI887" i="10"/>
  <c r="AC886" i="10"/>
  <c r="R886" i="10"/>
  <c r="Q886" i="10"/>
  <c r="AL886" i="10"/>
  <c r="Z886" i="10"/>
  <c r="AN886" i="10" s="1"/>
  <c r="AI886" i="10"/>
  <c r="Q885" i="10"/>
  <c r="R885" i="10"/>
  <c r="AC885" i="10"/>
  <c r="AI885" i="10"/>
  <c r="AL885" i="10"/>
  <c r="Z885" i="10"/>
  <c r="AN885" i="10" s="1"/>
  <c r="AC884" i="10"/>
  <c r="Q884" i="10"/>
  <c r="R884" i="10"/>
  <c r="AI884" i="10"/>
  <c r="Z884" i="10"/>
  <c r="AN884" i="10" s="1"/>
  <c r="AL884" i="10"/>
  <c r="AC883" i="10"/>
  <c r="R883" i="10"/>
  <c r="Q883" i="10"/>
  <c r="AI883" i="10"/>
  <c r="Z883" i="10"/>
  <c r="AN883" i="10" s="1"/>
  <c r="AL883" i="10"/>
  <c r="AC882" i="10"/>
  <c r="Q882" i="10"/>
  <c r="R882" i="10"/>
  <c r="AL882" i="10"/>
  <c r="AI882" i="10"/>
  <c r="Z882" i="10"/>
  <c r="AN882" i="10" s="1"/>
  <c r="R881" i="10"/>
  <c r="AC881" i="10"/>
  <c r="Q881" i="10"/>
  <c r="Z881" i="10"/>
  <c r="AN881" i="10" s="1"/>
  <c r="AI881" i="10"/>
  <c r="AL881" i="10"/>
  <c r="Q880" i="10"/>
  <c r="AC880" i="10"/>
  <c r="R880" i="10"/>
  <c r="AI880" i="10"/>
  <c r="Z880" i="10"/>
  <c r="AN880" i="10" s="1"/>
  <c r="AL880" i="10"/>
  <c r="R879" i="10"/>
  <c r="AC879" i="10"/>
  <c r="Q879" i="10"/>
  <c r="AI879" i="10"/>
  <c r="Z879" i="10"/>
  <c r="AN879" i="10" s="1"/>
  <c r="AL879" i="10"/>
  <c r="AP878" i="10"/>
  <c r="AD878" i="10"/>
  <c r="R878" i="10"/>
  <c r="Q878" i="10"/>
  <c r="AC877" i="10"/>
  <c r="Q877" i="10"/>
  <c r="R877" i="10"/>
  <c r="AL877" i="10"/>
  <c r="AI877" i="10"/>
  <c r="Z877" i="10"/>
  <c r="AN877" i="10" s="1"/>
  <c r="R876" i="10"/>
  <c r="Q876" i="10"/>
  <c r="AC876" i="10"/>
  <c r="Z876" i="10"/>
  <c r="AN876" i="10" s="1"/>
  <c r="AL876" i="10"/>
  <c r="AI876" i="10"/>
  <c r="AC875" i="10"/>
  <c r="Q875" i="10"/>
  <c r="R875" i="10"/>
  <c r="AL875" i="10"/>
  <c r="AI875" i="10"/>
  <c r="Z875" i="10"/>
  <c r="AN875" i="10" s="1"/>
  <c r="AC874" i="10"/>
  <c r="R874" i="10"/>
  <c r="Q874" i="10"/>
  <c r="AL874" i="10"/>
  <c r="AI874" i="10"/>
  <c r="Z874" i="10"/>
  <c r="AN874" i="10" s="1"/>
  <c r="AC873" i="10"/>
  <c r="R873" i="10"/>
  <c r="Q873" i="10"/>
  <c r="AL873" i="10"/>
  <c r="AI873" i="10"/>
  <c r="Z873" i="10"/>
  <c r="AN873" i="10" s="1"/>
  <c r="R872" i="10"/>
  <c r="AC872" i="10"/>
  <c r="Q872" i="10"/>
  <c r="AL872" i="10"/>
  <c r="AI872" i="10"/>
  <c r="Z872" i="10"/>
  <c r="AN872" i="10" s="1"/>
  <c r="AC871" i="10"/>
  <c r="Q871" i="10"/>
  <c r="R871" i="10"/>
  <c r="AI871" i="10"/>
  <c r="AL871" i="10"/>
  <c r="Z871" i="10"/>
  <c r="AN871" i="10" s="1"/>
  <c r="AC870" i="10"/>
  <c r="R870" i="10"/>
  <c r="Q870" i="10"/>
  <c r="AL870" i="10"/>
  <c r="AI870" i="10"/>
  <c r="Z870" i="10"/>
  <c r="AN870" i="10" s="1"/>
  <c r="AC869" i="10"/>
  <c r="Q869" i="10"/>
  <c r="R869" i="10"/>
  <c r="AL869" i="10"/>
  <c r="AI869" i="10"/>
  <c r="Z869" i="10"/>
  <c r="AN869" i="10" s="1"/>
  <c r="Q868" i="10"/>
  <c r="AC868" i="10"/>
  <c r="R868" i="10"/>
  <c r="Z868" i="10"/>
  <c r="AN868" i="10" s="1"/>
  <c r="AI868" i="10"/>
  <c r="AL868" i="10"/>
  <c r="AC867" i="10"/>
  <c r="Q867" i="10"/>
  <c r="R867" i="10"/>
  <c r="AI867" i="10"/>
  <c r="AL867" i="10"/>
  <c r="Z867" i="10"/>
  <c r="AN867" i="10" s="1"/>
  <c r="R866" i="10"/>
  <c r="AC866" i="10"/>
  <c r="Q866" i="10"/>
  <c r="Z866" i="10"/>
  <c r="AN866" i="10" s="1"/>
  <c r="AI866" i="10"/>
  <c r="AL866" i="10"/>
  <c r="AC865" i="10"/>
  <c r="Q865" i="10"/>
  <c r="R865" i="10"/>
  <c r="AL865" i="10"/>
  <c r="Z865" i="10"/>
  <c r="AN865" i="10" s="1"/>
  <c r="AI865" i="10"/>
  <c r="R864" i="10"/>
  <c r="Q864" i="10"/>
  <c r="AC864" i="10"/>
  <c r="Z864" i="10"/>
  <c r="AN864" i="10" s="1"/>
  <c r="AI864" i="10"/>
  <c r="AL864" i="10"/>
  <c r="Q863" i="10"/>
  <c r="R863" i="10"/>
  <c r="AC863" i="10"/>
  <c r="Z863" i="10"/>
  <c r="AN863" i="10" s="1"/>
  <c r="AI863" i="10"/>
  <c r="AL863" i="10"/>
  <c r="AC862" i="10"/>
  <c r="R862" i="10"/>
  <c r="Q862" i="10"/>
  <c r="AL862" i="10"/>
  <c r="AI862" i="10"/>
  <c r="Z862" i="10"/>
  <c r="AN862" i="10" s="1"/>
  <c r="AC861" i="10"/>
  <c r="R861" i="10"/>
  <c r="Q861" i="10"/>
  <c r="AI861" i="10"/>
  <c r="Z861" i="10"/>
  <c r="AN861" i="10" s="1"/>
  <c r="AL861" i="10"/>
  <c r="R860" i="10"/>
  <c r="Q860" i="10"/>
  <c r="AC860" i="10"/>
  <c r="AL860" i="10"/>
  <c r="AI860" i="10"/>
  <c r="Z860" i="10"/>
  <c r="AN860" i="10" s="1"/>
  <c r="R859" i="10"/>
  <c r="Q859" i="10"/>
  <c r="AC859" i="10"/>
  <c r="AL859" i="10"/>
  <c r="Z859" i="10"/>
  <c r="AN859" i="10" s="1"/>
  <c r="AI859" i="10"/>
  <c r="Q858" i="10"/>
  <c r="AC858" i="10"/>
  <c r="R858" i="10"/>
  <c r="AL858" i="10"/>
  <c r="AI858" i="10"/>
  <c r="Z858" i="10"/>
  <c r="AN858" i="10" s="1"/>
  <c r="Q857" i="10"/>
  <c r="AC857" i="10"/>
  <c r="R857" i="10"/>
  <c r="AI857" i="10"/>
  <c r="AL857" i="10"/>
  <c r="Z857" i="10"/>
  <c r="AN857" i="10" s="1"/>
  <c r="AC856" i="10"/>
  <c r="R856" i="10"/>
  <c r="Q856" i="10"/>
  <c r="AI856" i="10"/>
  <c r="AL856" i="10"/>
  <c r="Z856" i="10"/>
  <c r="AN856" i="10" s="1"/>
  <c r="Q855" i="10"/>
  <c r="R855" i="10"/>
  <c r="AC855" i="10"/>
  <c r="Z855" i="10"/>
  <c r="AN855" i="10" s="1"/>
  <c r="AL855" i="10"/>
  <c r="AI855" i="10"/>
  <c r="AC854" i="10"/>
  <c r="R854" i="10"/>
  <c r="Q854" i="10"/>
  <c r="AL854" i="10"/>
  <c r="AI854" i="10"/>
  <c r="Z854" i="10"/>
  <c r="AN854" i="10" s="1"/>
  <c r="AC853" i="10"/>
  <c r="R853" i="10"/>
  <c r="Q853" i="10"/>
  <c r="AL853" i="10"/>
  <c r="Z853" i="10"/>
  <c r="AN853" i="10" s="1"/>
  <c r="AI853" i="10"/>
  <c r="Q852" i="10"/>
  <c r="AC852" i="10"/>
  <c r="R852" i="10"/>
  <c r="AL852" i="10"/>
  <c r="AI852" i="10"/>
  <c r="Z852" i="10"/>
  <c r="AN852" i="10" s="1"/>
  <c r="AC851" i="10"/>
  <c r="R851" i="10"/>
  <c r="Q851" i="10"/>
  <c r="AL851" i="10"/>
  <c r="AI851" i="10"/>
  <c r="Z851" i="10"/>
  <c r="AN851" i="10" s="1"/>
  <c r="AC850" i="10"/>
  <c r="R850" i="10"/>
  <c r="Q850" i="10"/>
  <c r="Z850" i="10"/>
  <c r="AN850" i="10" s="1"/>
  <c r="AL850" i="10"/>
  <c r="AI850" i="10"/>
  <c r="AC849" i="10"/>
  <c r="R849" i="10"/>
  <c r="Q849" i="10"/>
  <c r="AL849" i="10"/>
  <c r="AI849" i="10"/>
  <c r="Z849" i="10"/>
  <c r="AN849" i="10" s="1"/>
  <c r="AC848" i="10"/>
  <c r="R848" i="10"/>
  <c r="Q848" i="10"/>
  <c r="Z848" i="10"/>
  <c r="AN848" i="10" s="1"/>
  <c r="AI848" i="10"/>
  <c r="AL848" i="10"/>
  <c r="AC847" i="10"/>
  <c r="R847" i="10"/>
  <c r="Q847" i="10"/>
  <c r="AL847" i="10"/>
  <c r="AI847" i="10"/>
  <c r="Z847" i="10"/>
  <c r="AN847" i="10" s="1"/>
  <c r="AC846" i="10"/>
  <c r="R846" i="10"/>
  <c r="Q846" i="10"/>
  <c r="AL846" i="10"/>
  <c r="AI846" i="10"/>
  <c r="Z846" i="10"/>
  <c r="AN846" i="10" s="1"/>
  <c r="AC845" i="10"/>
  <c r="R845" i="10"/>
  <c r="Q845" i="10"/>
  <c r="Z845" i="10"/>
  <c r="AN845" i="10" s="1"/>
  <c r="AI845" i="10"/>
  <c r="AL845" i="10"/>
  <c r="R844" i="10"/>
  <c r="AC844" i="10"/>
  <c r="Q844" i="10"/>
  <c r="AI844" i="10"/>
  <c r="AL844" i="10"/>
  <c r="Z844" i="10"/>
  <c r="AN844" i="10" s="1"/>
  <c r="AC843" i="10"/>
  <c r="R843" i="10"/>
  <c r="Q843" i="10"/>
  <c r="AI843" i="10"/>
  <c r="Z843" i="10"/>
  <c r="AN843" i="10" s="1"/>
  <c r="AL843" i="10"/>
  <c r="AC842" i="10"/>
  <c r="R842" i="10"/>
  <c r="Q842" i="10"/>
  <c r="AI842" i="10"/>
  <c r="AL842" i="10"/>
  <c r="Z842" i="10"/>
  <c r="AN842" i="10" s="1"/>
  <c r="R841" i="10"/>
  <c r="AC841" i="10"/>
  <c r="Q841" i="10"/>
  <c r="AI841" i="10"/>
  <c r="AL841" i="10"/>
  <c r="Z841" i="10"/>
  <c r="AN841" i="10" s="1"/>
  <c r="AC840" i="10"/>
  <c r="R840" i="10"/>
  <c r="Q840" i="10"/>
  <c r="Z840" i="10"/>
  <c r="AN840" i="10" s="1"/>
  <c r="AL840" i="10"/>
  <c r="AI840" i="10"/>
  <c r="AC839" i="10"/>
  <c r="R839" i="10"/>
  <c r="Q839" i="10"/>
  <c r="AL839" i="10"/>
  <c r="AI839" i="10"/>
  <c r="Z839" i="10"/>
  <c r="AN839" i="10" s="1"/>
  <c r="Q838" i="10"/>
  <c r="R838" i="10"/>
  <c r="AC838" i="10"/>
  <c r="AI838" i="10"/>
  <c r="Z838" i="10"/>
  <c r="AN838" i="10" s="1"/>
  <c r="AL838" i="10"/>
  <c r="R837" i="10"/>
  <c r="AC837" i="10"/>
  <c r="Q837" i="10"/>
  <c r="AL837" i="10"/>
  <c r="AI837" i="10"/>
  <c r="R836" i="10"/>
  <c r="Q836" i="10"/>
  <c r="AC836" i="10"/>
  <c r="Z836" i="10"/>
  <c r="AN836" i="10" s="1"/>
  <c r="AI836" i="10"/>
  <c r="AL836" i="10"/>
  <c r="R835" i="10"/>
  <c r="AC835" i="10"/>
  <c r="Q835" i="10"/>
  <c r="Z835" i="10"/>
  <c r="AN835" i="10" s="1"/>
  <c r="AL835" i="10"/>
  <c r="AI835" i="10"/>
  <c r="Q834" i="10"/>
  <c r="R834" i="10"/>
  <c r="AC834" i="10"/>
  <c r="AI834" i="10"/>
  <c r="Z834" i="10"/>
  <c r="AN834" i="10" s="1"/>
  <c r="AL834" i="10"/>
  <c r="AC833" i="10"/>
  <c r="Q833" i="10"/>
  <c r="R833" i="10"/>
  <c r="AI833" i="10"/>
  <c r="Z833" i="10"/>
  <c r="AN833" i="10" s="1"/>
  <c r="AL833" i="10"/>
  <c r="R832" i="10"/>
  <c r="AC832" i="10"/>
  <c r="Q832" i="10"/>
  <c r="AI832" i="10"/>
  <c r="Z832" i="10"/>
  <c r="AN832" i="10" s="1"/>
  <c r="AL832" i="10"/>
  <c r="Q831" i="10"/>
  <c r="AC831" i="10"/>
  <c r="R831" i="10"/>
  <c r="Z831" i="10"/>
  <c r="AN831" i="10" s="1"/>
  <c r="AL831" i="10"/>
  <c r="AI831" i="10"/>
  <c r="R830" i="10"/>
  <c r="AC830" i="10"/>
  <c r="Q830" i="10"/>
  <c r="AI830" i="10"/>
  <c r="AL830" i="10"/>
  <c r="Z830" i="10"/>
  <c r="AN830" i="10" s="1"/>
  <c r="Q829" i="10"/>
  <c r="R829" i="10"/>
  <c r="AC829" i="10"/>
  <c r="AI829" i="10"/>
  <c r="AL829" i="10"/>
  <c r="Z829" i="10"/>
  <c r="AN829" i="10" s="1"/>
  <c r="R828" i="10"/>
  <c r="AC828" i="10"/>
  <c r="Q828" i="10"/>
  <c r="Z828" i="10"/>
  <c r="AN828" i="10" s="1"/>
  <c r="AL828" i="10"/>
  <c r="AI828" i="10"/>
  <c r="AC827" i="10"/>
  <c r="Q827" i="10"/>
  <c r="R827" i="10"/>
  <c r="AI827" i="10"/>
  <c r="AL827" i="10"/>
  <c r="Z827" i="10"/>
  <c r="AN827" i="10" s="1"/>
  <c r="Q826" i="10"/>
  <c r="R826" i="10"/>
  <c r="AC826" i="10"/>
  <c r="AI826" i="10"/>
  <c r="Z826" i="10"/>
  <c r="AN826" i="10" s="1"/>
  <c r="AL826" i="10"/>
  <c r="Q825" i="10"/>
  <c r="AC825" i="10"/>
  <c r="R825" i="10"/>
  <c r="AL825" i="10"/>
  <c r="AI825" i="10"/>
  <c r="Z825" i="10"/>
  <c r="AN825" i="10" s="1"/>
  <c r="R824" i="10"/>
  <c r="Q824" i="10"/>
  <c r="AC824" i="10"/>
  <c r="Z824" i="10"/>
  <c r="AN824" i="10" s="1"/>
  <c r="AL824" i="10"/>
  <c r="AI824" i="10"/>
  <c r="R823" i="10"/>
  <c r="AC823" i="10"/>
  <c r="Q823" i="10"/>
  <c r="Z823" i="10"/>
  <c r="AN823" i="10" s="1"/>
  <c r="AL823" i="10"/>
  <c r="AI823" i="10"/>
  <c r="R822" i="10"/>
  <c r="Q822" i="10"/>
  <c r="AC822" i="10"/>
  <c r="AL822" i="10"/>
  <c r="Z822" i="10"/>
  <c r="AN822" i="10" s="1"/>
  <c r="AI822" i="10"/>
  <c r="AC821" i="10"/>
  <c r="Q821" i="10"/>
  <c r="R821" i="10"/>
  <c r="AL821" i="10"/>
  <c r="Z821" i="10"/>
  <c r="AN821" i="10" s="1"/>
  <c r="AI821" i="10"/>
  <c r="R820" i="10"/>
  <c r="AC820" i="10"/>
  <c r="Q820" i="10"/>
  <c r="Z820" i="10"/>
  <c r="AN820" i="10" s="1"/>
  <c r="AL820" i="10"/>
  <c r="AI820" i="10"/>
  <c r="AC819" i="10"/>
  <c r="R819" i="10"/>
  <c r="Q819" i="10"/>
  <c r="AL819" i="10"/>
  <c r="AI819" i="10"/>
  <c r="Z819" i="10"/>
  <c r="AN819" i="10" s="1"/>
  <c r="R818" i="10"/>
  <c r="Q818" i="10"/>
  <c r="AC818" i="10"/>
  <c r="AL818" i="10"/>
  <c r="Z818" i="10"/>
  <c r="AN818" i="10" s="1"/>
  <c r="AI818" i="10"/>
  <c r="Q817" i="10"/>
  <c r="AC817" i="10"/>
  <c r="R817" i="10"/>
  <c r="AL817" i="10"/>
  <c r="AI817" i="10"/>
  <c r="Z817" i="10"/>
  <c r="AN817" i="10" s="1"/>
  <c r="R816" i="10"/>
  <c r="Q816" i="10"/>
  <c r="AC816" i="10"/>
  <c r="AI816" i="10"/>
  <c r="Z816" i="10"/>
  <c r="AN816" i="10" s="1"/>
  <c r="AL816" i="10"/>
  <c r="AC815" i="10"/>
  <c r="Q815" i="10"/>
  <c r="R815" i="10"/>
  <c r="Z815" i="10"/>
  <c r="AN815" i="10" s="1"/>
  <c r="AI815" i="10"/>
  <c r="AL815" i="10"/>
  <c r="R814" i="10"/>
  <c r="AC814" i="10"/>
  <c r="Q814" i="10"/>
  <c r="AI814" i="10"/>
  <c r="AL814" i="10"/>
  <c r="Z814" i="10"/>
  <c r="AN814" i="10" s="1"/>
  <c r="AC813" i="10"/>
  <c r="R813" i="10"/>
  <c r="Q813" i="10"/>
  <c r="Z813" i="10"/>
  <c r="AN813" i="10" s="1"/>
  <c r="AI813" i="10"/>
  <c r="AC812" i="10"/>
  <c r="R812" i="10"/>
  <c r="Q812" i="10"/>
  <c r="AL812" i="10"/>
  <c r="AI812" i="10"/>
  <c r="Z812" i="10"/>
  <c r="AN812" i="10" s="1"/>
  <c r="AC811" i="10"/>
  <c r="R811" i="10"/>
  <c r="Q811" i="10"/>
  <c r="Z811" i="10"/>
  <c r="AN811" i="10" s="1"/>
  <c r="AI811" i="10"/>
  <c r="AL811" i="10"/>
  <c r="AC810" i="10"/>
  <c r="R810" i="10"/>
  <c r="Q810" i="10"/>
  <c r="AL810" i="10"/>
  <c r="AI810" i="10"/>
  <c r="Z810" i="10"/>
  <c r="AN810" i="10" s="1"/>
  <c r="AC809" i="10"/>
  <c r="R809" i="10"/>
  <c r="Q809" i="10"/>
  <c r="AL809" i="10"/>
  <c r="AI809" i="10"/>
  <c r="Z809" i="10"/>
  <c r="AN809" i="10" s="1"/>
  <c r="AC808" i="10"/>
  <c r="R808" i="10"/>
  <c r="Q808" i="10"/>
  <c r="Z808" i="10"/>
  <c r="AN808" i="10" s="1"/>
  <c r="AI808" i="10"/>
  <c r="AL808" i="10"/>
  <c r="AC807" i="10"/>
  <c r="R807" i="10"/>
  <c r="Q807" i="10"/>
  <c r="AL807" i="10"/>
  <c r="AI807" i="10"/>
  <c r="Z807" i="10"/>
  <c r="AN807" i="10" s="1"/>
  <c r="AC806" i="10"/>
  <c r="R806" i="10"/>
  <c r="Q806" i="10"/>
  <c r="AL806" i="10"/>
  <c r="AI806" i="10"/>
  <c r="Z806" i="10"/>
  <c r="AN806" i="10" s="1"/>
  <c r="AC805" i="10"/>
  <c r="R805" i="10"/>
  <c r="Q805" i="10"/>
  <c r="AL805" i="10"/>
  <c r="AI805" i="10"/>
  <c r="Z805" i="10"/>
  <c r="AN805" i="10" s="1"/>
  <c r="AC804" i="10"/>
  <c r="R804" i="10"/>
  <c r="Q804" i="10"/>
  <c r="AL804" i="10"/>
  <c r="AI804" i="10"/>
  <c r="Z804" i="10"/>
  <c r="AN804" i="10" s="1"/>
  <c r="AC803" i="10"/>
  <c r="R803" i="10"/>
  <c r="Q803" i="10"/>
  <c r="AI803" i="10"/>
  <c r="Z803" i="10"/>
  <c r="AN803" i="10" s="1"/>
  <c r="AL803" i="10"/>
  <c r="Q802" i="10"/>
  <c r="R802" i="10"/>
  <c r="AC802" i="10"/>
  <c r="AL802" i="10"/>
  <c r="AI802" i="10"/>
  <c r="Z802" i="10"/>
  <c r="AN802" i="10" s="1"/>
  <c r="AC801" i="10"/>
  <c r="R801" i="10"/>
  <c r="Q801" i="10"/>
  <c r="AL801" i="10"/>
  <c r="AI801" i="10"/>
  <c r="Z801" i="10"/>
  <c r="AN801" i="10" s="1"/>
  <c r="AC800" i="10"/>
  <c r="R800" i="10"/>
  <c r="Q800" i="10"/>
  <c r="AI800" i="10"/>
  <c r="AL800" i="10"/>
  <c r="Z800" i="10"/>
  <c r="AN800" i="10" s="1"/>
  <c r="AC799" i="10"/>
  <c r="R799" i="10"/>
  <c r="Q799" i="10"/>
  <c r="AL799" i="10"/>
  <c r="AI799" i="10"/>
  <c r="Z799" i="10"/>
  <c r="AN799" i="10" s="1"/>
  <c r="AC798" i="10"/>
  <c r="R798" i="10"/>
  <c r="Q798" i="10"/>
  <c r="Z798" i="10"/>
  <c r="AN798" i="10" s="1"/>
  <c r="AL798" i="10"/>
  <c r="AI798" i="10"/>
  <c r="AC797" i="10"/>
  <c r="R797" i="10"/>
  <c r="Q797" i="10"/>
  <c r="AL797" i="10"/>
  <c r="AI797" i="10"/>
  <c r="Z797" i="10"/>
  <c r="AN797" i="10" s="1"/>
  <c r="AC796" i="10"/>
  <c r="R796" i="10"/>
  <c r="Q796" i="10"/>
  <c r="AL796" i="10"/>
  <c r="AI796" i="10"/>
  <c r="Z796" i="10"/>
  <c r="AN796" i="10" s="1"/>
  <c r="AC795" i="10"/>
  <c r="R795" i="10"/>
  <c r="Q795" i="10"/>
  <c r="AL795" i="10"/>
  <c r="AI795" i="10"/>
  <c r="Z795" i="10"/>
  <c r="AN795" i="10" s="1"/>
  <c r="AC794" i="10"/>
  <c r="R794" i="10"/>
  <c r="Q794" i="10"/>
  <c r="AL794" i="10"/>
  <c r="AI794" i="10"/>
  <c r="Z794" i="10"/>
  <c r="AN794" i="10" s="1"/>
  <c r="AC793" i="10"/>
  <c r="R793" i="10"/>
  <c r="Q793" i="10"/>
  <c r="AL793" i="10"/>
  <c r="AI793" i="10"/>
  <c r="Z793" i="10"/>
  <c r="AN793" i="10" s="1"/>
  <c r="AC792" i="10"/>
  <c r="R792" i="10"/>
  <c r="Q792" i="10"/>
  <c r="Z792" i="10"/>
  <c r="AN792" i="10" s="1"/>
  <c r="AL792" i="10"/>
  <c r="AI792" i="10"/>
  <c r="AC791" i="10"/>
  <c r="R791" i="10"/>
  <c r="Q791" i="10"/>
  <c r="AL791" i="10"/>
  <c r="AI791" i="10"/>
  <c r="Z791" i="10"/>
  <c r="AN791" i="10" s="1"/>
  <c r="AC790" i="10"/>
  <c r="R790" i="10"/>
  <c r="Q790" i="10"/>
  <c r="Z790" i="10"/>
  <c r="AN790" i="10" s="1"/>
  <c r="AL790" i="10"/>
  <c r="AI790" i="10"/>
  <c r="AC789" i="10"/>
  <c r="R789" i="10"/>
  <c r="Q789" i="10"/>
  <c r="AL789" i="10"/>
  <c r="AI789" i="10"/>
  <c r="Z789" i="10"/>
  <c r="AN789" i="10" s="1"/>
  <c r="Q788" i="10"/>
  <c r="R788" i="10"/>
  <c r="AC788" i="10"/>
  <c r="AL788" i="10"/>
  <c r="AI788" i="10"/>
  <c r="Z788" i="10"/>
  <c r="AN788" i="10" s="1"/>
  <c r="AC787" i="10"/>
  <c r="R787" i="10"/>
  <c r="Q787" i="10"/>
  <c r="AL787" i="10"/>
  <c r="AI787" i="10"/>
  <c r="Z787" i="10"/>
  <c r="AN787" i="10" s="1"/>
  <c r="AC786" i="10"/>
  <c r="R786" i="10"/>
  <c r="Q786" i="10"/>
  <c r="Z786" i="10"/>
  <c r="AN786" i="10" s="1"/>
  <c r="AI786" i="10"/>
  <c r="AL786" i="10"/>
  <c r="AC785" i="10"/>
  <c r="R785" i="10"/>
  <c r="Q785" i="10"/>
  <c r="AL785" i="10"/>
  <c r="AI785" i="10"/>
  <c r="Z785" i="10"/>
  <c r="AN785" i="10" s="1"/>
  <c r="AC784" i="10"/>
  <c r="R784" i="10"/>
  <c r="Q784" i="10"/>
  <c r="AL784" i="10"/>
  <c r="AI784" i="10"/>
  <c r="Z784" i="10"/>
  <c r="AN784" i="10" s="1"/>
  <c r="AC783" i="10"/>
  <c r="R783" i="10"/>
  <c r="Q783" i="10"/>
  <c r="AL783" i="10"/>
  <c r="AI783" i="10"/>
  <c r="Z783" i="10"/>
  <c r="AN783" i="10" s="1"/>
  <c r="AC782" i="10"/>
  <c r="R782" i="10"/>
  <c r="Q782" i="10"/>
  <c r="AL782" i="10"/>
  <c r="AI782" i="10"/>
  <c r="Z782" i="10"/>
  <c r="AN782" i="10" s="1"/>
  <c r="AC781" i="10"/>
  <c r="R781" i="10"/>
  <c r="Q781" i="10"/>
  <c r="AL781" i="10"/>
  <c r="AI781" i="10"/>
  <c r="Z781" i="10"/>
  <c r="AN781" i="10" s="1"/>
  <c r="AC780" i="10"/>
  <c r="R780" i="10"/>
  <c r="Q780" i="10"/>
  <c r="AI780" i="10"/>
  <c r="Z780" i="10"/>
  <c r="AN780" i="10" s="1"/>
  <c r="AL780" i="10"/>
  <c r="AC779" i="10"/>
  <c r="R779" i="10"/>
  <c r="Q779" i="10"/>
  <c r="AL779" i="10"/>
  <c r="Z779" i="10"/>
  <c r="AN779" i="10" s="1"/>
  <c r="AI779" i="10"/>
  <c r="AC778" i="10"/>
  <c r="R778" i="10"/>
  <c r="Q778" i="10"/>
  <c r="Z778" i="10"/>
  <c r="AN778" i="10" s="1"/>
  <c r="AL778" i="10"/>
  <c r="AI778" i="10"/>
  <c r="AC777" i="10"/>
  <c r="R777" i="10"/>
  <c r="Q777" i="10"/>
  <c r="AL777" i="10"/>
  <c r="AI777" i="10"/>
  <c r="Z777" i="10"/>
  <c r="AN777" i="10" s="1"/>
  <c r="AC776" i="10"/>
  <c r="R776" i="10"/>
  <c r="Q776" i="10"/>
  <c r="Z776" i="10"/>
  <c r="AN776" i="10" s="1"/>
  <c r="AL776" i="10"/>
  <c r="AI776" i="10"/>
  <c r="Q775" i="10"/>
  <c r="AC775" i="10"/>
  <c r="R775" i="10"/>
  <c r="AI775" i="10"/>
  <c r="Z775" i="10"/>
  <c r="AN775" i="10" s="1"/>
  <c r="AL775" i="10"/>
  <c r="AC774" i="10"/>
  <c r="R774" i="10"/>
  <c r="Q774" i="10"/>
  <c r="AL774" i="10"/>
  <c r="AI774" i="10"/>
  <c r="Z774" i="10"/>
  <c r="AN774" i="10" s="1"/>
  <c r="AC773" i="10"/>
  <c r="R773" i="10"/>
  <c r="Q773" i="10"/>
  <c r="AL773" i="10"/>
  <c r="AI773" i="10"/>
  <c r="Z773" i="10"/>
  <c r="AN773" i="10" s="1"/>
  <c r="AC772" i="10"/>
  <c r="R772" i="10"/>
  <c r="Q772" i="10"/>
  <c r="AL772" i="10"/>
  <c r="AI772" i="10"/>
  <c r="Z772" i="10"/>
  <c r="AN772" i="10" s="1"/>
  <c r="Q771" i="10"/>
  <c r="R771" i="10"/>
  <c r="AC771" i="10"/>
  <c r="AL771" i="10"/>
  <c r="AI771" i="10"/>
  <c r="Z771" i="10"/>
  <c r="AN771" i="10" s="1"/>
  <c r="AC770" i="10"/>
  <c r="R770" i="10"/>
  <c r="Q770" i="10"/>
  <c r="AL770" i="10"/>
  <c r="AI770" i="10"/>
  <c r="Z770" i="10"/>
  <c r="AN770" i="10" s="1"/>
  <c r="AC769" i="10"/>
  <c r="R769" i="10"/>
  <c r="Q769" i="10"/>
  <c r="AI769" i="10"/>
  <c r="AL769" i="10"/>
  <c r="Z769" i="10"/>
  <c r="AN769" i="10" s="1"/>
  <c r="AC768" i="10"/>
  <c r="R768" i="10"/>
  <c r="Q768" i="10"/>
  <c r="AL768" i="10"/>
  <c r="AI768" i="10"/>
  <c r="Z768" i="10"/>
  <c r="AN768" i="10" s="1"/>
  <c r="AC767" i="10"/>
  <c r="R767" i="10"/>
  <c r="Q767" i="10"/>
  <c r="Z767" i="10"/>
  <c r="AN767" i="10" s="1"/>
  <c r="AL767" i="10"/>
  <c r="AI767" i="10"/>
  <c r="AC766" i="10"/>
  <c r="R766" i="10"/>
  <c r="Q766" i="10"/>
  <c r="AL766" i="10"/>
  <c r="AI766" i="10"/>
  <c r="Z766" i="10"/>
  <c r="AN766" i="10" s="1"/>
  <c r="AC765" i="10"/>
  <c r="R765" i="10"/>
  <c r="Q765" i="10"/>
  <c r="AL765" i="10"/>
  <c r="AI765" i="10"/>
  <c r="Z765" i="10"/>
  <c r="AN765" i="10" s="1"/>
  <c r="AC764" i="10"/>
  <c r="R764" i="10"/>
  <c r="Q764" i="10"/>
  <c r="AL764" i="10"/>
  <c r="AI764" i="10"/>
  <c r="Z764" i="10"/>
  <c r="AN764" i="10" s="1"/>
  <c r="AC763" i="10"/>
  <c r="R763" i="10"/>
  <c r="Q763" i="10"/>
  <c r="AL763" i="10"/>
  <c r="AI763" i="10"/>
  <c r="Z763" i="10"/>
  <c r="AN763" i="10" s="1"/>
  <c r="AC762" i="10"/>
  <c r="R762" i="10"/>
  <c r="Q762" i="10"/>
  <c r="AL762" i="10"/>
  <c r="AI762" i="10"/>
  <c r="Z762" i="10"/>
  <c r="AN762" i="10" s="1"/>
  <c r="AC761" i="10"/>
  <c r="R761" i="10"/>
  <c r="Q761" i="10"/>
  <c r="Z761" i="10"/>
  <c r="AN761" i="10" s="1"/>
  <c r="AL761" i="10"/>
  <c r="AI761" i="10"/>
  <c r="AC760" i="10"/>
  <c r="R760" i="10"/>
  <c r="Q760" i="10"/>
  <c r="AL760" i="10"/>
  <c r="AI760" i="10"/>
  <c r="Z760" i="10"/>
  <c r="AN760" i="10" s="1"/>
  <c r="AC759" i="10"/>
  <c r="R759" i="10"/>
  <c r="Q759" i="10"/>
  <c r="Z759" i="10"/>
  <c r="AN759" i="10" s="1"/>
  <c r="AL759" i="10"/>
  <c r="AI759" i="10"/>
  <c r="AC758" i="10"/>
  <c r="R758" i="10"/>
  <c r="Q758" i="10"/>
  <c r="AL758" i="10"/>
  <c r="AI758" i="10"/>
  <c r="Z758" i="10"/>
  <c r="AN758" i="10" s="1"/>
  <c r="Q757" i="10"/>
  <c r="R757" i="10"/>
  <c r="AC757" i="10"/>
  <c r="AL757" i="10"/>
  <c r="AI757" i="10"/>
  <c r="Z757" i="10"/>
  <c r="AN757" i="10" s="1"/>
  <c r="AC756" i="10"/>
  <c r="R756" i="10"/>
  <c r="Q756" i="10"/>
  <c r="AL756" i="10"/>
  <c r="AI756" i="10"/>
  <c r="Z756" i="10"/>
  <c r="AN756" i="10" s="1"/>
  <c r="AC755" i="10"/>
  <c r="R755" i="10"/>
  <c r="Q755" i="10"/>
  <c r="Z755" i="10"/>
  <c r="AN755" i="10" s="1"/>
  <c r="AL755" i="10"/>
  <c r="AI755" i="10"/>
  <c r="AC754" i="10"/>
  <c r="R754" i="10"/>
  <c r="Q754" i="10"/>
  <c r="AL754" i="10"/>
  <c r="AI754" i="10"/>
  <c r="Z754" i="10"/>
  <c r="AN754" i="10" s="1"/>
  <c r="AC753" i="10"/>
  <c r="R753" i="10"/>
  <c r="Q753" i="10"/>
  <c r="AL753" i="10"/>
  <c r="AI753" i="10"/>
  <c r="Z753" i="10"/>
  <c r="AN753" i="10" s="1"/>
  <c r="AC752" i="10"/>
  <c r="R752" i="10"/>
  <c r="Q752" i="10"/>
  <c r="Z752" i="10"/>
  <c r="AN752" i="10" s="1"/>
  <c r="AI752" i="10"/>
  <c r="AL752" i="10"/>
  <c r="AC751" i="10"/>
  <c r="R751" i="10"/>
  <c r="Q751" i="10"/>
  <c r="AL751" i="10"/>
  <c r="AI751" i="10"/>
  <c r="Z751" i="10"/>
  <c r="AN751" i="10" s="1"/>
  <c r="AC750" i="10"/>
  <c r="R750" i="10"/>
  <c r="Q750" i="10"/>
  <c r="Z750" i="10"/>
  <c r="AN750" i="10" s="1"/>
  <c r="AL750" i="10"/>
  <c r="AI750" i="10"/>
  <c r="AP749" i="10"/>
  <c r="AD749" i="10"/>
  <c r="R748" i="10"/>
  <c r="Q748" i="10"/>
  <c r="AC748" i="10"/>
  <c r="Z748" i="10"/>
  <c r="AN748" i="10" s="1"/>
  <c r="AL748" i="10"/>
  <c r="AI748" i="10"/>
  <c r="R747" i="10"/>
  <c r="AC747" i="10"/>
  <c r="Q747" i="10"/>
  <c r="AI747" i="10"/>
  <c r="AL747" i="10"/>
  <c r="Z747" i="10"/>
  <c r="AN747" i="10" s="1"/>
  <c r="R746" i="10"/>
  <c r="Q746" i="10"/>
  <c r="AC746" i="10"/>
  <c r="Z746" i="10"/>
  <c r="AN746" i="10" s="1"/>
  <c r="AI746" i="10"/>
  <c r="AL746" i="10"/>
  <c r="R745" i="10"/>
  <c r="Q745" i="10"/>
  <c r="AC745" i="10"/>
  <c r="Z745" i="10"/>
  <c r="AN745" i="10" s="1"/>
  <c r="AI745" i="10"/>
  <c r="AL745" i="10"/>
  <c r="Q744" i="10"/>
  <c r="R744" i="10"/>
  <c r="AC744" i="10"/>
  <c r="Z744" i="10"/>
  <c r="AN744" i="10" s="1"/>
  <c r="AI744" i="10"/>
  <c r="AL744" i="10"/>
  <c r="AC743" i="10"/>
  <c r="Q743" i="10"/>
  <c r="R743" i="10"/>
  <c r="Z743" i="10"/>
  <c r="AN743" i="10" s="1"/>
  <c r="AI743" i="10"/>
  <c r="AL743" i="10"/>
  <c r="R742" i="10"/>
  <c r="Q742" i="10"/>
  <c r="AC742" i="10"/>
  <c r="AL742" i="10"/>
  <c r="Z742" i="10"/>
  <c r="AN742" i="10" s="1"/>
  <c r="AI742" i="10"/>
  <c r="Q741" i="10"/>
  <c r="AC741" i="10"/>
  <c r="R741" i="10"/>
  <c r="Z741" i="10"/>
  <c r="AN741" i="10" s="1"/>
  <c r="AI741" i="10"/>
  <c r="AL741" i="10"/>
  <c r="AC740" i="10"/>
  <c r="Q740" i="10"/>
  <c r="R740" i="10"/>
  <c r="AL740" i="10"/>
  <c r="AI740" i="10"/>
  <c r="Z740" i="10"/>
  <c r="AN740" i="10" s="1"/>
  <c r="R739" i="10"/>
  <c r="Q739" i="10"/>
  <c r="AC739" i="10"/>
  <c r="Z739" i="10"/>
  <c r="AN739" i="10" s="1"/>
  <c r="AL739" i="10"/>
  <c r="AI739" i="10"/>
  <c r="Q738" i="10"/>
  <c r="R738" i="10"/>
  <c r="AC738" i="10"/>
  <c r="AL738" i="10"/>
  <c r="Z738" i="10"/>
  <c r="AN738" i="10" s="1"/>
  <c r="AI738" i="10"/>
  <c r="AC737" i="10"/>
  <c r="Q737" i="10"/>
  <c r="R737" i="10"/>
  <c r="AI737" i="10"/>
  <c r="AL737" i="10"/>
  <c r="Z737" i="10"/>
  <c r="AN737" i="10" s="1"/>
  <c r="AC736" i="10"/>
  <c r="R736" i="10"/>
  <c r="Q736" i="10"/>
  <c r="Z736" i="10"/>
  <c r="AN736" i="10" s="1"/>
  <c r="AI736" i="10"/>
  <c r="AL736" i="10"/>
  <c r="R735" i="10"/>
  <c r="AC735" i="10"/>
  <c r="Q735" i="10"/>
  <c r="Z735" i="10"/>
  <c r="AN735" i="10" s="1"/>
  <c r="AI735" i="10"/>
  <c r="AL735" i="10"/>
  <c r="Q734" i="10"/>
  <c r="AC734" i="10"/>
  <c r="R734" i="10"/>
  <c r="AL734" i="10"/>
  <c r="Z734" i="10"/>
  <c r="AN734" i="10" s="1"/>
  <c r="AI734" i="10"/>
  <c r="AC733" i="10"/>
  <c r="Q733" i="10"/>
  <c r="R733" i="10"/>
  <c r="AL733" i="10"/>
  <c r="AI733" i="10"/>
  <c r="Z733" i="10"/>
  <c r="AN733" i="10" s="1"/>
  <c r="AC732" i="10"/>
  <c r="Q732" i="10"/>
  <c r="R732" i="10"/>
  <c r="AL732" i="10"/>
  <c r="AI732" i="10"/>
  <c r="Z732" i="10"/>
  <c r="AN732" i="10" s="1"/>
  <c r="AC731" i="10"/>
  <c r="Q731" i="10"/>
  <c r="R731" i="10"/>
  <c r="AL731" i="10"/>
  <c r="Z731" i="10"/>
  <c r="AN731" i="10" s="1"/>
  <c r="AI731" i="10"/>
  <c r="Q730" i="10"/>
  <c r="AC730" i="10"/>
  <c r="R730" i="10"/>
  <c r="AI730" i="10"/>
  <c r="AL730" i="10"/>
  <c r="Z730" i="10"/>
  <c r="AN730" i="10" s="1"/>
  <c r="AC729" i="10"/>
  <c r="R729" i="10"/>
  <c r="Q729" i="10"/>
  <c r="AL729" i="10"/>
  <c r="AI729" i="10"/>
  <c r="Z729" i="10"/>
  <c r="AN729" i="10" s="1"/>
  <c r="Q728" i="10"/>
  <c r="AC728" i="10"/>
  <c r="R728" i="10"/>
  <c r="Z728" i="10"/>
  <c r="AN728" i="10" s="1"/>
  <c r="AL728" i="10"/>
  <c r="AI728" i="10"/>
  <c r="R727" i="10"/>
  <c r="Q727" i="10"/>
  <c r="AC727" i="10"/>
  <c r="Z727" i="10"/>
  <c r="AN727" i="10" s="1"/>
  <c r="AL727" i="10"/>
  <c r="AI727" i="10"/>
  <c r="Q726" i="10"/>
  <c r="AC726" i="10"/>
  <c r="R726" i="10"/>
  <c r="AI726" i="10"/>
  <c r="AL726" i="10"/>
  <c r="Z726" i="10"/>
  <c r="AN726" i="10" s="1"/>
  <c r="AC725" i="10"/>
  <c r="R725" i="10"/>
  <c r="Q725" i="10"/>
  <c r="AL725" i="10"/>
  <c r="AI725" i="10"/>
  <c r="Z725" i="10"/>
  <c r="AN725" i="10" s="1"/>
  <c r="AC724" i="10"/>
  <c r="R724" i="10"/>
  <c r="Q724" i="10"/>
  <c r="AL724" i="10"/>
  <c r="AI724" i="10"/>
  <c r="Z724" i="10"/>
  <c r="AN724" i="10" s="1"/>
  <c r="AC723" i="10"/>
  <c r="R723" i="10"/>
  <c r="Q723" i="10"/>
  <c r="AL723" i="10"/>
  <c r="AI723" i="10"/>
  <c r="Z723" i="10"/>
  <c r="AN723" i="10" s="1"/>
  <c r="AC722" i="10"/>
  <c r="R722" i="10"/>
  <c r="Q722" i="10"/>
  <c r="Z722" i="10"/>
  <c r="AN722" i="10" s="1"/>
  <c r="AL722" i="10"/>
  <c r="AI722" i="10"/>
  <c r="AC721" i="10"/>
  <c r="R721" i="10"/>
  <c r="Q721" i="10"/>
  <c r="AL721" i="10"/>
  <c r="AI721" i="10"/>
  <c r="Z721" i="10"/>
  <c r="AN721" i="10" s="1"/>
  <c r="AC720" i="10"/>
  <c r="R720" i="10"/>
  <c r="Q720" i="10"/>
  <c r="AL720" i="10"/>
  <c r="AI720" i="10"/>
  <c r="Z720" i="10"/>
  <c r="AN720" i="10" s="1"/>
  <c r="AC719" i="10"/>
  <c r="R719" i="10"/>
  <c r="Q719" i="10"/>
  <c r="AL719" i="10"/>
  <c r="AI719" i="10"/>
  <c r="Z719" i="10"/>
  <c r="AN719" i="10" s="1"/>
  <c r="AC718" i="10"/>
  <c r="R718" i="10"/>
  <c r="Q718" i="10"/>
  <c r="AL718" i="10"/>
  <c r="AI718" i="10"/>
  <c r="Z718" i="10"/>
  <c r="AN718" i="10" s="1"/>
  <c r="Q717" i="10"/>
  <c r="AC717" i="10"/>
  <c r="R717" i="10"/>
  <c r="Z717" i="10"/>
  <c r="AN717" i="10" s="1"/>
  <c r="AL717" i="10"/>
  <c r="AI717" i="10"/>
  <c r="AC716" i="10"/>
  <c r="R716" i="10"/>
  <c r="Q716" i="10"/>
  <c r="AL716" i="10"/>
  <c r="AI716" i="10"/>
  <c r="Z716" i="10"/>
  <c r="AN716" i="10" s="1"/>
  <c r="AC715" i="10"/>
  <c r="Q715" i="10"/>
  <c r="R715" i="10"/>
  <c r="AL715" i="10"/>
  <c r="AI715" i="10"/>
  <c r="Z715" i="10"/>
  <c r="AN715" i="10" s="1"/>
  <c r="AC714" i="10"/>
  <c r="R714" i="10"/>
  <c r="Q714" i="10"/>
  <c r="AL714" i="10"/>
  <c r="AI714" i="10"/>
  <c r="Z714" i="10"/>
  <c r="AN714" i="10" s="1"/>
  <c r="AC713" i="10"/>
  <c r="R713" i="10"/>
  <c r="Q713" i="10"/>
  <c r="AI713" i="10"/>
  <c r="Z713" i="10"/>
  <c r="AN713" i="10" s="1"/>
  <c r="AL713" i="10"/>
  <c r="Q712" i="10"/>
  <c r="R712" i="10"/>
  <c r="AC712" i="10"/>
  <c r="AL712" i="10"/>
  <c r="AI712" i="10"/>
  <c r="Z712" i="10"/>
  <c r="AN712" i="10" s="1"/>
  <c r="AC711" i="10"/>
  <c r="R711" i="10"/>
  <c r="Q711" i="10"/>
  <c r="AL711" i="10"/>
  <c r="AI711" i="10"/>
  <c r="Z711" i="10"/>
  <c r="AN711" i="10" s="1"/>
  <c r="AC710" i="10"/>
  <c r="R710" i="10"/>
  <c r="Q710" i="10"/>
  <c r="Z710" i="10"/>
  <c r="AN710" i="10" s="1"/>
  <c r="AL710" i="10"/>
  <c r="AI710" i="10"/>
  <c r="AC709" i="10"/>
  <c r="R709" i="10"/>
  <c r="Q709" i="10"/>
  <c r="Z709" i="10"/>
  <c r="AN709" i="10" s="1"/>
  <c r="AL709" i="10"/>
  <c r="AI709" i="10"/>
  <c r="AC708" i="10"/>
  <c r="R708" i="10"/>
  <c r="Q708" i="10"/>
  <c r="AL708" i="10"/>
  <c r="AI708" i="10"/>
  <c r="Z708" i="10"/>
  <c r="AN708" i="10" s="1"/>
  <c r="AC707" i="10"/>
  <c r="R707" i="10"/>
  <c r="Q707" i="10"/>
  <c r="AL707" i="10"/>
  <c r="AI707" i="10"/>
  <c r="Z707" i="10"/>
  <c r="AN707" i="10" s="1"/>
  <c r="AC706" i="10"/>
  <c r="R706" i="10"/>
  <c r="Q706" i="10"/>
  <c r="Z706" i="10"/>
  <c r="AN706" i="10" s="1"/>
  <c r="AL706" i="10"/>
  <c r="AI706" i="10"/>
  <c r="AC705" i="10"/>
  <c r="R705" i="10"/>
  <c r="Q705" i="10"/>
  <c r="AL705" i="10"/>
  <c r="AI705" i="10"/>
  <c r="Z705" i="10"/>
  <c r="AN705" i="10" s="1"/>
  <c r="AC704" i="10"/>
  <c r="R704" i="10"/>
  <c r="Q704" i="10"/>
  <c r="AL704" i="10"/>
  <c r="AI704" i="10"/>
  <c r="Z704" i="10"/>
  <c r="AN704" i="10" s="1"/>
  <c r="AC703" i="10"/>
  <c r="R703" i="10"/>
  <c r="Q703" i="10"/>
  <c r="AL703" i="10"/>
  <c r="AI703" i="10"/>
  <c r="Z703" i="10"/>
  <c r="AN703" i="10" s="1"/>
  <c r="AC702" i="10"/>
  <c r="R702" i="10"/>
  <c r="Q702" i="10"/>
  <c r="AL702" i="10"/>
  <c r="AI702" i="10"/>
  <c r="Z702" i="10"/>
  <c r="AN702" i="10" s="1"/>
  <c r="AC701" i="10"/>
  <c r="R701" i="10"/>
  <c r="Q701" i="10"/>
  <c r="AL701" i="10"/>
  <c r="AI701" i="10"/>
  <c r="Z701" i="10"/>
  <c r="AN701" i="10" s="1"/>
  <c r="AC700" i="10"/>
  <c r="R700" i="10"/>
  <c r="Q700" i="10"/>
  <c r="AL700" i="10"/>
  <c r="AI700" i="10"/>
  <c r="Z700" i="10"/>
  <c r="AN700" i="10" s="1"/>
  <c r="AC699" i="10"/>
  <c r="R699" i="10"/>
  <c r="Q699" i="10"/>
  <c r="AL699" i="10"/>
  <c r="AI699" i="10"/>
  <c r="Z699" i="10"/>
  <c r="AN699" i="10" s="1"/>
  <c r="AC698" i="10"/>
  <c r="R698" i="10"/>
  <c r="Q698" i="10"/>
  <c r="Z698" i="10"/>
  <c r="AN698" i="10" s="1"/>
  <c r="AL698" i="10"/>
  <c r="AI698" i="10"/>
  <c r="AC697" i="10"/>
  <c r="R697" i="10"/>
  <c r="Q697" i="10"/>
  <c r="AL697" i="10"/>
  <c r="AI697" i="10"/>
  <c r="Z697" i="10"/>
  <c r="AN697" i="10" s="1"/>
  <c r="AC696" i="10"/>
  <c r="R696" i="10"/>
  <c r="Q696" i="10"/>
  <c r="AL696" i="10"/>
  <c r="AI696" i="10"/>
  <c r="Z696" i="10"/>
  <c r="AN696" i="10" s="1"/>
  <c r="AC695" i="10"/>
  <c r="Q695" i="10"/>
  <c r="R695" i="10"/>
  <c r="Z695" i="10"/>
  <c r="AN695" i="10" s="1"/>
  <c r="AI695" i="10"/>
  <c r="AL695" i="10"/>
  <c r="Q694" i="10"/>
  <c r="R694" i="10"/>
  <c r="AC694" i="10"/>
  <c r="AI694" i="10"/>
  <c r="Z694" i="10"/>
  <c r="AN694" i="10" s="1"/>
  <c r="AL694" i="10"/>
  <c r="Q693" i="10"/>
  <c r="R693" i="10"/>
  <c r="AC693" i="10"/>
  <c r="Z693" i="10"/>
  <c r="AN693" i="10" s="1"/>
  <c r="AI693" i="10"/>
  <c r="AL693" i="10"/>
  <c r="AC692" i="10"/>
  <c r="R692" i="10"/>
  <c r="Q692" i="10"/>
  <c r="AI692" i="10"/>
  <c r="AL692" i="10"/>
  <c r="Z692" i="10"/>
  <c r="AN692" i="10" s="1"/>
  <c r="Q691" i="10"/>
  <c r="AC691" i="10"/>
  <c r="R691" i="10"/>
  <c r="AI691" i="10"/>
  <c r="Z691" i="10"/>
  <c r="AN691" i="10" s="1"/>
  <c r="AL691" i="10"/>
  <c r="Q690" i="10"/>
  <c r="AC690" i="10"/>
  <c r="R690" i="10"/>
  <c r="AI690" i="10"/>
  <c r="Z690" i="10"/>
  <c r="AN690" i="10" s="1"/>
  <c r="AL690" i="10"/>
  <c r="R689" i="10"/>
  <c r="AC689" i="10"/>
  <c r="Q689" i="10"/>
  <c r="AL689" i="10"/>
  <c r="AI689" i="10"/>
  <c r="Z689" i="10"/>
  <c r="AN689" i="10" s="1"/>
  <c r="Q688" i="10"/>
  <c r="R688" i="10"/>
  <c r="AC688" i="10"/>
  <c r="AL688" i="10"/>
  <c r="Z688" i="10"/>
  <c r="AN688" i="10" s="1"/>
  <c r="AI688" i="10"/>
  <c r="AC687" i="10"/>
  <c r="R687" i="10"/>
  <c r="Q687" i="10"/>
  <c r="AI687" i="10"/>
  <c r="Z687" i="10"/>
  <c r="AN687" i="10" s="1"/>
  <c r="AL687" i="10"/>
  <c r="R686" i="10"/>
  <c r="Q686" i="10"/>
  <c r="AC686" i="10"/>
  <c r="AI686" i="10"/>
  <c r="AL686" i="10"/>
  <c r="Z686" i="10"/>
  <c r="AN686" i="10" s="1"/>
  <c r="R685" i="10"/>
  <c r="Q685" i="10"/>
  <c r="AC685" i="10"/>
  <c r="AL685" i="10"/>
  <c r="AI685" i="10"/>
  <c r="Z685" i="10"/>
  <c r="AN685" i="10" s="1"/>
  <c r="AP684" i="10"/>
  <c r="AD684" i="10"/>
  <c r="R684" i="10"/>
  <c r="Q684" i="10"/>
  <c r="R683" i="10"/>
  <c r="Q683" i="10"/>
  <c r="AC683" i="10"/>
  <c r="Z683" i="10"/>
  <c r="AN683" i="10" s="1"/>
  <c r="AL683" i="10"/>
  <c r="AI683" i="10"/>
  <c r="AC682" i="10"/>
  <c r="Q682" i="10"/>
  <c r="R682" i="10"/>
  <c r="AL682" i="10"/>
  <c r="AI682" i="10"/>
  <c r="Z682" i="10"/>
  <c r="AN682" i="10" s="1"/>
  <c r="AC681" i="10"/>
  <c r="R681" i="10"/>
  <c r="Q681" i="10"/>
  <c r="AI681" i="10"/>
  <c r="AL681" i="10"/>
  <c r="Z681" i="10"/>
  <c r="AN681" i="10" s="1"/>
  <c r="R680" i="10"/>
  <c r="Q680" i="10"/>
  <c r="AC680" i="10"/>
  <c r="AI680" i="10"/>
  <c r="Z680" i="10"/>
  <c r="AN680" i="10" s="1"/>
  <c r="AL680" i="10"/>
  <c r="AC679" i="10"/>
  <c r="Q679" i="10"/>
  <c r="R679" i="10"/>
  <c r="AI679" i="10"/>
  <c r="AL679" i="10"/>
  <c r="Z679" i="10"/>
  <c r="AN679" i="10" s="1"/>
  <c r="R678" i="10"/>
  <c r="Q678" i="10"/>
  <c r="AC678" i="10"/>
  <c r="AL678" i="10"/>
  <c r="Z678" i="10"/>
  <c r="AN678" i="10" s="1"/>
  <c r="AI678" i="10"/>
  <c r="Q677" i="10"/>
  <c r="R677" i="10"/>
  <c r="AC677" i="10"/>
  <c r="AL677" i="10"/>
  <c r="AI677" i="10"/>
  <c r="Z677" i="10"/>
  <c r="AN677" i="10" s="1"/>
  <c r="R676" i="10"/>
  <c r="Q676" i="10"/>
  <c r="AC676" i="10"/>
  <c r="Z676" i="10"/>
  <c r="AN676" i="10" s="1"/>
  <c r="AL676" i="10"/>
  <c r="AI676" i="10"/>
  <c r="Q675" i="10"/>
  <c r="AC675" i="10"/>
  <c r="R675" i="10"/>
  <c r="Z675" i="10"/>
  <c r="AN675" i="10" s="1"/>
  <c r="AL675" i="10"/>
  <c r="AI675" i="10"/>
  <c r="AC674" i="10"/>
  <c r="Q674" i="10"/>
  <c r="R674" i="10"/>
  <c r="AI674" i="10"/>
  <c r="AL674" i="10"/>
  <c r="Z674" i="10"/>
  <c r="AN674" i="10" s="1"/>
  <c r="AC673" i="10"/>
  <c r="R673" i="10"/>
  <c r="Q673" i="10"/>
  <c r="AL673" i="10"/>
  <c r="Z673" i="10"/>
  <c r="AN673" i="10" s="1"/>
  <c r="AI673" i="10"/>
  <c r="AC672" i="10"/>
  <c r="R672" i="10"/>
  <c r="Q672" i="10"/>
  <c r="AL672" i="10"/>
  <c r="AI672" i="10"/>
  <c r="Z672" i="10"/>
  <c r="AN672" i="10" s="1"/>
  <c r="AC671" i="10"/>
  <c r="R671" i="10"/>
  <c r="Q671" i="10"/>
  <c r="Z671" i="10"/>
  <c r="AN671" i="10" s="1"/>
  <c r="AI671" i="10"/>
  <c r="AL671" i="10"/>
  <c r="Q670" i="10"/>
  <c r="R670" i="10"/>
  <c r="AC670" i="10"/>
  <c r="AL670" i="10"/>
  <c r="AI670" i="10"/>
  <c r="Z670" i="10"/>
  <c r="AN670" i="10" s="1"/>
  <c r="AC669" i="10"/>
  <c r="R669" i="10"/>
  <c r="Q669" i="10"/>
  <c r="Z669" i="10"/>
  <c r="AN669" i="10" s="1"/>
  <c r="AI669" i="10"/>
  <c r="AL669" i="10"/>
  <c r="Q668" i="10"/>
  <c r="R668" i="10"/>
  <c r="AC668" i="10"/>
  <c r="AL668" i="10"/>
  <c r="AI668" i="10"/>
  <c r="Z668" i="10"/>
  <c r="AN668" i="10" s="1"/>
  <c r="AC667" i="10"/>
  <c r="Q667" i="10"/>
  <c r="R667" i="10"/>
  <c r="AI667" i="10"/>
  <c r="Z667" i="10"/>
  <c r="AN667" i="10" s="1"/>
  <c r="AL667" i="10"/>
  <c r="Q666" i="10"/>
  <c r="R666" i="10"/>
  <c r="AC666" i="10"/>
  <c r="AL666" i="10"/>
  <c r="AI666" i="10"/>
  <c r="Z666" i="10"/>
  <c r="AN666" i="10" s="1"/>
  <c r="AC665" i="10"/>
  <c r="Q665" i="10"/>
  <c r="R665" i="10"/>
  <c r="AI665" i="10"/>
  <c r="Z665" i="10"/>
  <c r="AN665" i="10" s="1"/>
  <c r="AL665" i="10"/>
  <c r="R664" i="10"/>
  <c r="Q664" i="10"/>
  <c r="AC664" i="10"/>
  <c r="Z664" i="10"/>
  <c r="AN664" i="10" s="1"/>
  <c r="AI664" i="10"/>
  <c r="AL664" i="10"/>
  <c r="AC663" i="10"/>
  <c r="Q663" i="10"/>
  <c r="R663" i="10"/>
  <c r="Z663" i="10"/>
  <c r="AN663" i="10" s="1"/>
  <c r="AL663" i="10"/>
  <c r="AI663" i="10"/>
  <c r="Q662" i="10"/>
  <c r="AC662" i="10"/>
  <c r="R662" i="10"/>
  <c r="AL662" i="10"/>
  <c r="Z662" i="10"/>
  <c r="AN662" i="10" s="1"/>
  <c r="AI662" i="10"/>
  <c r="AC661" i="10"/>
  <c r="R661" i="10"/>
  <c r="Q661" i="10"/>
  <c r="AL661" i="10"/>
  <c r="AI661" i="10"/>
  <c r="Z661" i="10"/>
  <c r="AN661" i="10" s="1"/>
  <c r="R660" i="10"/>
  <c r="Q660" i="10"/>
  <c r="AC660" i="10"/>
  <c r="AL660" i="10"/>
  <c r="Z660" i="10"/>
  <c r="AN660" i="10" s="1"/>
  <c r="AI660" i="10"/>
  <c r="AC659" i="10"/>
  <c r="R659" i="10"/>
  <c r="Q659" i="10"/>
  <c r="AL659" i="10"/>
  <c r="AI659" i="10"/>
  <c r="Z659" i="10"/>
  <c r="AN659" i="10" s="1"/>
  <c r="R658" i="10"/>
  <c r="Q658" i="10"/>
  <c r="AC658" i="10"/>
  <c r="Z658" i="10"/>
  <c r="AN658" i="10" s="1"/>
  <c r="AI658" i="10"/>
  <c r="AL658" i="10"/>
  <c r="AC657" i="10"/>
  <c r="Q657" i="10"/>
  <c r="R657" i="10"/>
  <c r="AL657" i="10"/>
  <c r="AI657" i="10"/>
  <c r="Z657" i="10"/>
  <c r="AN657" i="10" s="1"/>
  <c r="AC656" i="10"/>
  <c r="R656" i="10"/>
  <c r="Q656" i="10"/>
  <c r="AL656" i="10"/>
  <c r="AI656" i="10"/>
  <c r="Z656" i="10"/>
  <c r="AN656" i="10" s="1"/>
  <c r="R655" i="10"/>
  <c r="Q655" i="10"/>
  <c r="AC655" i="10"/>
  <c r="AL655" i="10"/>
  <c r="AI655" i="10"/>
  <c r="Z655" i="10"/>
  <c r="AN655" i="10" s="1"/>
  <c r="R654" i="10"/>
  <c r="AC654" i="10"/>
  <c r="Q654" i="10"/>
  <c r="AI654" i="10"/>
  <c r="Z654" i="10"/>
  <c r="AN654" i="10" s="1"/>
  <c r="AL654" i="10"/>
  <c r="Q653" i="10"/>
  <c r="R653" i="10"/>
  <c r="AC653" i="10"/>
  <c r="AL653" i="10"/>
  <c r="Z653" i="10"/>
  <c r="AN653" i="10" s="1"/>
  <c r="AI653" i="10"/>
  <c r="Q652" i="10"/>
  <c r="R652" i="10"/>
  <c r="AC652" i="10"/>
  <c r="Z652" i="10"/>
  <c r="AN652" i="10" s="1"/>
  <c r="AL652" i="10"/>
  <c r="AI652" i="10"/>
  <c r="Q651" i="10"/>
  <c r="AC651" i="10"/>
  <c r="R651" i="10"/>
  <c r="AI651" i="10"/>
  <c r="AL651" i="10"/>
  <c r="Z651" i="10"/>
  <c r="AN651" i="10" s="1"/>
  <c r="AC650" i="10"/>
  <c r="R650" i="10"/>
  <c r="Q650" i="10"/>
  <c r="AL650" i="10"/>
  <c r="AI650" i="10"/>
  <c r="Z650" i="10"/>
  <c r="AN650" i="10" s="1"/>
  <c r="AC649" i="10"/>
  <c r="R649" i="10"/>
  <c r="Q649" i="10"/>
  <c r="AL649" i="10"/>
  <c r="AI649" i="10"/>
  <c r="Z649" i="10"/>
  <c r="AN649" i="10" s="1"/>
  <c r="AC648" i="10"/>
  <c r="R648" i="10"/>
  <c r="Q648" i="10"/>
  <c r="AI648" i="10"/>
  <c r="Z648" i="10"/>
  <c r="AN648" i="10" s="1"/>
  <c r="AL648" i="10"/>
  <c r="AC647" i="10"/>
  <c r="Q647" i="10"/>
  <c r="R647" i="10"/>
  <c r="AI647" i="10"/>
  <c r="Z647" i="10"/>
  <c r="AN647" i="10" s="1"/>
  <c r="AL647" i="10"/>
  <c r="AC646" i="10"/>
  <c r="R646" i="10"/>
  <c r="Q646" i="10"/>
  <c r="AI646" i="10"/>
  <c r="AL646" i="10"/>
  <c r="Z646" i="10"/>
  <c r="AN646" i="10" s="1"/>
  <c r="R645" i="10"/>
  <c r="Q645" i="10"/>
  <c r="AC645" i="10"/>
  <c r="AL645" i="10"/>
  <c r="AI645" i="10"/>
  <c r="Z645" i="10"/>
  <c r="AN645" i="10" s="1"/>
  <c r="AC644" i="10"/>
  <c r="R644" i="10"/>
  <c r="Q644" i="10"/>
  <c r="AL644" i="10"/>
  <c r="AI644" i="10"/>
  <c r="Z644" i="10"/>
  <c r="AN644" i="10" s="1"/>
  <c r="AC643" i="10"/>
  <c r="R643" i="10"/>
  <c r="Q643" i="10"/>
  <c r="Z643" i="10"/>
  <c r="AN643" i="10" s="1"/>
  <c r="AL643" i="10"/>
  <c r="AI643" i="10"/>
  <c r="AC642" i="10"/>
  <c r="R642" i="10"/>
  <c r="Q642" i="10"/>
  <c r="AL642" i="10"/>
  <c r="AI642" i="10"/>
  <c r="Z642" i="10"/>
  <c r="AN642" i="10" s="1"/>
  <c r="R641" i="10"/>
  <c r="AC641" i="10"/>
  <c r="Q641" i="10"/>
  <c r="AI641" i="10"/>
  <c r="Z641" i="10"/>
  <c r="AN641" i="10" s="1"/>
  <c r="AL641" i="10"/>
  <c r="Q640" i="10"/>
  <c r="AC640" i="10"/>
  <c r="R640" i="10"/>
  <c r="AL640" i="10"/>
  <c r="Z640" i="10"/>
  <c r="AN640" i="10" s="1"/>
  <c r="AI640" i="10"/>
  <c r="R639" i="10"/>
  <c r="AC639" i="10"/>
  <c r="Q639" i="10"/>
  <c r="AL639" i="10"/>
  <c r="AI639" i="10"/>
  <c r="Z639" i="10"/>
  <c r="AN639" i="10" s="1"/>
  <c r="AC638" i="10"/>
  <c r="R638" i="10"/>
  <c r="Q638" i="10"/>
  <c r="AL638" i="10"/>
  <c r="Z638" i="10"/>
  <c r="AN638" i="10" s="1"/>
  <c r="AI638" i="10"/>
  <c r="AC637" i="10"/>
  <c r="R637" i="10"/>
  <c r="Q637" i="10"/>
  <c r="AL637" i="10"/>
  <c r="AI637" i="10"/>
  <c r="Z637" i="10"/>
  <c r="AN637" i="10" s="1"/>
  <c r="AC636" i="10"/>
  <c r="R636" i="10"/>
  <c r="Q636" i="10"/>
  <c r="AI636" i="10"/>
  <c r="Z636" i="10"/>
  <c r="AN636" i="10" s="1"/>
  <c r="AL636" i="10"/>
  <c r="R635" i="10"/>
  <c r="Q635" i="10"/>
  <c r="AC635" i="10"/>
  <c r="Z635" i="10"/>
  <c r="AN635" i="10" s="1"/>
  <c r="AI635" i="10"/>
  <c r="AL635" i="10"/>
  <c r="Q634" i="10"/>
  <c r="AC634" i="10"/>
  <c r="R634" i="10"/>
  <c r="AL634" i="10"/>
  <c r="AI634" i="10"/>
  <c r="Z634" i="10"/>
  <c r="AN634" i="10" s="1"/>
  <c r="AC633" i="10"/>
  <c r="R633" i="10"/>
  <c r="Q633" i="10"/>
  <c r="AL633" i="10"/>
  <c r="AI633" i="10"/>
  <c r="Z633" i="10"/>
  <c r="AN633" i="10" s="1"/>
  <c r="AC632" i="10"/>
  <c r="R632" i="10"/>
  <c r="Q632" i="10"/>
  <c r="Z632" i="10"/>
  <c r="AN632" i="10" s="1"/>
  <c r="AI632" i="10"/>
  <c r="AL632" i="10"/>
  <c r="AC631" i="10"/>
  <c r="R631" i="10"/>
  <c r="Q631" i="10"/>
  <c r="AL631" i="10"/>
  <c r="AI631" i="10"/>
  <c r="Z631" i="10"/>
  <c r="AN631" i="10" s="1"/>
  <c r="AC630" i="10"/>
  <c r="R630" i="10"/>
  <c r="Q630" i="10"/>
  <c r="AL630" i="10"/>
  <c r="AI630" i="10"/>
  <c r="Z630" i="10"/>
  <c r="AN630" i="10" s="1"/>
  <c r="Q629" i="10"/>
  <c r="AC629" i="10"/>
  <c r="R629" i="10"/>
  <c r="AL629" i="10"/>
  <c r="AI629" i="10"/>
  <c r="Z629" i="10"/>
  <c r="AN629" i="10" s="1"/>
  <c r="AC628" i="10"/>
  <c r="R628" i="10"/>
  <c r="Q628" i="10"/>
  <c r="AL628" i="10"/>
  <c r="AI628" i="10"/>
  <c r="Z628" i="10"/>
  <c r="AN628" i="10" s="1"/>
  <c r="R627" i="10"/>
  <c r="Q627" i="10"/>
  <c r="AC627" i="10"/>
  <c r="AL627" i="10"/>
  <c r="Z627" i="10"/>
  <c r="AN627" i="10" s="1"/>
  <c r="AI627" i="10"/>
  <c r="AC626" i="10"/>
  <c r="R626" i="10"/>
  <c r="Q626" i="10"/>
  <c r="AI626" i="10"/>
  <c r="Z626" i="10"/>
  <c r="AN626" i="10" s="1"/>
  <c r="AL626" i="10"/>
  <c r="R625" i="10"/>
  <c r="Q625" i="10"/>
  <c r="AC625" i="10"/>
  <c r="Z625" i="10"/>
  <c r="AN625" i="10" s="1"/>
  <c r="AI625" i="10"/>
  <c r="AL625" i="10"/>
  <c r="AC624" i="10"/>
  <c r="R624" i="10"/>
  <c r="Q624" i="10"/>
  <c r="AI624" i="10"/>
  <c r="Z624" i="10"/>
  <c r="AN624" i="10" s="1"/>
  <c r="AL624" i="10"/>
  <c r="R623" i="10"/>
  <c r="Q623" i="10"/>
  <c r="AC623" i="10"/>
  <c r="AL623" i="10"/>
  <c r="AI623" i="10"/>
  <c r="Z623" i="10"/>
  <c r="AN623" i="10" s="1"/>
  <c r="AC622" i="10"/>
  <c r="R622" i="10"/>
  <c r="Q622" i="10"/>
  <c r="AL622" i="10"/>
  <c r="Z622" i="10"/>
  <c r="AN622" i="10" s="1"/>
  <c r="AI622" i="10"/>
  <c r="R621" i="10"/>
  <c r="AC621" i="10"/>
  <c r="Q621" i="10"/>
  <c r="AL621" i="10"/>
  <c r="AI621" i="10"/>
  <c r="Z621" i="10"/>
  <c r="AN621" i="10" s="1"/>
  <c r="R620" i="10"/>
  <c r="Q620" i="10"/>
  <c r="AC620" i="10"/>
  <c r="Z620" i="10"/>
  <c r="AN620" i="10" s="1"/>
  <c r="AL620" i="10"/>
  <c r="AI620" i="10"/>
  <c r="R619" i="10"/>
  <c r="AC619" i="10"/>
  <c r="Q619" i="10"/>
  <c r="AC618" i="10"/>
  <c r="Q618" i="10"/>
  <c r="R618" i="10"/>
  <c r="Z618" i="10"/>
  <c r="AN618" i="10" s="1"/>
  <c r="AI618" i="10"/>
  <c r="AL618" i="10"/>
  <c r="R617" i="10"/>
  <c r="AC617" i="10"/>
  <c r="Q617" i="10"/>
  <c r="Z617" i="10"/>
  <c r="AN617" i="10" s="1"/>
  <c r="AI617" i="10"/>
  <c r="AL617" i="10"/>
  <c r="R616" i="10"/>
  <c r="Q616" i="10"/>
  <c r="AC616" i="10"/>
  <c r="AL616" i="10"/>
  <c r="Z616" i="10"/>
  <c r="AN616" i="10" s="1"/>
  <c r="AI616" i="10"/>
  <c r="R615" i="10"/>
  <c r="Q615" i="10"/>
  <c r="AC615" i="10"/>
  <c r="AI615" i="10"/>
  <c r="Z615" i="10"/>
  <c r="AN615" i="10" s="1"/>
  <c r="AL615" i="10"/>
  <c r="AC614" i="10"/>
  <c r="R614" i="10"/>
  <c r="Q614" i="10"/>
  <c r="Z614" i="10"/>
  <c r="AN614" i="10" s="1"/>
  <c r="AI614" i="10"/>
  <c r="AL614" i="10"/>
  <c r="AC613" i="10"/>
  <c r="R613" i="10"/>
  <c r="Q613" i="10"/>
  <c r="AI613" i="10"/>
  <c r="Z613" i="10"/>
  <c r="AN613" i="10" s="1"/>
  <c r="AL613" i="10"/>
  <c r="R612" i="10"/>
  <c r="Q612" i="10"/>
  <c r="AC612" i="10"/>
  <c r="AI612" i="10"/>
  <c r="AL612" i="10"/>
  <c r="Z612" i="10"/>
  <c r="AN612" i="10" s="1"/>
  <c r="AC611" i="10"/>
  <c r="R611" i="10"/>
  <c r="Q611" i="10"/>
  <c r="Z611" i="10"/>
  <c r="AN611" i="10" s="1"/>
  <c r="AI611" i="10"/>
  <c r="AL611" i="10"/>
  <c r="AC610" i="10"/>
  <c r="R610" i="10"/>
  <c r="Q610" i="10"/>
  <c r="AL610" i="10"/>
  <c r="AI610" i="10"/>
  <c r="Z610" i="10"/>
  <c r="AN610" i="10" s="1"/>
  <c r="R609" i="10"/>
  <c r="AC609" i="10"/>
  <c r="Q609" i="10"/>
  <c r="AL609" i="10"/>
  <c r="AI609" i="10"/>
  <c r="Z609" i="10"/>
  <c r="AN609" i="10" s="1"/>
  <c r="AC608" i="10"/>
  <c r="R608" i="10"/>
  <c r="Q608" i="10"/>
  <c r="Z608" i="10"/>
  <c r="AN608" i="10" s="1"/>
  <c r="AI608" i="10"/>
  <c r="AL608" i="10"/>
  <c r="AC607" i="10"/>
  <c r="R607" i="10"/>
  <c r="Q607" i="10"/>
  <c r="AL607" i="10"/>
  <c r="AI607" i="10"/>
  <c r="Z607" i="10"/>
  <c r="AN607" i="10" s="1"/>
  <c r="AC606" i="10"/>
  <c r="R606" i="10"/>
  <c r="Q606" i="10"/>
  <c r="AL606" i="10"/>
  <c r="AI606" i="10"/>
  <c r="Z606" i="10"/>
  <c r="AN606" i="10" s="1"/>
  <c r="R605" i="10"/>
  <c r="Q605" i="10"/>
  <c r="AC605" i="10"/>
  <c r="AL605" i="10"/>
  <c r="AI605" i="10"/>
  <c r="Z605" i="10"/>
  <c r="AN605" i="10" s="1"/>
  <c r="R604" i="10"/>
  <c r="Q604" i="10"/>
  <c r="AC604" i="10"/>
  <c r="Z604" i="10"/>
  <c r="AN604" i="10" s="1"/>
  <c r="AI604" i="10"/>
  <c r="AL604" i="10"/>
  <c r="Q603" i="10"/>
  <c r="R603" i="10"/>
  <c r="AC603" i="10"/>
  <c r="Z603" i="10"/>
  <c r="AN603" i="10" s="1"/>
  <c r="AI603" i="10"/>
  <c r="AL603" i="10"/>
  <c r="Q602" i="10"/>
  <c r="AC602" i="10"/>
  <c r="R602" i="10"/>
  <c r="Z602" i="10"/>
  <c r="AN602" i="10" s="1"/>
  <c r="AI602" i="10"/>
  <c r="AL602" i="10"/>
  <c r="Q601" i="10"/>
  <c r="R601" i="10"/>
  <c r="AC601" i="10"/>
  <c r="AI601" i="10"/>
  <c r="AL601" i="10"/>
  <c r="Z601" i="10"/>
  <c r="AN601" i="10" s="1"/>
  <c r="AC600" i="10"/>
  <c r="Q600" i="10"/>
  <c r="R600" i="10"/>
  <c r="Z600" i="10"/>
  <c r="AN600" i="10" s="1"/>
  <c r="AI600" i="10"/>
  <c r="AL600" i="10"/>
  <c r="AC599" i="10"/>
  <c r="R599" i="10"/>
  <c r="Q599" i="10"/>
  <c r="AL599" i="10"/>
  <c r="AI599" i="10"/>
  <c r="Z599" i="10"/>
  <c r="AN599" i="10" s="1"/>
  <c r="Q598" i="10"/>
  <c r="R598" i="10"/>
  <c r="AC598" i="10"/>
  <c r="Z598" i="10"/>
  <c r="AN598" i="10" s="1"/>
  <c r="AI598" i="10"/>
  <c r="AL598" i="10"/>
  <c r="AC597" i="10"/>
  <c r="Q597" i="10"/>
  <c r="R597" i="10"/>
  <c r="Z597" i="10"/>
  <c r="AN597" i="10" s="1"/>
  <c r="AI597" i="10"/>
  <c r="AL597" i="10"/>
  <c r="AC596" i="10"/>
  <c r="Q596" i="10"/>
  <c r="R596" i="10"/>
  <c r="AI596" i="10"/>
  <c r="AL596" i="10"/>
  <c r="Z596" i="10"/>
  <c r="AN596" i="10" s="1"/>
  <c r="AC595" i="10"/>
  <c r="Q595" i="10"/>
  <c r="R595" i="10"/>
  <c r="Z595" i="10"/>
  <c r="AN595" i="10" s="1"/>
  <c r="AI595" i="10"/>
  <c r="AL595" i="10"/>
  <c r="Q594" i="10"/>
  <c r="AC594" i="10"/>
  <c r="R594" i="10"/>
  <c r="Z594" i="10"/>
  <c r="AN594" i="10" s="1"/>
  <c r="AI594" i="10"/>
  <c r="AL594" i="10"/>
  <c r="AC593" i="10"/>
  <c r="R593" i="10"/>
  <c r="Q593" i="10"/>
  <c r="AL593" i="10"/>
  <c r="AI593" i="10"/>
  <c r="Z593" i="10"/>
  <c r="AN593" i="10" s="1"/>
  <c r="R592" i="10"/>
  <c r="AC592" i="10"/>
  <c r="Q592" i="10"/>
  <c r="AI592" i="10"/>
  <c r="AL592" i="10"/>
  <c r="Z592" i="10"/>
  <c r="AN592" i="10" s="1"/>
  <c r="AC591" i="10"/>
  <c r="R591" i="10"/>
  <c r="Q591" i="10"/>
  <c r="Z591" i="10"/>
  <c r="AN591" i="10" s="1"/>
  <c r="AL591" i="10"/>
  <c r="AI591" i="10"/>
  <c r="Q590" i="10"/>
  <c r="R590" i="10"/>
  <c r="AC590" i="10"/>
  <c r="Z590" i="10"/>
  <c r="AN590" i="10" s="1"/>
  <c r="AI590" i="10"/>
  <c r="AL590" i="10"/>
  <c r="Q589" i="10"/>
  <c r="R589" i="10"/>
  <c r="AC589" i="10"/>
  <c r="Z589" i="10"/>
  <c r="AN589" i="10" s="1"/>
  <c r="AI589" i="10"/>
  <c r="AL589" i="10"/>
  <c r="Q588" i="10"/>
  <c r="AC588" i="10"/>
  <c r="R588" i="10"/>
  <c r="Z588" i="10"/>
  <c r="AN588" i="10" s="1"/>
  <c r="AI588" i="10"/>
  <c r="AL588" i="10"/>
  <c r="R587" i="10"/>
  <c r="AC587" i="10"/>
  <c r="Q587" i="10"/>
  <c r="AL587" i="10"/>
  <c r="AI587" i="10"/>
  <c r="Z587" i="10"/>
  <c r="AN587" i="10" s="1"/>
  <c r="Q586" i="10"/>
  <c r="AC586" i="10"/>
  <c r="R586" i="10"/>
  <c r="AL586" i="10"/>
  <c r="AI586" i="10"/>
  <c r="Z586" i="10"/>
  <c r="AN586" i="10" s="1"/>
  <c r="AC585" i="10"/>
  <c r="Q585" i="10"/>
  <c r="R585" i="10"/>
  <c r="AI585" i="10"/>
  <c r="Z585" i="10"/>
  <c r="AN585" i="10" s="1"/>
  <c r="AL585" i="10"/>
  <c r="R584" i="10"/>
  <c r="Q584" i="10"/>
  <c r="AC584" i="10"/>
  <c r="AI584" i="10"/>
  <c r="Z584" i="10"/>
  <c r="AN584" i="10" s="1"/>
  <c r="AL584" i="10"/>
  <c r="AC583" i="10"/>
  <c r="R583" i="10"/>
  <c r="Q583" i="10"/>
  <c r="Z583" i="10"/>
  <c r="AN583" i="10" s="1"/>
  <c r="AL583" i="10"/>
  <c r="AI583" i="10"/>
  <c r="R582" i="10"/>
  <c r="AC582" i="10"/>
  <c r="Q582" i="10"/>
  <c r="Z582" i="10"/>
  <c r="AN582" i="10" s="1"/>
  <c r="AI582" i="10"/>
  <c r="AL582" i="10"/>
  <c r="AC581" i="10"/>
  <c r="R581" i="10"/>
  <c r="Q581" i="10"/>
  <c r="AL581" i="10"/>
  <c r="Z581" i="10"/>
  <c r="AN581" i="10" s="1"/>
  <c r="AI581" i="10"/>
  <c r="AC580" i="10"/>
  <c r="R580" i="10"/>
  <c r="Q580" i="10"/>
  <c r="AI580" i="10"/>
  <c r="Z580" i="10"/>
  <c r="AN580" i="10" s="1"/>
  <c r="AL580" i="10"/>
  <c r="AC579" i="10"/>
  <c r="R579" i="10"/>
  <c r="Q579" i="10"/>
  <c r="AI579" i="10"/>
  <c r="AL579" i="10"/>
  <c r="Z579" i="10"/>
  <c r="AN579" i="10" s="1"/>
  <c r="AC578" i="10"/>
  <c r="R578" i="10"/>
  <c r="Q578" i="10"/>
  <c r="AL578" i="10"/>
  <c r="Z578" i="10"/>
  <c r="AN578" i="10" s="1"/>
  <c r="AI578" i="10"/>
  <c r="Q577" i="10"/>
  <c r="AC577" i="10"/>
  <c r="R577" i="10"/>
  <c r="AI577" i="10"/>
  <c r="AL577" i="10"/>
  <c r="Z577" i="10"/>
  <c r="AN577" i="10" s="1"/>
  <c r="AC576" i="10"/>
  <c r="Q576" i="10"/>
  <c r="R576" i="10"/>
  <c r="AI576" i="10"/>
  <c r="Z576" i="10"/>
  <c r="AN576" i="10" s="1"/>
  <c r="AL576" i="10"/>
  <c r="AC575" i="10"/>
  <c r="R575" i="10"/>
  <c r="Q575" i="10"/>
  <c r="AL575" i="10"/>
  <c r="AI575" i="10"/>
  <c r="Z575" i="10"/>
  <c r="AN575" i="10" s="1"/>
  <c r="AC574" i="10"/>
  <c r="R574" i="10"/>
  <c r="Q574" i="10"/>
  <c r="AI574" i="10"/>
  <c r="Z574" i="10"/>
  <c r="AN574" i="10" s="1"/>
  <c r="AL574" i="10"/>
  <c r="R573" i="10"/>
  <c r="AC573" i="10"/>
  <c r="Q573" i="10"/>
  <c r="AL573" i="10"/>
  <c r="AI573" i="10"/>
  <c r="Z573" i="10"/>
  <c r="AN573" i="10" s="1"/>
  <c r="Q572" i="10"/>
  <c r="R572" i="10"/>
  <c r="AC572" i="10"/>
  <c r="AL572" i="10"/>
  <c r="Z572" i="10"/>
  <c r="AN572" i="10" s="1"/>
  <c r="AI572" i="10"/>
  <c r="AC571" i="10"/>
  <c r="R571" i="10"/>
  <c r="Q571" i="10"/>
  <c r="AL571" i="10"/>
  <c r="AI571" i="10"/>
  <c r="Z571" i="10"/>
  <c r="AN571" i="10" s="1"/>
  <c r="AC570" i="10"/>
  <c r="Q570" i="10"/>
  <c r="R570" i="10"/>
  <c r="Z570" i="10"/>
  <c r="AN570" i="10" s="1"/>
  <c r="AL570" i="10"/>
  <c r="AI570" i="10"/>
  <c r="Q569" i="10"/>
  <c r="R569" i="10"/>
  <c r="AC569" i="10"/>
  <c r="AI569" i="10"/>
  <c r="Z569" i="10"/>
  <c r="AN569" i="10" s="1"/>
  <c r="AL569" i="10"/>
  <c r="AC568" i="10"/>
  <c r="R568" i="10"/>
  <c r="Q568" i="10"/>
  <c r="Z568" i="10"/>
  <c r="AN568" i="10" s="1"/>
  <c r="AL568" i="10"/>
  <c r="AI568" i="10"/>
  <c r="AC567" i="10"/>
  <c r="Q567" i="10"/>
  <c r="R567" i="10"/>
  <c r="Z567" i="10"/>
  <c r="AN567" i="10" s="1"/>
  <c r="AI567" i="10"/>
  <c r="AL567" i="10"/>
  <c r="Q566" i="10"/>
  <c r="AC566" i="10"/>
  <c r="R566" i="10"/>
  <c r="AI566" i="10"/>
  <c r="Z566" i="10"/>
  <c r="AN566" i="10" s="1"/>
  <c r="AL566" i="10"/>
  <c r="AC565" i="10"/>
  <c r="R565" i="10"/>
  <c r="Q565" i="10"/>
  <c r="Z565" i="10"/>
  <c r="AN565" i="10" s="1"/>
  <c r="AL565" i="10"/>
  <c r="AI565" i="10"/>
  <c r="AC564" i="10"/>
  <c r="R564" i="10"/>
  <c r="Q564" i="10"/>
  <c r="Z564" i="10"/>
  <c r="AN564" i="10" s="1"/>
  <c r="AI564" i="10"/>
  <c r="AL564" i="10"/>
  <c r="AC563" i="10"/>
  <c r="R563" i="10"/>
  <c r="Q563" i="10"/>
  <c r="AL563" i="10"/>
  <c r="AI563" i="10"/>
  <c r="Z563" i="10"/>
  <c r="AN563" i="10" s="1"/>
  <c r="R562" i="10"/>
  <c r="Q562" i="10"/>
  <c r="AC562" i="10"/>
  <c r="AI562" i="10"/>
  <c r="AL562" i="10"/>
  <c r="Z562" i="10"/>
  <c r="AN562" i="10" s="1"/>
  <c r="Q561" i="10"/>
  <c r="AC561" i="10"/>
  <c r="R561" i="10"/>
  <c r="AI561" i="10"/>
  <c r="AL561" i="10"/>
  <c r="Z561" i="10"/>
  <c r="AN561" i="10" s="1"/>
  <c r="R560" i="10"/>
  <c r="Q560" i="10"/>
  <c r="AC560" i="10"/>
  <c r="Z560" i="10"/>
  <c r="AN560" i="10" s="1"/>
  <c r="AL560" i="10"/>
  <c r="AI560" i="10"/>
  <c r="R559" i="10"/>
  <c r="Q559" i="10"/>
  <c r="AC559" i="10"/>
  <c r="Z559" i="10"/>
  <c r="AN559" i="10" s="1"/>
  <c r="AI559" i="10"/>
  <c r="AL559" i="10"/>
  <c r="R558" i="10"/>
  <c r="Q558" i="10"/>
  <c r="AC558" i="10"/>
  <c r="Z558" i="10"/>
  <c r="AN558" i="10" s="1"/>
  <c r="AL558" i="10"/>
  <c r="AI558" i="10"/>
  <c r="Q557" i="10"/>
  <c r="AC557" i="10"/>
  <c r="R557" i="10"/>
  <c r="AL557" i="10"/>
  <c r="AI557" i="10"/>
  <c r="Z557" i="10"/>
  <c r="AN557" i="10" s="1"/>
  <c r="AC556" i="10"/>
  <c r="R556" i="10"/>
  <c r="Q556" i="10"/>
  <c r="AI556" i="10"/>
  <c r="AL556" i="10"/>
  <c r="Z556" i="10"/>
  <c r="AN556" i="10" s="1"/>
  <c r="Q555" i="10"/>
  <c r="AC555" i="10"/>
  <c r="R555" i="10"/>
  <c r="Z555" i="10"/>
  <c r="AN555" i="10" s="1"/>
  <c r="AI555" i="10"/>
  <c r="AL555" i="10"/>
  <c r="AC554" i="10"/>
  <c r="Q554" i="10"/>
  <c r="R554" i="10"/>
  <c r="AI554" i="10"/>
  <c r="Z554" i="10"/>
  <c r="AN554" i="10" s="1"/>
  <c r="AL554" i="10"/>
  <c r="R553" i="10"/>
  <c r="Q553" i="10"/>
  <c r="AC553" i="10"/>
  <c r="AI553" i="10"/>
  <c r="Z553" i="10"/>
  <c r="AN553" i="10" s="1"/>
  <c r="AL553" i="10"/>
  <c r="AC552" i="10"/>
  <c r="R552" i="10"/>
  <c r="Q552" i="10"/>
  <c r="AL552" i="10"/>
  <c r="AI552" i="10"/>
  <c r="Z552" i="10"/>
  <c r="AN552" i="10" s="1"/>
  <c r="AC551" i="10"/>
  <c r="Q551" i="10"/>
  <c r="R551" i="10"/>
  <c r="Z551" i="10"/>
  <c r="AN551" i="10" s="1"/>
  <c r="AI551" i="10"/>
  <c r="AL551" i="10"/>
  <c r="AC550" i="10"/>
  <c r="R550" i="10"/>
  <c r="Q550" i="10"/>
  <c r="Z550" i="10"/>
  <c r="AN550" i="10" s="1"/>
  <c r="AI550" i="10"/>
  <c r="AL550" i="10"/>
  <c r="Q549" i="10"/>
  <c r="R549" i="10"/>
  <c r="AC549" i="10"/>
  <c r="AL549" i="10"/>
  <c r="AI549" i="10"/>
  <c r="Z549" i="10"/>
  <c r="AN549" i="10" s="1"/>
  <c r="AC548" i="10"/>
  <c r="Q548" i="10"/>
  <c r="R548" i="10"/>
  <c r="Z548" i="10"/>
  <c r="AN548" i="10" s="1"/>
  <c r="AI548" i="10"/>
  <c r="AL548" i="10"/>
  <c r="R547" i="10"/>
  <c r="Q547" i="10"/>
  <c r="AC547" i="10"/>
  <c r="AI547" i="10"/>
  <c r="Z547" i="10"/>
  <c r="AN547" i="10" s="1"/>
  <c r="AL547" i="10"/>
  <c r="Q546" i="10"/>
  <c r="R546" i="10"/>
  <c r="AC546" i="10"/>
  <c r="Z546" i="10"/>
  <c r="AN546" i="10" s="1"/>
  <c r="AI546" i="10"/>
  <c r="AL546" i="10"/>
  <c r="Q545" i="10"/>
  <c r="R545" i="10"/>
  <c r="AC545" i="10"/>
  <c r="AL545" i="10"/>
  <c r="Z545" i="10"/>
  <c r="AN545" i="10" s="1"/>
  <c r="AI545" i="10"/>
  <c r="AC544" i="10"/>
  <c r="R544" i="10"/>
  <c r="Q544" i="10"/>
  <c r="AL544" i="10"/>
  <c r="AI544" i="10"/>
  <c r="Z544" i="10"/>
  <c r="AN544" i="10" s="1"/>
  <c r="AC543" i="10"/>
  <c r="R543" i="10"/>
  <c r="Q543" i="10"/>
  <c r="AL543" i="10"/>
  <c r="Z543" i="10"/>
  <c r="AN543" i="10" s="1"/>
  <c r="AI543" i="10"/>
  <c r="Q542" i="10"/>
  <c r="R542" i="10"/>
  <c r="AC542" i="10"/>
  <c r="AL542" i="10"/>
  <c r="AI542" i="10"/>
  <c r="Z542" i="10"/>
  <c r="AN542" i="10" s="1"/>
  <c r="Q541" i="10"/>
  <c r="AC541" i="10"/>
  <c r="R541" i="10"/>
  <c r="AL541" i="10"/>
  <c r="AI541" i="10"/>
  <c r="Z541" i="10"/>
  <c r="AN541" i="10" s="1"/>
  <c r="AC540" i="10"/>
  <c r="R540" i="10"/>
  <c r="Q540" i="10"/>
  <c r="AI540" i="10"/>
  <c r="Z540" i="10"/>
  <c r="AN540" i="10" s="1"/>
  <c r="AL540" i="10"/>
  <c r="Q539" i="10"/>
  <c r="AC539" i="10"/>
  <c r="R539" i="10"/>
  <c r="AL539" i="10"/>
  <c r="AI539" i="10"/>
  <c r="Z539" i="10"/>
  <c r="AN539" i="10" s="1"/>
  <c r="AC538" i="10"/>
  <c r="R538" i="10"/>
  <c r="Q538" i="10"/>
  <c r="AL538" i="10"/>
  <c r="AI538" i="10"/>
  <c r="Z538" i="10"/>
  <c r="AN538" i="10" s="1"/>
  <c r="Q537" i="10"/>
  <c r="AC537" i="10"/>
  <c r="R537" i="10"/>
  <c r="AI537" i="10"/>
  <c r="Z537" i="10"/>
  <c r="AN537" i="10" s="1"/>
  <c r="AL537" i="10"/>
  <c r="R536" i="10"/>
  <c r="AC536" i="10"/>
  <c r="Q536" i="10"/>
  <c r="Z536" i="10"/>
  <c r="AN536" i="10" s="1"/>
  <c r="AI536" i="10"/>
  <c r="AL536" i="10"/>
  <c r="AC535" i="10"/>
  <c r="R535" i="10"/>
  <c r="Q535" i="10"/>
  <c r="AI535" i="10"/>
  <c r="Z535" i="10"/>
  <c r="AN535" i="10" s="1"/>
  <c r="AL535" i="10"/>
  <c r="Q534" i="10"/>
  <c r="R534" i="10"/>
  <c r="AC534" i="10"/>
  <c r="AL534" i="10"/>
  <c r="AI534" i="10"/>
  <c r="Z534" i="10"/>
  <c r="AN534" i="10" s="1"/>
  <c r="AC533" i="10"/>
  <c r="R533" i="10"/>
  <c r="Q533" i="10"/>
  <c r="AI533" i="10"/>
  <c r="AL533" i="10"/>
  <c r="Z533" i="10"/>
  <c r="AN533" i="10" s="1"/>
  <c r="Q532" i="10"/>
  <c r="R532" i="10"/>
  <c r="AC532" i="10"/>
  <c r="AL532" i="10"/>
  <c r="AI532" i="10"/>
  <c r="Z532" i="10"/>
  <c r="AN532" i="10" s="1"/>
  <c r="Q531" i="10"/>
  <c r="AC531" i="10"/>
  <c r="R531" i="10"/>
  <c r="AI531" i="10"/>
  <c r="Z531" i="10"/>
  <c r="AN531" i="10" s="1"/>
  <c r="AL531" i="10"/>
  <c r="R530" i="10"/>
  <c r="Q530" i="10"/>
  <c r="AC530" i="10"/>
  <c r="Z530" i="10"/>
  <c r="AN530" i="10" s="1"/>
  <c r="AI530" i="10"/>
  <c r="AL530" i="10"/>
  <c r="Q529" i="10"/>
  <c r="R529" i="10"/>
  <c r="AC529" i="10"/>
  <c r="Z529" i="10"/>
  <c r="AN529" i="10" s="1"/>
  <c r="AI529" i="10"/>
  <c r="AL529" i="10"/>
  <c r="AC528" i="10"/>
  <c r="R528" i="10"/>
  <c r="Q528" i="10"/>
  <c r="Z528" i="10"/>
  <c r="AN528" i="10" s="1"/>
  <c r="AL528" i="10"/>
  <c r="AI528" i="10"/>
  <c r="Q527" i="10"/>
  <c r="R527" i="10"/>
  <c r="AC527" i="10"/>
  <c r="AI527" i="10"/>
  <c r="Z527" i="10"/>
  <c r="AN527" i="10" s="1"/>
  <c r="AL527" i="10"/>
  <c r="R526" i="10"/>
  <c r="Q526" i="10"/>
  <c r="AC526" i="10"/>
  <c r="Z526" i="10"/>
  <c r="AN526" i="10" s="1"/>
  <c r="AI526" i="10"/>
  <c r="AL526" i="10"/>
  <c r="R525" i="10"/>
  <c r="Q525" i="10"/>
  <c r="AC525" i="10"/>
  <c r="AL525" i="10"/>
  <c r="Z525" i="10"/>
  <c r="AN525" i="10" s="1"/>
  <c r="AI525" i="10"/>
  <c r="AC524" i="10"/>
  <c r="Q524" i="10"/>
  <c r="R524" i="10"/>
  <c r="AI524" i="10"/>
  <c r="Z524" i="10"/>
  <c r="AN524" i="10" s="1"/>
  <c r="AL524" i="10"/>
  <c r="Q523" i="10"/>
  <c r="R523" i="10"/>
  <c r="AC523" i="10"/>
  <c r="Z523" i="10"/>
  <c r="AN523" i="10" s="1"/>
  <c r="AI523" i="10"/>
  <c r="AL523" i="10"/>
  <c r="Q522" i="10"/>
  <c r="AC522" i="10"/>
  <c r="R522" i="10"/>
  <c r="AL522" i="10"/>
  <c r="Z522" i="10"/>
  <c r="AN522" i="10" s="1"/>
  <c r="AI522" i="10"/>
  <c r="Q521" i="10"/>
  <c r="R521" i="10"/>
  <c r="AC521" i="10"/>
  <c r="AL521" i="10"/>
  <c r="Z521" i="10"/>
  <c r="AN521" i="10" s="1"/>
  <c r="AI521" i="10"/>
  <c r="Q520" i="10"/>
  <c r="R520" i="10"/>
  <c r="AC520" i="10"/>
  <c r="AL520" i="10"/>
  <c r="AI520" i="10"/>
  <c r="Z520" i="10"/>
  <c r="AN520" i="10" s="1"/>
  <c r="Q519" i="10"/>
  <c r="R519" i="10"/>
  <c r="AC519" i="10"/>
  <c r="AI519" i="10"/>
  <c r="AL519" i="10"/>
  <c r="Z519" i="10"/>
  <c r="AN519" i="10" s="1"/>
  <c r="AC518" i="10"/>
  <c r="Q518" i="10"/>
  <c r="R518" i="10"/>
  <c r="AI518" i="10"/>
  <c r="AL518" i="10"/>
  <c r="Z518" i="10"/>
  <c r="AN518" i="10" s="1"/>
  <c r="Q517" i="10"/>
  <c r="R517" i="10"/>
  <c r="AC517" i="10"/>
  <c r="AI517" i="10"/>
  <c r="Z517" i="10"/>
  <c r="AN517" i="10" s="1"/>
  <c r="AL517" i="10"/>
  <c r="AC516" i="10"/>
  <c r="Q516" i="10"/>
  <c r="R516" i="10"/>
  <c r="AI516" i="10"/>
  <c r="AL516" i="10"/>
  <c r="Z516" i="10"/>
  <c r="AN516" i="10" s="1"/>
  <c r="R515" i="10"/>
  <c r="AC515" i="10"/>
  <c r="Q515" i="10"/>
  <c r="Z515" i="10"/>
  <c r="AN515" i="10" s="1"/>
  <c r="AI515" i="10"/>
  <c r="AL515" i="10"/>
  <c r="Q514" i="10"/>
  <c r="R514" i="10"/>
  <c r="AC514" i="10"/>
  <c r="Z514" i="10"/>
  <c r="AN514" i="10" s="1"/>
  <c r="AI514" i="10"/>
  <c r="AL514" i="10"/>
  <c r="AC513" i="10"/>
  <c r="R513" i="10"/>
  <c r="Q513" i="10"/>
  <c r="AI513" i="10"/>
  <c r="AL513" i="10"/>
  <c r="Z513" i="10"/>
  <c r="AN513" i="10" s="1"/>
  <c r="AC512" i="10"/>
  <c r="Q512" i="10"/>
  <c r="R512" i="10"/>
  <c r="AL512" i="10"/>
  <c r="AI512" i="10"/>
  <c r="Z512" i="10"/>
  <c r="AN512" i="10" s="1"/>
  <c r="Q511" i="10"/>
  <c r="AC511" i="10"/>
  <c r="R511" i="10"/>
  <c r="Z511" i="10"/>
  <c r="AN511" i="10" s="1"/>
  <c r="AL511" i="10"/>
  <c r="AI511" i="10"/>
  <c r="R510" i="10"/>
  <c r="Q510" i="10"/>
  <c r="AC510" i="10"/>
  <c r="AI510" i="10"/>
  <c r="AL510" i="10"/>
  <c r="Z510" i="10"/>
  <c r="AN510" i="10" s="1"/>
  <c r="R509" i="10"/>
  <c r="AC509" i="10"/>
  <c r="Q509" i="10"/>
  <c r="Z509" i="10"/>
  <c r="AN509" i="10" s="1"/>
  <c r="AI509" i="10"/>
  <c r="AL509" i="10"/>
  <c r="Q508" i="10"/>
  <c r="R508" i="10"/>
  <c r="AC508" i="10"/>
  <c r="AI508" i="10"/>
  <c r="AL508" i="10"/>
  <c r="Z508" i="10"/>
  <c r="AN508" i="10" s="1"/>
  <c r="AC507" i="10"/>
  <c r="R507" i="10"/>
  <c r="Q507" i="10"/>
  <c r="AI507" i="10"/>
  <c r="Z507" i="10"/>
  <c r="AN507" i="10" s="1"/>
  <c r="AL507" i="10"/>
  <c r="R506" i="10"/>
  <c r="AC506" i="10"/>
  <c r="Q506" i="10"/>
  <c r="AI506" i="10"/>
  <c r="Z506" i="10"/>
  <c r="AN506" i="10" s="1"/>
  <c r="AL506" i="10"/>
  <c r="AC505" i="10"/>
  <c r="R505" i="10"/>
  <c r="Q505" i="10"/>
  <c r="AI505" i="10"/>
  <c r="Z505" i="10"/>
  <c r="AN505" i="10" s="1"/>
  <c r="AL505" i="10"/>
  <c r="AC504" i="10"/>
  <c r="R504" i="10"/>
  <c r="Q504" i="10"/>
  <c r="Z504" i="10"/>
  <c r="AN504" i="10" s="1"/>
  <c r="AL504" i="10"/>
  <c r="AI504" i="10"/>
  <c r="AC503" i="10"/>
  <c r="Q503" i="10"/>
  <c r="R503" i="10"/>
  <c r="Z503" i="10"/>
  <c r="AN503" i="10" s="1"/>
  <c r="AI503" i="10"/>
  <c r="AL503" i="10"/>
  <c r="AC502" i="10"/>
  <c r="R502" i="10"/>
  <c r="Q502" i="10"/>
  <c r="Z502" i="10"/>
  <c r="AN502" i="10" s="1"/>
  <c r="AL502" i="10"/>
  <c r="AI502" i="10"/>
  <c r="R501" i="10"/>
  <c r="AC501" i="10"/>
  <c r="Q501" i="10"/>
  <c r="AL501" i="10"/>
  <c r="Z501" i="10"/>
  <c r="AN501" i="10" s="1"/>
  <c r="AI501" i="10"/>
  <c r="Q500" i="10"/>
  <c r="R500" i="10"/>
  <c r="AC500" i="10"/>
  <c r="AI500" i="10"/>
  <c r="AL500" i="10"/>
  <c r="Z500" i="10"/>
  <c r="AN500" i="10" s="1"/>
  <c r="AC499" i="10"/>
  <c r="Q499" i="10"/>
  <c r="R499" i="10"/>
  <c r="AL499" i="10"/>
  <c r="Z499" i="10"/>
  <c r="AN499" i="10" s="1"/>
  <c r="AI499" i="10"/>
  <c r="R498" i="10"/>
  <c r="Q498" i="10"/>
  <c r="AC498" i="10"/>
  <c r="Z498" i="10"/>
  <c r="AN498" i="10" s="1"/>
  <c r="AL498" i="10"/>
  <c r="AI498" i="10"/>
  <c r="R497" i="10"/>
  <c r="Q497" i="10"/>
  <c r="AC497" i="10"/>
  <c r="Z497" i="10"/>
  <c r="AN497" i="10" s="1"/>
  <c r="AL497" i="10"/>
  <c r="AI497" i="10"/>
  <c r="R496" i="10"/>
  <c r="Q496" i="10"/>
  <c r="AC496" i="10"/>
  <c r="Z496" i="10"/>
  <c r="AN496" i="10" s="1"/>
  <c r="AI496" i="10"/>
  <c r="AL496" i="10"/>
  <c r="Q495" i="10"/>
  <c r="AC495" i="10"/>
  <c r="R495" i="10"/>
  <c r="AI495" i="10"/>
  <c r="Z495" i="10"/>
  <c r="AN495" i="10" s="1"/>
  <c r="AL495" i="10"/>
  <c r="R494" i="10"/>
  <c r="Q494" i="10"/>
  <c r="AC494" i="10"/>
  <c r="Z494" i="10"/>
  <c r="AN494" i="10" s="1"/>
  <c r="AI494" i="10"/>
  <c r="AL494" i="10"/>
  <c r="R493" i="10"/>
  <c r="Q493" i="10"/>
  <c r="AC493" i="10"/>
  <c r="AI493" i="10"/>
  <c r="Z493" i="10"/>
  <c r="AN493" i="10" s="1"/>
  <c r="AL493" i="10"/>
  <c r="AC492" i="10"/>
  <c r="Q492" i="10"/>
  <c r="R492" i="10"/>
  <c r="Z492" i="10"/>
  <c r="AN492" i="10" s="1"/>
  <c r="AI492" i="10"/>
  <c r="AL492" i="10"/>
  <c r="R491" i="10"/>
  <c r="Q491" i="10"/>
  <c r="AC491" i="10"/>
  <c r="AL491" i="10"/>
  <c r="AI491" i="10"/>
  <c r="Z491" i="10"/>
  <c r="AN491" i="10" s="1"/>
  <c r="AD490" i="10"/>
  <c r="AP490" i="10"/>
  <c r="Q490" i="10"/>
  <c r="R490" i="10"/>
  <c r="Q489" i="10"/>
  <c r="R489" i="10"/>
  <c r="AC489" i="10"/>
  <c r="AL489" i="10"/>
  <c r="Z489" i="10"/>
  <c r="AN489" i="10" s="1"/>
  <c r="AI489" i="10"/>
  <c r="R488" i="10"/>
  <c r="AC488" i="10"/>
  <c r="Q488" i="10"/>
  <c r="Z488" i="10"/>
  <c r="AN488" i="10" s="1"/>
  <c r="AI488" i="10"/>
  <c r="AL488" i="10"/>
  <c r="AC487" i="10"/>
  <c r="R487" i="10"/>
  <c r="Q487" i="10"/>
  <c r="AI487" i="10"/>
  <c r="Z487" i="10"/>
  <c r="AN487" i="10" s="1"/>
  <c r="AL487" i="10"/>
  <c r="R486" i="10"/>
  <c r="Q486" i="10"/>
  <c r="AC486" i="10"/>
  <c r="AL486" i="10"/>
  <c r="Z486" i="10"/>
  <c r="AN486" i="10" s="1"/>
  <c r="AI486" i="10"/>
  <c r="Q485" i="10"/>
  <c r="R485" i="10"/>
  <c r="AC485" i="10"/>
  <c r="Z485" i="10"/>
  <c r="AN485" i="10" s="1"/>
  <c r="AI485" i="10"/>
  <c r="AL485" i="10"/>
  <c r="R484" i="10"/>
  <c r="Q484" i="10"/>
  <c r="AC484" i="10"/>
  <c r="AL484" i="10"/>
  <c r="AI484" i="10"/>
  <c r="Z484" i="10"/>
  <c r="AN484" i="10" s="1"/>
  <c r="Q483" i="10"/>
  <c r="R483" i="10"/>
  <c r="AC483" i="10"/>
  <c r="AI483" i="10"/>
  <c r="AL483" i="10"/>
  <c r="Z483" i="10"/>
  <c r="AN483" i="10" s="1"/>
  <c r="AC482" i="10"/>
  <c r="R482" i="10"/>
  <c r="Q482" i="10"/>
  <c r="Z482" i="10"/>
  <c r="AN482" i="10" s="1"/>
  <c r="AI482" i="10"/>
  <c r="AL482" i="10"/>
  <c r="Q481" i="10"/>
  <c r="R481" i="10"/>
  <c r="AC481" i="10"/>
  <c r="AL481" i="10"/>
  <c r="Z481" i="10"/>
  <c r="AN481" i="10" s="1"/>
  <c r="AI481" i="10"/>
  <c r="AC480" i="10"/>
  <c r="R480" i="10"/>
  <c r="Q480" i="10"/>
  <c r="Z480" i="10"/>
  <c r="AN480" i="10" s="1"/>
  <c r="AL480" i="10"/>
  <c r="AI480" i="10"/>
  <c r="Q479" i="10"/>
  <c r="R479" i="10"/>
  <c r="AC479" i="10"/>
  <c r="Z479" i="10"/>
  <c r="AN479" i="10" s="1"/>
  <c r="AL479" i="10"/>
  <c r="AI479" i="10"/>
  <c r="AC478" i="10"/>
  <c r="Q478" i="10"/>
  <c r="R478" i="10"/>
  <c r="AI478" i="10"/>
  <c r="AL478" i="10"/>
  <c r="Z478" i="10"/>
  <c r="AN478" i="10" s="1"/>
  <c r="AC477" i="10"/>
  <c r="R477" i="10"/>
  <c r="Q477" i="10"/>
  <c r="AI477" i="10"/>
  <c r="Z477" i="10"/>
  <c r="AN477" i="10" s="1"/>
  <c r="AL477" i="10"/>
  <c r="Q476" i="10"/>
  <c r="AC476" i="10"/>
  <c r="R476" i="10"/>
  <c r="Z476" i="10"/>
  <c r="AN476" i="10" s="1"/>
  <c r="AI476" i="10"/>
  <c r="AL476" i="10"/>
  <c r="Q475" i="10"/>
  <c r="R475" i="10"/>
  <c r="AC475" i="10"/>
  <c r="AL475" i="10"/>
  <c r="AI475" i="10"/>
  <c r="Z475" i="10"/>
  <c r="AN475" i="10" s="1"/>
  <c r="AC474" i="10"/>
  <c r="Q474" i="10"/>
  <c r="R474" i="10"/>
  <c r="AL474" i="10"/>
  <c r="AI474" i="10"/>
  <c r="Z474" i="10"/>
  <c r="AN474" i="10" s="1"/>
  <c r="R473" i="10"/>
  <c r="Q473" i="10"/>
  <c r="AC473" i="10"/>
  <c r="AL473" i="10"/>
  <c r="Z473" i="10"/>
  <c r="AN473" i="10" s="1"/>
  <c r="AI473" i="10"/>
  <c r="R472" i="10"/>
  <c r="AC472" i="10"/>
  <c r="Q472" i="10"/>
  <c r="Z472" i="10"/>
  <c r="AN472" i="10" s="1"/>
  <c r="AI472" i="10"/>
  <c r="AL472" i="10"/>
  <c r="Q471" i="10"/>
  <c r="AC471" i="10"/>
  <c r="R471" i="10"/>
  <c r="Z471" i="10"/>
  <c r="AN471" i="10" s="1"/>
  <c r="AI471" i="10"/>
  <c r="AL471" i="10"/>
  <c r="AC470" i="10"/>
  <c r="Q470" i="10"/>
  <c r="R470" i="10"/>
  <c r="AL470" i="10"/>
  <c r="AI470" i="10"/>
  <c r="Z470" i="10"/>
  <c r="AN470" i="10" s="1"/>
  <c r="AC469" i="10"/>
  <c r="Q469" i="10"/>
  <c r="R469" i="10"/>
  <c r="AI469" i="10"/>
  <c r="AL469" i="10"/>
  <c r="Z469" i="10"/>
  <c r="AN469" i="10" s="1"/>
  <c r="Q468" i="10"/>
  <c r="AC468" i="10"/>
  <c r="R468" i="10"/>
  <c r="AL468" i="10"/>
  <c r="Z468" i="10"/>
  <c r="AN468" i="10" s="1"/>
  <c r="AI468" i="10"/>
  <c r="Q467" i="10"/>
  <c r="AC467" i="10"/>
  <c r="R467" i="10"/>
  <c r="AL467" i="10"/>
  <c r="Z467" i="10"/>
  <c r="AN467" i="10" s="1"/>
  <c r="AI467" i="10"/>
  <c r="R466" i="10"/>
  <c r="AC466" i="10"/>
  <c r="Q466" i="10"/>
  <c r="AI466" i="10"/>
  <c r="AL466" i="10"/>
  <c r="Z466" i="10"/>
  <c r="AN466" i="10" s="1"/>
  <c r="Q465" i="10"/>
  <c r="AC465" i="10"/>
  <c r="R465" i="10"/>
  <c r="AL465" i="10"/>
  <c r="Z465" i="10"/>
  <c r="AN465" i="10" s="1"/>
  <c r="AI465" i="10"/>
  <c r="R464" i="10"/>
  <c r="Q464" i="10"/>
  <c r="AC464" i="10"/>
  <c r="AL464" i="10"/>
  <c r="AI464" i="10"/>
  <c r="Z464" i="10"/>
  <c r="AN464" i="10" s="1"/>
  <c r="Q463" i="10"/>
  <c r="R463" i="10"/>
  <c r="AC463" i="10"/>
  <c r="AI463" i="10"/>
  <c r="Z463" i="10"/>
  <c r="AN463" i="10" s="1"/>
  <c r="AL463" i="10"/>
  <c r="Q462" i="10"/>
  <c r="AC462" i="10"/>
  <c r="R462" i="10"/>
  <c r="AI462" i="10"/>
  <c r="AL462" i="10"/>
  <c r="Z462" i="10"/>
  <c r="AN462" i="10" s="1"/>
  <c r="AC461" i="10"/>
  <c r="R461" i="10"/>
  <c r="Q461" i="10"/>
  <c r="AL461" i="10"/>
  <c r="AI461" i="10"/>
  <c r="Z461" i="10"/>
  <c r="AN461" i="10" s="1"/>
  <c r="AC460" i="10"/>
  <c r="Q460" i="10"/>
  <c r="R460" i="10"/>
  <c r="AI460" i="10"/>
  <c r="Z460" i="10"/>
  <c r="AN460" i="10" s="1"/>
  <c r="AL460" i="10"/>
  <c r="R459" i="10"/>
  <c r="AC459" i="10"/>
  <c r="Q459" i="10"/>
  <c r="AI459" i="10"/>
  <c r="AL459" i="10"/>
  <c r="Z459" i="10"/>
  <c r="AN459" i="10" s="1"/>
  <c r="Q458" i="10"/>
  <c r="R458" i="10"/>
  <c r="AC458" i="10"/>
  <c r="AL458" i="10"/>
  <c r="AI458" i="10"/>
  <c r="Z458" i="10"/>
  <c r="AN458" i="10" s="1"/>
  <c r="Q457" i="10"/>
  <c r="R457" i="10"/>
  <c r="AC457" i="10"/>
  <c r="AI457" i="10"/>
  <c r="Z457" i="10"/>
  <c r="AN457" i="10" s="1"/>
  <c r="AL457" i="10"/>
  <c r="Q456" i="10"/>
  <c r="AC456" i="10"/>
  <c r="R456" i="10"/>
  <c r="AL456" i="10"/>
  <c r="Z456" i="10"/>
  <c r="AN456" i="10" s="1"/>
  <c r="AI456" i="10"/>
  <c r="R455" i="10"/>
  <c r="Q455" i="10"/>
  <c r="AC455" i="10"/>
  <c r="AI455" i="10"/>
  <c r="Z455" i="10"/>
  <c r="AN455" i="10" s="1"/>
  <c r="AL455" i="10"/>
  <c r="AC454" i="10"/>
  <c r="R454" i="10"/>
  <c r="Q454" i="10"/>
  <c r="AI454" i="10"/>
  <c r="Z454" i="10"/>
  <c r="AN454" i="10" s="1"/>
  <c r="AL454" i="10"/>
  <c r="R453" i="10"/>
  <c r="Q453" i="10"/>
  <c r="AC453" i="10"/>
  <c r="AI453" i="10"/>
  <c r="AL453" i="10"/>
  <c r="Z453" i="10"/>
  <c r="AN453" i="10" s="1"/>
  <c r="AC452" i="10"/>
  <c r="Q452" i="10"/>
  <c r="R452" i="10"/>
  <c r="AI452" i="10"/>
  <c r="Z452" i="10"/>
  <c r="AN452" i="10" s="1"/>
  <c r="AL452" i="10"/>
  <c r="Q451" i="10"/>
  <c r="AC451" i="10"/>
  <c r="R451" i="10"/>
  <c r="AI451" i="10"/>
  <c r="Z451" i="10"/>
  <c r="AN451" i="10" s="1"/>
  <c r="AL451" i="10"/>
  <c r="AC450" i="10"/>
  <c r="Q450" i="10"/>
  <c r="R450" i="10"/>
  <c r="AL450" i="10"/>
  <c r="AI450" i="10"/>
  <c r="Z450" i="10"/>
  <c r="AN450" i="10" s="1"/>
  <c r="AC449" i="10"/>
  <c r="Q449" i="10"/>
  <c r="R449" i="10"/>
  <c r="AI449" i="10"/>
  <c r="Z449" i="10"/>
  <c r="AN449" i="10" s="1"/>
  <c r="AL449" i="10"/>
  <c r="Q448" i="10"/>
  <c r="R448" i="10"/>
  <c r="AC448" i="10"/>
  <c r="AI448" i="10"/>
  <c r="Z448" i="10"/>
  <c r="AN448" i="10" s="1"/>
  <c r="AL448" i="10"/>
  <c r="R447" i="10"/>
  <c r="AC447" i="10"/>
  <c r="Q447" i="10"/>
  <c r="AL447" i="10"/>
  <c r="Z447" i="10"/>
  <c r="AN447" i="10" s="1"/>
  <c r="AI447" i="10"/>
  <c r="AC446" i="10"/>
  <c r="R446" i="10"/>
  <c r="Q446" i="10"/>
  <c r="Z446" i="10"/>
  <c r="AN446" i="10" s="1"/>
  <c r="AL446" i="10"/>
  <c r="AI446" i="10"/>
  <c r="AC445" i="10"/>
  <c r="Q445" i="10"/>
  <c r="R445" i="10"/>
  <c r="Z445" i="10"/>
  <c r="AN445" i="10" s="1"/>
  <c r="AI445" i="10"/>
  <c r="AL445" i="10"/>
  <c r="Q444" i="10"/>
  <c r="AC444" i="10"/>
  <c r="R444" i="10"/>
  <c r="Z444" i="10"/>
  <c r="AN444" i="10" s="1"/>
  <c r="AI444" i="10"/>
  <c r="AL444" i="10"/>
  <c r="AC443" i="10"/>
  <c r="R443" i="10"/>
  <c r="Q443" i="10"/>
  <c r="Z443" i="10"/>
  <c r="AN443" i="10" s="1"/>
  <c r="AL443" i="10"/>
  <c r="AI443" i="10"/>
  <c r="R442" i="10"/>
  <c r="Q442" i="10"/>
  <c r="AC442" i="10"/>
  <c r="AL442" i="10"/>
  <c r="Z442" i="10"/>
  <c r="AN442" i="10" s="1"/>
  <c r="AI442" i="10"/>
  <c r="AC441" i="10"/>
  <c r="Q441" i="10"/>
  <c r="R441" i="10"/>
  <c r="Z441" i="10"/>
  <c r="AN441" i="10" s="1"/>
  <c r="AL441" i="10"/>
  <c r="AI441" i="10"/>
  <c r="AC440" i="10"/>
  <c r="R440" i="10"/>
  <c r="Q440" i="10"/>
  <c r="Z440" i="10"/>
  <c r="AN440" i="10" s="1"/>
  <c r="AL440" i="10"/>
  <c r="AI440" i="10"/>
  <c r="AC439" i="10"/>
  <c r="R439" i="10"/>
  <c r="Q439" i="10"/>
  <c r="AL439" i="10"/>
  <c r="Z439" i="10"/>
  <c r="AN439" i="10" s="1"/>
  <c r="AI439" i="10"/>
  <c r="Q438" i="10"/>
  <c r="R438" i="10"/>
  <c r="AC438" i="10"/>
  <c r="Z438" i="10"/>
  <c r="AN438" i="10" s="1"/>
  <c r="AI438" i="10"/>
  <c r="AL438" i="10"/>
  <c r="AC437" i="10"/>
  <c r="R437" i="10"/>
  <c r="Q437" i="10"/>
  <c r="Z437" i="10"/>
  <c r="AN437" i="10" s="1"/>
  <c r="AL437" i="10"/>
  <c r="AI437" i="10"/>
  <c r="AC436" i="10"/>
  <c r="R436" i="10"/>
  <c r="Q436" i="10"/>
  <c r="Z436" i="10"/>
  <c r="AN436" i="10" s="1"/>
  <c r="AI436" i="10"/>
  <c r="AL436" i="10"/>
  <c r="Q435" i="10"/>
  <c r="AC435" i="10"/>
  <c r="R435" i="10"/>
  <c r="AI435" i="10"/>
  <c r="AL435" i="10"/>
  <c r="Z435" i="10"/>
  <c r="AN435" i="10" s="1"/>
  <c r="R434" i="10"/>
  <c r="AC434" i="10"/>
  <c r="Q434" i="10"/>
  <c r="Z434" i="10"/>
  <c r="AN434" i="10" s="1"/>
  <c r="AL434" i="10"/>
  <c r="AI434" i="10"/>
  <c r="R433" i="10"/>
  <c r="AC433" i="10"/>
  <c r="Q433" i="10"/>
  <c r="AL433" i="10"/>
  <c r="AI433" i="10"/>
  <c r="Z433" i="10"/>
  <c r="AN433" i="10" s="1"/>
  <c r="R432" i="10"/>
  <c r="Q432" i="10"/>
  <c r="AC432" i="10"/>
  <c r="AL432" i="10"/>
  <c r="Z432" i="10"/>
  <c r="AN432" i="10" s="1"/>
  <c r="AI432" i="10"/>
  <c r="R431" i="10"/>
  <c r="AC431" i="10"/>
  <c r="Q431" i="10"/>
  <c r="AI431" i="10"/>
  <c r="AL431" i="10"/>
  <c r="Z431" i="10"/>
  <c r="AN431" i="10" s="1"/>
  <c r="AC430" i="10"/>
  <c r="R430" i="10"/>
  <c r="Q430" i="10"/>
  <c r="Z430" i="10"/>
  <c r="AN430" i="10" s="1"/>
  <c r="AI430" i="10"/>
  <c r="AL430" i="10"/>
  <c r="R429" i="10"/>
  <c r="AC429" i="10"/>
  <c r="Q429" i="10"/>
  <c r="AI429" i="10"/>
  <c r="AL429" i="10"/>
  <c r="Z429" i="10"/>
  <c r="AN429" i="10" s="1"/>
  <c r="Q428" i="10"/>
  <c r="AC428" i="10"/>
  <c r="R428" i="10"/>
  <c r="Z428" i="10"/>
  <c r="AN428" i="10" s="1"/>
  <c r="AL428" i="10"/>
  <c r="AI428" i="10"/>
  <c r="R427" i="10"/>
  <c r="Q427" i="10"/>
  <c r="AC427" i="10"/>
  <c r="Z427" i="10"/>
  <c r="AN427" i="10" s="1"/>
  <c r="AI427" i="10"/>
  <c r="AL427" i="10"/>
  <c r="R426" i="10"/>
  <c r="AC426" i="10"/>
  <c r="Q426" i="10"/>
  <c r="AL426" i="10"/>
  <c r="AI426" i="10"/>
  <c r="Z426" i="10"/>
  <c r="AN426" i="10" s="1"/>
  <c r="R425" i="10"/>
  <c r="Q425" i="10"/>
  <c r="AC425" i="10"/>
  <c r="R424" i="10"/>
  <c r="AC424" i="10"/>
  <c r="Q424" i="10"/>
  <c r="AI424" i="10"/>
  <c r="AL424" i="10"/>
  <c r="Z424" i="10"/>
  <c r="AN424" i="10" s="1"/>
  <c r="AC423" i="10"/>
  <c r="Q423" i="10"/>
  <c r="R423" i="10"/>
  <c r="AL423" i="10"/>
  <c r="AI423" i="10"/>
  <c r="Z423" i="10"/>
  <c r="AN423" i="10" s="1"/>
  <c r="R422" i="10"/>
  <c r="AC422" i="10"/>
  <c r="Q422" i="10"/>
  <c r="Z422" i="10"/>
  <c r="AN422" i="10" s="1"/>
  <c r="AI422" i="10"/>
  <c r="AL422" i="10"/>
  <c r="Q421" i="10"/>
  <c r="AC421" i="10"/>
  <c r="R421" i="10"/>
  <c r="Z421" i="10"/>
  <c r="AN421" i="10" s="1"/>
  <c r="AI421" i="10"/>
  <c r="AL421" i="10"/>
  <c r="Q420" i="10"/>
  <c r="R420" i="10"/>
  <c r="AC420" i="10"/>
  <c r="AL420" i="10"/>
  <c r="AI420" i="10"/>
  <c r="Z420" i="10"/>
  <c r="AN420" i="10" s="1"/>
  <c r="Q419" i="10"/>
  <c r="AC419" i="10"/>
  <c r="R419" i="10"/>
  <c r="Z419" i="10"/>
  <c r="AN419" i="10" s="1"/>
  <c r="AL419" i="10"/>
  <c r="AI419" i="10"/>
  <c r="R418" i="10"/>
  <c r="Q418" i="10"/>
  <c r="AC418" i="10"/>
  <c r="Z418" i="10"/>
  <c r="AN418" i="10" s="1"/>
  <c r="AI418" i="10"/>
  <c r="AL418" i="10"/>
  <c r="AC417" i="10"/>
  <c r="R417" i="10"/>
  <c r="Q417" i="10"/>
  <c r="AL417" i="10"/>
  <c r="Z417" i="10"/>
  <c r="AN417" i="10" s="1"/>
  <c r="AI417" i="10"/>
  <c r="AC416" i="10"/>
  <c r="Q416" i="10"/>
  <c r="R416" i="10"/>
  <c r="Z416" i="10"/>
  <c r="AN416" i="10" s="1"/>
  <c r="AI416" i="10"/>
  <c r="AL416" i="10"/>
  <c r="Q415" i="10"/>
  <c r="R415" i="10"/>
  <c r="AC415" i="10"/>
  <c r="Z415" i="10"/>
  <c r="AN415" i="10" s="1"/>
  <c r="AI415" i="10"/>
  <c r="AL415" i="10"/>
  <c r="R414" i="10"/>
  <c r="Q414" i="10"/>
  <c r="AC414" i="10"/>
  <c r="AI414" i="10"/>
  <c r="Z414" i="10"/>
  <c r="AN414" i="10" s="1"/>
  <c r="AL414" i="10"/>
  <c r="AC413" i="10"/>
  <c r="R413" i="10"/>
  <c r="Q413" i="10"/>
  <c r="AL413" i="10"/>
  <c r="AI413" i="10"/>
  <c r="Z413" i="10"/>
  <c r="AN413" i="10" s="1"/>
  <c r="AC412" i="10"/>
  <c r="R412" i="10"/>
  <c r="Q412" i="10"/>
  <c r="AL412" i="10"/>
  <c r="AI412" i="10"/>
  <c r="Z412" i="10"/>
  <c r="AN412" i="10" s="1"/>
  <c r="AC411" i="10"/>
  <c r="Q411" i="10"/>
  <c r="R411" i="10"/>
  <c r="AI411" i="10"/>
  <c r="AL411" i="10"/>
  <c r="Z411" i="10"/>
  <c r="AN411" i="10" s="1"/>
  <c r="AC410" i="10"/>
  <c r="R410" i="10"/>
  <c r="Q410" i="10"/>
  <c r="AL410" i="10"/>
  <c r="AI410" i="10"/>
  <c r="Z410" i="10"/>
  <c r="AN410" i="10" s="1"/>
  <c r="Q409" i="10"/>
  <c r="R409" i="10"/>
  <c r="AC409" i="10"/>
  <c r="AL409" i="10"/>
  <c r="AI409" i="10"/>
  <c r="Z409" i="10"/>
  <c r="AN409" i="10" s="1"/>
  <c r="Q408" i="10"/>
  <c r="R408" i="10"/>
  <c r="AC408" i="10"/>
  <c r="Z408" i="10"/>
  <c r="AN408" i="10" s="1"/>
  <c r="AI408" i="10"/>
  <c r="AL408" i="10"/>
  <c r="Q407" i="10"/>
  <c r="R407" i="10"/>
  <c r="AC407" i="10"/>
  <c r="Z407" i="10"/>
  <c r="AN407" i="10" s="1"/>
  <c r="AI407" i="10"/>
  <c r="AL407" i="10"/>
  <c r="Q406" i="10"/>
  <c r="R406" i="10"/>
  <c r="AC406" i="10"/>
  <c r="Z406" i="10"/>
  <c r="AN406" i="10" s="1"/>
  <c r="AI406" i="10"/>
  <c r="AL406" i="10"/>
  <c r="Q405" i="10"/>
  <c r="R405" i="10"/>
  <c r="AC405" i="10"/>
  <c r="AL405" i="10"/>
  <c r="Z405" i="10"/>
  <c r="AN405" i="10" s="1"/>
  <c r="AI405" i="10"/>
  <c r="Q404" i="10"/>
  <c r="R404" i="10"/>
  <c r="AC404" i="10"/>
  <c r="AL404" i="10"/>
  <c r="Z404" i="10"/>
  <c r="AN404" i="10" s="1"/>
  <c r="AI404" i="10"/>
  <c r="AC403" i="10"/>
  <c r="R403" i="10"/>
  <c r="Q403" i="10"/>
  <c r="AI403" i="10"/>
  <c r="AL403" i="10"/>
  <c r="Z403" i="10"/>
  <c r="AN403" i="10" s="1"/>
  <c r="AC402" i="10"/>
  <c r="R402" i="10"/>
  <c r="Q402" i="10"/>
  <c r="AL402" i="10"/>
  <c r="AI402" i="10"/>
  <c r="Z402" i="10"/>
  <c r="AN402" i="10" s="1"/>
  <c r="R401" i="10"/>
  <c r="Q401" i="10"/>
  <c r="AC401" i="10"/>
  <c r="AL401" i="10"/>
  <c r="AI401" i="10"/>
  <c r="Z401" i="10"/>
  <c r="AN401" i="10" s="1"/>
  <c r="AC400" i="10"/>
  <c r="R400" i="10"/>
  <c r="Q400" i="10"/>
  <c r="Z400" i="10"/>
  <c r="AN400" i="10" s="1"/>
  <c r="AL400" i="10"/>
  <c r="AI400" i="10"/>
  <c r="Q399" i="10"/>
  <c r="R399" i="10"/>
  <c r="AC399" i="10"/>
  <c r="Z399" i="10"/>
  <c r="AN399" i="10" s="1"/>
  <c r="AI399" i="10"/>
  <c r="AL399" i="10"/>
  <c r="AC398" i="10"/>
  <c r="R398" i="10"/>
  <c r="Q398" i="10"/>
  <c r="Z398" i="10"/>
  <c r="AN398" i="10" s="1"/>
  <c r="AI398" i="10"/>
  <c r="AL398" i="10"/>
  <c r="AC397" i="10"/>
  <c r="R397" i="10"/>
  <c r="Q397" i="10"/>
  <c r="AL397" i="10"/>
  <c r="AI397" i="10"/>
  <c r="Z397" i="10"/>
  <c r="AN397" i="10" s="1"/>
  <c r="R396" i="10"/>
  <c r="Q396" i="10"/>
  <c r="AC396" i="10"/>
  <c r="AI396" i="10"/>
  <c r="AL396" i="10"/>
  <c r="Z396" i="10"/>
  <c r="AN396" i="10" s="1"/>
  <c r="Q395" i="10"/>
  <c r="R395" i="10"/>
  <c r="AC395" i="10"/>
  <c r="Z395" i="10"/>
  <c r="AN395" i="10" s="1"/>
  <c r="AL395" i="10"/>
  <c r="AI395" i="10"/>
  <c r="AC394" i="10"/>
  <c r="R394" i="10"/>
  <c r="Q394" i="10"/>
  <c r="AL394" i="10"/>
  <c r="AI394" i="10"/>
  <c r="Z394" i="10"/>
  <c r="AN394" i="10" s="1"/>
  <c r="AC393" i="10"/>
  <c r="Q393" i="10"/>
  <c r="R393" i="10"/>
  <c r="AL393" i="10"/>
  <c r="AI393" i="10"/>
  <c r="Z393" i="10"/>
  <c r="AN393" i="10" s="1"/>
  <c r="Q392" i="10"/>
  <c r="R392" i="10"/>
  <c r="AC392" i="10"/>
  <c r="AL392" i="10"/>
  <c r="AI392" i="10"/>
  <c r="Z392" i="10"/>
  <c r="AN392" i="10" s="1"/>
  <c r="AD391" i="10"/>
  <c r="AP391" i="10"/>
  <c r="R391" i="10"/>
  <c r="Q391" i="10"/>
  <c r="Z391" i="10"/>
  <c r="AN391" i="10" s="1"/>
  <c r="AI391" i="10"/>
  <c r="AL391" i="10"/>
  <c r="R390" i="10"/>
  <c r="Q390" i="10"/>
  <c r="AC390" i="10"/>
  <c r="AI390" i="10"/>
  <c r="Z390" i="10"/>
  <c r="AN390" i="10" s="1"/>
  <c r="AL390" i="10"/>
  <c r="R389" i="10"/>
  <c r="Q389" i="10"/>
  <c r="AC389" i="10"/>
  <c r="Z389" i="10"/>
  <c r="AN389" i="10" s="1"/>
  <c r="AI389" i="10"/>
  <c r="AL389" i="10"/>
  <c r="Q388" i="10"/>
  <c r="AC388" i="10"/>
  <c r="R388" i="10"/>
  <c r="Z388" i="10"/>
  <c r="AN388" i="10" s="1"/>
  <c r="AL388" i="10"/>
  <c r="AI388" i="10"/>
  <c r="AC387" i="10"/>
  <c r="R387" i="10"/>
  <c r="Q387" i="10"/>
  <c r="AL387" i="10"/>
  <c r="AI387" i="10"/>
  <c r="Z387" i="10"/>
  <c r="AN387" i="10" s="1"/>
  <c r="AC386" i="10"/>
  <c r="Q386" i="10"/>
  <c r="R386" i="10"/>
  <c r="AI386" i="10"/>
  <c r="Z386" i="10"/>
  <c r="AN386" i="10" s="1"/>
  <c r="AL386" i="10"/>
  <c r="Q385" i="10"/>
  <c r="AC385" i="10"/>
  <c r="R385" i="10"/>
  <c r="AL385" i="10"/>
  <c r="AI385" i="10"/>
  <c r="Z385" i="10"/>
  <c r="AN385" i="10" s="1"/>
  <c r="AC384" i="10"/>
  <c r="R384" i="10"/>
  <c r="Q384" i="10"/>
  <c r="AI384" i="10"/>
  <c r="AL384" i="10"/>
  <c r="Z384" i="10"/>
  <c r="AN384" i="10" s="1"/>
  <c r="AC383" i="10"/>
  <c r="R383" i="10"/>
  <c r="Q383" i="10"/>
  <c r="AI383" i="10"/>
  <c r="Z383" i="10"/>
  <c r="AN383" i="10" s="1"/>
  <c r="AL383" i="10"/>
  <c r="AC382" i="10"/>
  <c r="Q382" i="10"/>
  <c r="R382" i="10"/>
  <c r="Z382" i="10"/>
  <c r="AN382" i="10" s="1"/>
  <c r="AL382" i="10"/>
  <c r="AI382" i="10"/>
  <c r="Q381" i="10"/>
  <c r="AC381" i="10"/>
  <c r="R381" i="10"/>
  <c r="Z381" i="10"/>
  <c r="AN381" i="10" s="1"/>
  <c r="AL381" i="10"/>
  <c r="AI381" i="10"/>
  <c r="Q380" i="10"/>
  <c r="AC380" i="10"/>
  <c r="R380" i="10"/>
  <c r="AL380" i="10"/>
  <c r="AI380" i="10"/>
  <c r="Z380" i="10"/>
  <c r="AN380" i="10" s="1"/>
  <c r="Q379" i="10"/>
  <c r="AC379" i="10"/>
  <c r="R379" i="10"/>
  <c r="AL379" i="10"/>
  <c r="AI379" i="10"/>
  <c r="Z379" i="10"/>
  <c r="AN379" i="10" s="1"/>
  <c r="AC378" i="10"/>
  <c r="R378" i="10"/>
  <c r="Q378" i="10"/>
  <c r="Z378" i="10"/>
  <c r="AN378" i="10" s="1"/>
  <c r="AI378" i="10"/>
  <c r="AL378" i="10"/>
  <c r="Q377" i="10"/>
  <c r="R377" i="10"/>
  <c r="AC377" i="10"/>
  <c r="Z377" i="10"/>
  <c r="AN377" i="10" s="1"/>
  <c r="AI377" i="10"/>
  <c r="AL377" i="10"/>
  <c r="R376" i="10"/>
  <c r="Q376" i="10"/>
  <c r="AC376" i="10"/>
  <c r="AI376" i="10"/>
  <c r="Z376" i="10"/>
  <c r="AN376" i="10" s="1"/>
  <c r="AL376" i="10"/>
  <c r="AC375" i="10"/>
  <c r="Q375" i="10"/>
  <c r="R375" i="10"/>
  <c r="Z375" i="10"/>
  <c r="AN375" i="10" s="1"/>
  <c r="AI375" i="10"/>
  <c r="AL375" i="10"/>
  <c r="Q374" i="10"/>
  <c r="R374" i="10"/>
  <c r="AC374" i="10"/>
  <c r="Z374" i="10"/>
  <c r="AN374" i="10" s="1"/>
  <c r="AI374" i="10"/>
  <c r="AL374" i="10"/>
  <c r="AC373" i="10"/>
  <c r="R373" i="10"/>
  <c r="Q373" i="10"/>
  <c r="AL373" i="10"/>
  <c r="AI373" i="10"/>
  <c r="Z373" i="10"/>
  <c r="AN373" i="10" s="1"/>
  <c r="R372" i="10"/>
  <c r="AC372" i="10"/>
  <c r="Q372" i="10"/>
  <c r="AL372" i="10"/>
  <c r="AI372" i="10"/>
  <c r="Z372" i="10"/>
  <c r="AN372" i="10" s="1"/>
  <c r="R371" i="10"/>
  <c r="AC371" i="10"/>
  <c r="Q371" i="10"/>
  <c r="AI371" i="10"/>
  <c r="AL371" i="10"/>
  <c r="Z371" i="10"/>
  <c r="AN371" i="10" s="1"/>
  <c r="Q370" i="10"/>
  <c r="R370" i="10"/>
  <c r="AC370" i="10"/>
  <c r="AI370" i="10"/>
  <c r="AL370" i="10"/>
  <c r="Z370" i="10"/>
  <c r="AN370" i="10" s="1"/>
  <c r="Q369" i="10"/>
  <c r="R369" i="10"/>
  <c r="AC369" i="10"/>
  <c r="AL369" i="10"/>
  <c r="AI369" i="10"/>
  <c r="Z369" i="10"/>
  <c r="AN369" i="10" s="1"/>
  <c r="R368" i="10"/>
  <c r="Q368" i="10"/>
  <c r="AC368" i="10"/>
  <c r="Z368" i="10"/>
  <c r="AN368" i="10" s="1"/>
  <c r="AL368" i="10"/>
  <c r="AI368" i="10"/>
  <c r="Q367" i="10"/>
  <c r="AC367" i="10"/>
  <c r="R367" i="10"/>
  <c r="AI367" i="10"/>
  <c r="Z367" i="10"/>
  <c r="AN367" i="10" s="1"/>
  <c r="AL367" i="10"/>
  <c r="AC366" i="10"/>
  <c r="R366" i="10"/>
  <c r="Q366" i="10"/>
  <c r="Z366" i="10"/>
  <c r="AN366" i="10" s="1"/>
  <c r="AI366" i="10"/>
  <c r="AL366" i="10"/>
  <c r="R365" i="10"/>
  <c r="AC365" i="10"/>
  <c r="Q365" i="10"/>
  <c r="AI365" i="10"/>
  <c r="Z365" i="10"/>
  <c r="AN365" i="10" s="1"/>
  <c r="AL365" i="10"/>
  <c r="AC364" i="10"/>
  <c r="Q364" i="10"/>
  <c r="R364" i="10"/>
  <c r="Z364" i="10"/>
  <c r="AN364" i="10" s="1"/>
  <c r="AL364" i="10"/>
  <c r="AI364" i="10"/>
  <c r="Q363" i="10"/>
  <c r="AC363" i="10"/>
  <c r="R363" i="10"/>
  <c r="Z363" i="10"/>
  <c r="AN363" i="10" s="1"/>
  <c r="AI363" i="10"/>
  <c r="AL363" i="10"/>
  <c r="Q362" i="10"/>
  <c r="R362" i="10"/>
  <c r="AC362" i="10"/>
  <c r="AI362" i="10"/>
  <c r="Z362" i="10"/>
  <c r="AN362" i="10" s="1"/>
  <c r="AL362" i="10"/>
  <c r="Y361" i="10"/>
  <c r="C10" i="8"/>
  <c r="C14" i="8"/>
  <c r="Q361" i="10"/>
  <c r="AC361" i="10"/>
  <c r="R361" i="10"/>
  <c r="AI361" i="10"/>
  <c r="AL361" i="10"/>
  <c r="Z361" i="10"/>
  <c r="AN361" i="10" s="1"/>
  <c r="AC360" i="10"/>
  <c r="Q360" i="10"/>
  <c r="R360" i="10"/>
  <c r="AL360" i="10"/>
  <c r="AI360" i="10"/>
  <c r="Z360" i="10"/>
  <c r="AN360" i="10" s="1"/>
  <c r="Q359" i="10"/>
  <c r="R359" i="10"/>
  <c r="AC359" i="10"/>
  <c r="AL359" i="10"/>
  <c r="AI359" i="10"/>
  <c r="Z359" i="10"/>
  <c r="AN359" i="10" s="1"/>
  <c r="AC358" i="10"/>
  <c r="R358" i="10"/>
  <c r="Q358" i="10"/>
  <c r="Z358" i="10"/>
  <c r="AN358" i="10" s="1"/>
  <c r="AI358" i="10"/>
  <c r="AL358" i="10"/>
  <c r="AC357" i="10"/>
  <c r="R357" i="10"/>
  <c r="Q357" i="10"/>
  <c r="AL357" i="10"/>
  <c r="Z357" i="10"/>
  <c r="AN357" i="10" s="1"/>
  <c r="AI357" i="10"/>
  <c r="AC356" i="10"/>
  <c r="R356" i="10"/>
  <c r="Q356" i="10"/>
  <c r="AL356" i="10"/>
  <c r="AI356" i="10"/>
  <c r="Z356" i="10"/>
  <c r="AN356" i="10" s="1"/>
  <c r="AC355" i="10"/>
  <c r="R355" i="10"/>
  <c r="Q355" i="10"/>
  <c r="AL355" i="10"/>
  <c r="Z355" i="10"/>
  <c r="AN355" i="10" s="1"/>
  <c r="AI355" i="10"/>
  <c r="AC354" i="10"/>
  <c r="R354" i="10"/>
  <c r="Q354" i="10"/>
  <c r="AI354" i="10"/>
  <c r="Z354" i="10"/>
  <c r="AN354" i="10" s="1"/>
  <c r="AL354" i="10"/>
  <c r="Q353" i="10"/>
  <c r="AC353" i="10"/>
  <c r="R353" i="10"/>
  <c r="Z353" i="10"/>
  <c r="AN353" i="10" s="1"/>
  <c r="AI353" i="10"/>
  <c r="AL353" i="10"/>
  <c r="R352" i="10"/>
  <c r="Q352" i="10"/>
  <c r="AC352" i="10"/>
  <c r="AI352" i="10"/>
  <c r="Z352" i="10"/>
  <c r="AN352" i="10" s="1"/>
  <c r="AL352" i="10"/>
  <c r="AC351" i="10"/>
  <c r="Q351" i="10"/>
  <c r="R351" i="10"/>
  <c r="Z351" i="10"/>
  <c r="AN351" i="10" s="1"/>
  <c r="AI351" i="10"/>
  <c r="AL351" i="10"/>
  <c r="R350" i="10"/>
  <c r="AC350" i="10"/>
  <c r="Q350" i="10"/>
  <c r="Z350" i="10"/>
  <c r="AN350" i="10" s="1"/>
  <c r="AI350" i="10"/>
  <c r="AL350" i="10"/>
  <c r="AC349" i="10"/>
  <c r="Q349" i="10"/>
  <c r="R349" i="10"/>
  <c r="AL349" i="10"/>
  <c r="AI349" i="10"/>
  <c r="Z349" i="10"/>
  <c r="AN349" i="10" s="1"/>
  <c r="R348" i="10"/>
  <c r="Q348" i="10"/>
  <c r="AC348" i="10"/>
  <c r="AI348" i="10"/>
  <c r="AL348" i="10"/>
  <c r="Z348" i="10"/>
  <c r="AN348" i="10" s="1"/>
  <c r="Q347" i="10"/>
  <c r="R347" i="10"/>
  <c r="AC347" i="10"/>
  <c r="AI347" i="10"/>
  <c r="AL347" i="10"/>
  <c r="Z347" i="10"/>
  <c r="AN347" i="10" s="1"/>
  <c r="R346" i="10"/>
  <c r="Q346" i="10"/>
  <c r="AC346" i="10"/>
  <c r="AI346" i="10"/>
  <c r="AL346" i="10"/>
  <c r="Z346" i="10"/>
  <c r="AN346" i="10" s="1"/>
  <c r="AC345" i="10"/>
  <c r="R345" i="10"/>
  <c r="Q345" i="10"/>
  <c r="AL345" i="10"/>
  <c r="AI345" i="10"/>
  <c r="Z345" i="10"/>
  <c r="AN345" i="10" s="1"/>
  <c r="AC344" i="10"/>
  <c r="R344" i="10"/>
  <c r="Q344" i="10"/>
  <c r="AL344" i="10"/>
  <c r="AI344" i="10"/>
  <c r="Z344" i="10"/>
  <c r="AN344" i="10" s="1"/>
  <c r="AC343" i="10"/>
  <c r="Q343" i="10"/>
  <c r="R343" i="10"/>
  <c r="Z343" i="10"/>
  <c r="AN343" i="10" s="1"/>
  <c r="AL343" i="10"/>
  <c r="AI343" i="10"/>
  <c r="R342" i="10"/>
  <c r="Q342" i="10"/>
  <c r="AC342" i="10"/>
  <c r="Z342" i="10"/>
  <c r="AN342" i="10" s="1"/>
  <c r="AI342" i="10"/>
  <c r="AL342" i="10"/>
  <c r="AC341" i="10"/>
  <c r="R341" i="10"/>
  <c r="Q341" i="10"/>
  <c r="AI341" i="10"/>
  <c r="AL341" i="10"/>
  <c r="Z341" i="10"/>
  <c r="AN341" i="10" s="1"/>
  <c r="R340" i="10"/>
  <c r="Q340" i="10"/>
  <c r="AC340" i="10"/>
  <c r="Z340" i="10"/>
  <c r="AN340" i="10" s="1"/>
  <c r="AL340" i="10"/>
  <c r="AI340" i="10"/>
  <c r="Q339" i="10"/>
  <c r="AC339" i="10"/>
  <c r="R339" i="10"/>
  <c r="Z339" i="10"/>
  <c r="AN339" i="10" s="1"/>
  <c r="AL339" i="10"/>
  <c r="AI339" i="10"/>
  <c r="AC338" i="10"/>
  <c r="Q338" i="10"/>
  <c r="R338" i="10"/>
  <c r="AI338" i="10"/>
  <c r="Z338" i="10"/>
  <c r="AN338" i="10" s="1"/>
  <c r="AL338" i="10"/>
  <c r="AC337" i="10"/>
  <c r="R337" i="10"/>
  <c r="Q337" i="10"/>
  <c r="AL337" i="10"/>
  <c r="AI337" i="10"/>
  <c r="Z337" i="10"/>
  <c r="AN337" i="10" s="1"/>
  <c r="Q336" i="10"/>
  <c r="R336" i="10"/>
  <c r="AC336" i="10"/>
  <c r="AL336" i="10"/>
  <c r="Z336" i="10"/>
  <c r="AN336" i="10" s="1"/>
  <c r="AI336" i="10"/>
  <c r="R335" i="10"/>
  <c r="Q335" i="10"/>
  <c r="AC335" i="10"/>
  <c r="AI335" i="10"/>
  <c r="AL335" i="10"/>
  <c r="Z335" i="10"/>
  <c r="AN335" i="10" s="1"/>
  <c r="R334" i="10"/>
  <c r="Q334" i="10"/>
  <c r="AC334" i="10"/>
  <c r="AL334" i="10"/>
  <c r="Z334" i="10"/>
  <c r="AN334" i="10" s="1"/>
  <c r="AI334" i="10"/>
  <c r="Q333" i="10"/>
  <c r="R333" i="10"/>
  <c r="AC333" i="10"/>
  <c r="Z333" i="10"/>
  <c r="AN333" i="10" s="1"/>
  <c r="AI333" i="10"/>
  <c r="AL333" i="10"/>
  <c r="Q332" i="10"/>
  <c r="AC332" i="10"/>
  <c r="R332" i="10"/>
  <c r="Z332" i="10"/>
  <c r="AN332" i="10" s="1"/>
  <c r="AI332" i="10"/>
  <c r="AL332" i="10"/>
  <c r="AC331" i="10"/>
  <c r="R331" i="10"/>
  <c r="Q331" i="10"/>
  <c r="AL331" i="10"/>
  <c r="AI331" i="10"/>
  <c r="Z331" i="10"/>
  <c r="AN331" i="10" s="1"/>
  <c r="Q330" i="10"/>
  <c r="R330" i="10"/>
  <c r="AC330" i="10"/>
  <c r="Z330" i="10"/>
  <c r="AN330" i="10" s="1"/>
  <c r="AI330" i="10"/>
  <c r="AL330" i="10"/>
  <c r="Q329" i="10"/>
  <c r="R329" i="10"/>
  <c r="AC329" i="10"/>
  <c r="AI329" i="10"/>
  <c r="Z329" i="10"/>
  <c r="AN329" i="10" s="1"/>
  <c r="AL329" i="10"/>
  <c r="Q328" i="10"/>
  <c r="AC328" i="10"/>
  <c r="R328" i="10"/>
  <c r="Z328" i="10"/>
  <c r="AN328" i="10" s="1"/>
  <c r="AI328" i="10"/>
  <c r="AL328" i="10"/>
  <c r="AC327" i="10"/>
  <c r="R327" i="10"/>
  <c r="Q327" i="10"/>
  <c r="AL327" i="10"/>
  <c r="AI327" i="10"/>
  <c r="Z327" i="10"/>
  <c r="AN327" i="10" s="1"/>
  <c r="AC326" i="10"/>
  <c r="R326" i="10"/>
  <c r="Q326" i="10"/>
  <c r="AL326" i="10"/>
  <c r="AI326" i="10"/>
  <c r="Z326" i="10"/>
  <c r="AN326" i="10" s="1"/>
  <c r="R325" i="10"/>
  <c r="Q325" i="10"/>
  <c r="AC325" i="10"/>
  <c r="AL325" i="10"/>
  <c r="Z325" i="10"/>
  <c r="AN325" i="10" s="1"/>
  <c r="AI325" i="10"/>
  <c r="R324" i="10"/>
  <c r="Q324" i="10"/>
  <c r="AC324" i="10"/>
  <c r="AL324" i="10"/>
  <c r="Z324" i="10"/>
  <c r="AN324" i="10" s="1"/>
  <c r="AI324" i="10"/>
  <c r="R323" i="10"/>
  <c r="Q323" i="10"/>
  <c r="AC323" i="10"/>
  <c r="AI323" i="10"/>
  <c r="AL323" i="10"/>
  <c r="Z323" i="10"/>
  <c r="AN323" i="10" s="1"/>
  <c r="AC322" i="10"/>
  <c r="Q322" i="10"/>
  <c r="R322" i="10"/>
  <c r="AL322" i="10"/>
  <c r="AI322" i="10"/>
  <c r="Z322" i="10"/>
  <c r="AN322" i="10" s="1"/>
  <c r="AC321" i="10"/>
  <c r="R321" i="10"/>
  <c r="Q321" i="10"/>
  <c r="AL321" i="10"/>
  <c r="AI321" i="10"/>
  <c r="Z321" i="10"/>
  <c r="AN321" i="10" s="1"/>
  <c r="AC320" i="10"/>
  <c r="R320" i="10"/>
  <c r="Q320" i="10"/>
  <c r="AL320" i="10"/>
  <c r="AI320" i="10"/>
  <c r="Z320" i="10"/>
  <c r="AN320" i="10" s="1"/>
  <c r="R319" i="10"/>
  <c r="AC319" i="10"/>
  <c r="Q319" i="10"/>
  <c r="Z319" i="10"/>
  <c r="AN319" i="10" s="1"/>
  <c r="AI319" i="10"/>
  <c r="AL319" i="10"/>
  <c r="R318" i="10"/>
  <c r="Q318" i="10"/>
  <c r="AC318" i="10"/>
  <c r="Z318" i="10"/>
  <c r="AN318" i="10" s="1"/>
  <c r="AI318" i="10"/>
  <c r="AL318" i="10"/>
  <c r="AC317" i="10"/>
  <c r="R317" i="10"/>
  <c r="Q317" i="10"/>
  <c r="AI317" i="10"/>
  <c r="Z317" i="10"/>
  <c r="AN317" i="10" s="1"/>
  <c r="AL317" i="10"/>
  <c r="AC316" i="10"/>
  <c r="Q316" i="10"/>
  <c r="R316" i="10"/>
  <c r="AL316" i="10"/>
  <c r="AI316" i="10"/>
  <c r="Z316" i="10"/>
  <c r="AN316" i="10" s="1"/>
  <c r="R315" i="10"/>
  <c r="Q315" i="10"/>
  <c r="AC315" i="10"/>
  <c r="AL315" i="10"/>
  <c r="AI315" i="10"/>
  <c r="Z315" i="10"/>
  <c r="AN315" i="10" s="1"/>
  <c r="AC314" i="10"/>
  <c r="Q314" i="10"/>
  <c r="R314" i="10"/>
  <c r="AL314" i="10"/>
  <c r="AI314" i="10"/>
  <c r="Z314" i="10"/>
  <c r="AN314" i="10" s="1"/>
  <c r="Q313" i="10"/>
  <c r="AC313" i="10"/>
  <c r="R313" i="10"/>
  <c r="Z313" i="10"/>
  <c r="AN313" i="10" s="1"/>
  <c r="AI313" i="10"/>
  <c r="AL313" i="10"/>
  <c r="R312" i="10"/>
  <c r="Q312" i="10"/>
  <c r="AC312" i="10"/>
  <c r="Z312" i="10"/>
  <c r="AN312" i="10" s="1"/>
  <c r="AI312" i="10"/>
  <c r="AL312" i="10"/>
  <c r="Q311" i="10"/>
  <c r="AC311" i="10"/>
  <c r="R311" i="10"/>
  <c r="AI311" i="10"/>
  <c r="Z311" i="10"/>
  <c r="AN311" i="10" s="1"/>
  <c r="AL311" i="10"/>
  <c r="AC310" i="10"/>
  <c r="R310" i="10"/>
  <c r="Q310" i="10"/>
  <c r="AL310" i="10"/>
  <c r="AI310" i="10"/>
  <c r="Z310" i="10"/>
  <c r="AN310" i="10" s="1"/>
  <c r="R309" i="10"/>
  <c r="AC309" i="10"/>
  <c r="Q309" i="10"/>
  <c r="Z309" i="10"/>
  <c r="AN309" i="10" s="1"/>
  <c r="AI309" i="10"/>
  <c r="AL309" i="10"/>
  <c r="Q308" i="10"/>
  <c r="R308" i="10"/>
  <c r="AC308" i="10"/>
  <c r="AL308" i="10"/>
  <c r="AI308" i="10"/>
  <c r="Z308" i="10"/>
  <c r="AN308" i="10" s="1"/>
  <c r="AC307" i="10"/>
  <c r="R307" i="10"/>
  <c r="Q307" i="10"/>
  <c r="AI307" i="10"/>
  <c r="Z307" i="10"/>
  <c r="AN307" i="10" s="1"/>
  <c r="AL307" i="10"/>
  <c r="AC306" i="10"/>
  <c r="R306" i="10"/>
  <c r="Q306" i="10"/>
  <c r="AL306" i="10"/>
  <c r="AI306" i="10"/>
  <c r="Z306" i="10"/>
  <c r="AN306" i="10" s="1"/>
  <c r="R305" i="10"/>
  <c r="Q305" i="10"/>
  <c r="AC305" i="10"/>
  <c r="AI305" i="10"/>
  <c r="Z305" i="10"/>
  <c r="AN305" i="10" s="1"/>
  <c r="AL305" i="10"/>
  <c r="AC304" i="10"/>
  <c r="R304" i="10"/>
  <c r="Q304" i="10"/>
  <c r="AL304" i="10"/>
  <c r="Z304" i="10"/>
  <c r="AN304" i="10" s="1"/>
  <c r="AI304" i="10"/>
  <c r="Q303" i="10"/>
  <c r="AC303" i="10"/>
  <c r="R303" i="10"/>
  <c r="AI303" i="10"/>
  <c r="AL303" i="10"/>
  <c r="Z303" i="10"/>
  <c r="AN303" i="10" s="1"/>
  <c r="AC302" i="10"/>
  <c r="R302" i="10"/>
  <c r="Q302" i="10"/>
  <c r="AI302" i="10"/>
  <c r="Z302" i="10"/>
  <c r="AN302" i="10" s="1"/>
  <c r="AL302" i="10"/>
  <c r="AC301" i="10"/>
  <c r="R301" i="10"/>
  <c r="Q301" i="10"/>
  <c r="AL301" i="10"/>
  <c r="AI301" i="10"/>
  <c r="Z301" i="10"/>
  <c r="AN301" i="10" s="1"/>
  <c r="AC300" i="10"/>
  <c r="R300" i="10"/>
  <c r="Q300" i="10"/>
  <c r="AL300" i="10"/>
  <c r="AI300" i="10"/>
  <c r="Z300" i="10"/>
  <c r="AN300" i="10" s="1"/>
  <c r="AC299" i="10"/>
  <c r="Q299" i="10"/>
  <c r="R299" i="10"/>
  <c r="AL299" i="10"/>
  <c r="AI299" i="10"/>
  <c r="Z299" i="10"/>
  <c r="AN299" i="10" s="1"/>
  <c r="Q298" i="10"/>
  <c r="R298" i="10"/>
  <c r="AC298" i="10"/>
  <c r="Z298" i="10"/>
  <c r="AN298" i="10" s="1"/>
  <c r="AI298" i="10"/>
  <c r="AL298" i="10"/>
  <c r="AC297" i="10"/>
  <c r="Q297" i="10"/>
  <c r="R297" i="10"/>
  <c r="Z297" i="10"/>
  <c r="AN297" i="10" s="1"/>
  <c r="AL297" i="10"/>
  <c r="AI297" i="10"/>
  <c r="AP296" i="10"/>
  <c r="AD296" i="10"/>
  <c r="R296" i="10"/>
  <c r="Q296" i="10"/>
  <c r="Q295" i="10"/>
  <c r="R295" i="10"/>
  <c r="AC295" i="10"/>
  <c r="AL295" i="10"/>
  <c r="AI295" i="10"/>
  <c r="Z295" i="10"/>
  <c r="AN295" i="10" s="1"/>
  <c r="AC294" i="10"/>
  <c r="R294" i="10"/>
  <c r="Q294" i="10"/>
  <c r="AL294" i="10"/>
  <c r="AI294" i="10"/>
  <c r="Z294" i="10"/>
  <c r="AN294" i="10" s="1"/>
  <c r="Q293" i="10"/>
  <c r="AC293" i="10"/>
  <c r="R293" i="10"/>
  <c r="AL293" i="10"/>
  <c r="AI293" i="10"/>
  <c r="Z293" i="10"/>
  <c r="AN293" i="10" s="1"/>
  <c r="R292" i="10"/>
  <c r="Q292" i="10"/>
  <c r="AC292" i="10"/>
  <c r="Z292" i="10"/>
  <c r="AN292" i="10" s="1"/>
  <c r="AL292" i="10"/>
  <c r="AI292" i="10"/>
  <c r="AC291" i="10"/>
  <c r="R291" i="10"/>
  <c r="Q291" i="10"/>
  <c r="AI291" i="10"/>
  <c r="Z291" i="10"/>
  <c r="AN291" i="10" s="1"/>
  <c r="AL291" i="10"/>
  <c r="R290" i="10"/>
  <c r="AC290" i="10"/>
  <c r="Q290" i="10"/>
  <c r="AL290" i="10"/>
  <c r="Z290" i="10"/>
  <c r="AN290" i="10" s="1"/>
  <c r="AI290" i="10"/>
  <c r="Q289" i="10"/>
  <c r="AC289" i="10"/>
  <c r="R289" i="10"/>
  <c r="AI289" i="10"/>
  <c r="Z289" i="10"/>
  <c r="AN289" i="10" s="1"/>
  <c r="AL289" i="10"/>
  <c r="Q288" i="10"/>
  <c r="R288" i="10"/>
  <c r="AC288" i="10"/>
  <c r="AL288" i="10"/>
  <c r="AI288" i="10"/>
  <c r="Z288" i="10"/>
  <c r="AN288" i="10" s="1"/>
  <c r="R287" i="10"/>
  <c r="Q287" i="10"/>
  <c r="AC287" i="10"/>
  <c r="AI287" i="10"/>
  <c r="Z287" i="10"/>
  <c r="AN287" i="10" s="1"/>
  <c r="AL287" i="10"/>
  <c r="R286" i="10"/>
  <c r="Q286" i="10"/>
  <c r="AC286" i="10"/>
  <c r="AL286" i="10"/>
  <c r="AI286" i="10"/>
  <c r="Z286" i="10"/>
  <c r="AN286" i="10" s="1"/>
  <c r="AC285" i="10"/>
  <c r="R285" i="10"/>
  <c r="Q285" i="10"/>
  <c r="AL285" i="10"/>
  <c r="AI285" i="10"/>
  <c r="Z285" i="10"/>
  <c r="AN285" i="10" s="1"/>
  <c r="Q284" i="10"/>
  <c r="AC284" i="10"/>
  <c r="R284" i="10"/>
  <c r="AL284" i="10"/>
  <c r="AI284" i="10"/>
  <c r="Z284" i="10"/>
  <c r="AN284" i="10" s="1"/>
  <c r="AC283" i="10"/>
  <c r="R283" i="10"/>
  <c r="Q283" i="10"/>
  <c r="AI283" i="10"/>
  <c r="Z283" i="10"/>
  <c r="AN283" i="10" s="1"/>
  <c r="AL283" i="10"/>
  <c r="AC282" i="10"/>
  <c r="R282" i="10"/>
  <c r="Q282" i="10"/>
  <c r="Z282" i="10"/>
  <c r="AN282" i="10" s="1"/>
  <c r="AI282" i="10"/>
  <c r="AL282" i="10"/>
  <c r="AC281" i="10"/>
  <c r="R281" i="10"/>
  <c r="Q281" i="10"/>
  <c r="AI281" i="10"/>
  <c r="Z281" i="10"/>
  <c r="AN281" i="10" s="1"/>
  <c r="AL281" i="10"/>
  <c r="R280" i="10"/>
  <c r="AC280" i="10"/>
  <c r="Q280" i="10"/>
  <c r="AI280" i="10"/>
  <c r="Z280" i="10"/>
  <c r="AN280" i="10" s="1"/>
  <c r="AL280" i="10"/>
  <c r="Q279" i="10"/>
  <c r="R279" i="10"/>
  <c r="AC279" i="10"/>
  <c r="Z279" i="10"/>
  <c r="AN279" i="10" s="1"/>
  <c r="AL279" i="10"/>
  <c r="AI279" i="10"/>
  <c r="AC278" i="10"/>
  <c r="R278" i="10"/>
  <c r="Q278" i="10"/>
  <c r="AI278" i="10"/>
  <c r="Z278" i="10"/>
  <c r="AN278" i="10" s="1"/>
  <c r="AL278" i="10"/>
  <c r="R277" i="10"/>
  <c r="Q277" i="10"/>
  <c r="AC277" i="10"/>
  <c r="AI277" i="10"/>
  <c r="AL277" i="10"/>
  <c r="Z277" i="10"/>
  <c r="AN277" i="10" s="1"/>
  <c r="AC276" i="10"/>
  <c r="R276" i="10"/>
  <c r="Q276" i="10"/>
  <c r="AL276" i="10"/>
  <c r="AI276" i="10"/>
  <c r="Z276" i="10"/>
  <c r="AN276" i="10" s="1"/>
  <c r="AC275" i="10"/>
  <c r="R275" i="10"/>
  <c r="Q275" i="10"/>
  <c r="AI275" i="10"/>
  <c r="Z275" i="10"/>
  <c r="AN275" i="10" s="1"/>
  <c r="AL275" i="10"/>
  <c r="R274" i="10"/>
  <c r="Q274" i="10"/>
  <c r="AC274" i="10"/>
  <c r="AL274" i="10"/>
  <c r="AI274" i="10"/>
  <c r="Z274" i="10"/>
  <c r="AN274" i="10" s="1"/>
  <c r="R273" i="10"/>
  <c r="Q273" i="10"/>
  <c r="AC273" i="10"/>
  <c r="AL273" i="10"/>
  <c r="Z273" i="10"/>
  <c r="AN273" i="10" s="1"/>
  <c r="AI273" i="10"/>
  <c r="Q272" i="10"/>
  <c r="R272" i="10"/>
  <c r="AC272" i="10"/>
  <c r="Z272" i="10"/>
  <c r="AN272" i="10" s="1"/>
  <c r="AL272" i="10"/>
  <c r="AI272" i="10"/>
  <c r="AC271" i="10"/>
  <c r="R271" i="10"/>
  <c r="Q271" i="10"/>
  <c r="AL271" i="10"/>
  <c r="AI271" i="10"/>
  <c r="Z271" i="10"/>
  <c r="AN271" i="10" s="1"/>
  <c r="AC270" i="10"/>
  <c r="R270" i="10"/>
  <c r="Q270" i="10"/>
  <c r="AL270" i="10"/>
  <c r="AI270" i="10"/>
  <c r="Z270" i="10"/>
  <c r="AN270" i="10" s="1"/>
  <c r="Q269" i="10"/>
  <c r="R269" i="10"/>
  <c r="AC269" i="10"/>
  <c r="AL269" i="10"/>
  <c r="AI269" i="10"/>
  <c r="Z269" i="10"/>
  <c r="AN269" i="10" s="1"/>
  <c r="Q268" i="10"/>
  <c r="AC268" i="10"/>
  <c r="R268" i="10"/>
  <c r="AL268" i="10"/>
  <c r="AI268" i="10"/>
  <c r="Z268" i="10"/>
  <c r="AN268" i="10" s="1"/>
  <c r="R267" i="10"/>
  <c r="AC267" i="10"/>
  <c r="Q267" i="10"/>
  <c r="AI267" i="10"/>
  <c r="AL267" i="10"/>
  <c r="Z267" i="10"/>
  <c r="AN267" i="10" s="1"/>
  <c r="AC266" i="10"/>
  <c r="R266" i="10"/>
  <c r="Q266" i="10"/>
  <c r="AL266" i="10"/>
  <c r="AI266" i="10"/>
  <c r="Z266" i="10"/>
  <c r="AN266" i="10" s="1"/>
  <c r="Q265" i="10"/>
  <c r="AC265" i="10"/>
  <c r="R265" i="10"/>
  <c r="AL265" i="10"/>
  <c r="AI265" i="10"/>
  <c r="Z265" i="10"/>
  <c r="AN265" i="10" s="1"/>
  <c r="Q264" i="10"/>
  <c r="R264" i="10"/>
  <c r="AC264" i="10"/>
  <c r="AI264" i="10"/>
  <c r="Z264" i="10"/>
  <c r="AN264" i="10" s="1"/>
  <c r="AL264" i="10"/>
  <c r="R263" i="10"/>
  <c r="AC263" i="10"/>
  <c r="Q263" i="10"/>
  <c r="AL263" i="10"/>
  <c r="Z263" i="10"/>
  <c r="AN263" i="10" s="1"/>
  <c r="AI263" i="10"/>
  <c r="Q262" i="10"/>
  <c r="R262" i="10"/>
  <c r="AC262" i="10"/>
  <c r="Z262" i="10"/>
  <c r="AN262" i="10" s="1"/>
  <c r="AL262" i="10"/>
  <c r="AI262" i="10"/>
  <c r="AC261" i="10"/>
  <c r="R261" i="10"/>
  <c r="Q261" i="10"/>
  <c r="AL261" i="10"/>
  <c r="AI261" i="10"/>
  <c r="Z261" i="10"/>
  <c r="AN261" i="10" s="1"/>
  <c r="R260" i="10"/>
  <c r="Q260" i="10"/>
  <c r="AC260" i="10"/>
  <c r="AL260" i="10"/>
  <c r="AI260" i="10"/>
  <c r="Z260" i="10"/>
  <c r="AN260" i="10" s="1"/>
  <c r="R259" i="10"/>
  <c r="Q259" i="10"/>
  <c r="AC259" i="10"/>
  <c r="AL259" i="10"/>
  <c r="Z259" i="10"/>
  <c r="AN259" i="10" s="1"/>
  <c r="AI259" i="10"/>
  <c r="AC258" i="10"/>
  <c r="R258" i="10"/>
  <c r="Q258" i="10"/>
  <c r="Z258" i="10"/>
  <c r="AN258" i="10" s="1"/>
  <c r="AL258" i="10"/>
  <c r="AI258" i="10"/>
  <c r="AC257" i="10"/>
  <c r="R257" i="10"/>
  <c r="Q257" i="10"/>
  <c r="Z257" i="10"/>
  <c r="AN257" i="10" s="1"/>
  <c r="AI257" i="10"/>
  <c r="AL257" i="10"/>
  <c r="AC256" i="10"/>
  <c r="R256" i="10"/>
  <c r="Q256" i="10"/>
  <c r="Z256" i="10"/>
  <c r="AN256" i="10" s="1"/>
  <c r="AI256" i="10"/>
  <c r="AL256" i="10"/>
  <c r="Q255" i="10"/>
  <c r="R255" i="10"/>
  <c r="AC255" i="10"/>
  <c r="AL255" i="10"/>
  <c r="AI255" i="10"/>
  <c r="Z255" i="10"/>
  <c r="AN255" i="10" s="1"/>
  <c r="Q254" i="10"/>
  <c r="AC254" i="10"/>
  <c r="R254" i="10"/>
  <c r="AL254" i="10"/>
  <c r="AI254" i="10"/>
  <c r="Z254" i="10"/>
  <c r="AN254" i="10" s="1"/>
  <c r="R253" i="10"/>
  <c r="Q253" i="10"/>
  <c r="AC253" i="10"/>
  <c r="AL253" i="10"/>
  <c r="AI253" i="10"/>
  <c r="Z253" i="10"/>
  <c r="AN253" i="10" s="1"/>
  <c r="R252" i="10"/>
  <c r="Q252" i="10"/>
  <c r="AC252" i="10"/>
  <c r="AL252" i="10"/>
  <c r="Z252" i="10"/>
  <c r="AN252" i="10" s="1"/>
  <c r="AI252" i="10"/>
  <c r="Q251" i="10"/>
  <c r="R251" i="10"/>
  <c r="AC251" i="10"/>
  <c r="AL251" i="10"/>
  <c r="AI251" i="10"/>
  <c r="Z251" i="10"/>
  <c r="AN251" i="10" s="1"/>
  <c r="AC250" i="10"/>
  <c r="R250" i="10"/>
  <c r="Q250" i="10"/>
  <c r="AI250" i="10"/>
  <c r="AL250" i="10"/>
  <c r="Z250" i="10"/>
  <c r="AN250" i="10" s="1"/>
  <c r="R249" i="10"/>
  <c r="AC249" i="10"/>
  <c r="Q249" i="10"/>
  <c r="Z249" i="10"/>
  <c r="AN249" i="10" s="1"/>
  <c r="AI249" i="10"/>
  <c r="AL249" i="10"/>
  <c r="Q248" i="10"/>
  <c r="AC248" i="10"/>
  <c r="R248" i="10"/>
  <c r="AI248" i="10"/>
  <c r="Z248" i="10"/>
  <c r="AN248" i="10" s="1"/>
  <c r="AL248" i="10"/>
  <c r="AC247" i="10"/>
  <c r="R247" i="10"/>
  <c r="Q247" i="10"/>
  <c r="AI247" i="10"/>
  <c r="Z247" i="10"/>
  <c r="AN247" i="10" s="1"/>
  <c r="AL247" i="10"/>
  <c r="Q246" i="10"/>
  <c r="AC246" i="10"/>
  <c r="R246" i="10"/>
  <c r="Z246" i="10"/>
  <c r="AN246" i="10" s="1"/>
  <c r="AL246" i="10"/>
  <c r="AI246" i="10"/>
  <c r="Q245" i="10"/>
  <c r="R245" i="10"/>
  <c r="AC245" i="10"/>
  <c r="AL245" i="10"/>
  <c r="AI245" i="10"/>
  <c r="Z245" i="10"/>
  <c r="AN245" i="10" s="1"/>
  <c r="AC244" i="10"/>
  <c r="R244" i="10"/>
  <c r="Q244" i="10"/>
  <c r="AI244" i="10"/>
  <c r="AL244" i="10"/>
  <c r="Z244" i="10"/>
  <c r="AN244" i="10" s="1"/>
  <c r="Q243" i="10"/>
  <c r="R243" i="10"/>
  <c r="AC243" i="10"/>
  <c r="AL243" i="10"/>
  <c r="Z243" i="10"/>
  <c r="AN243" i="10" s="1"/>
  <c r="AI243" i="10"/>
  <c r="AC242" i="10"/>
  <c r="R242" i="10"/>
  <c r="Q242" i="10"/>
  <c r="Z242" i="10"/>
  <c r="AN242" i="10" s="1"/>
  <c r="AL242" i="10"/>
  <c r="AI242" i="10"/>
  <c r="Q241" i="10"/>
  <c r="AC241" i="10"/>
  <c r="R241" i="10"/>
  <c r="AI241" i="10"/>
  <c r="Z241" i="10"/>
  <c r="AN241" i="10" s="1"/>
  <c r="AL241" i="10"/>
  <c r="AC240" i="10"/>
  <c r="R240" i="10"/>
  <c r="Q240" i="10"/>
  <c r="AL240" i="10"/>
  <c r="AI240" i="10"/>
  <c r="Z240" i="10"/>
  <c r="AN240" i="10" s="1"/>
  <c r="R239" i="10"/>
  <c r="Q239" i="10"/>
  <c r="AC239" i="10"/>
  <c r="AL239" i="10"/>
  <c r="AI239" i="10"/>
  <c r="Z239" i="10"/>
  <c r="AN239" i="10" s="1"/>
  <c r="R238" i="10"/>
  <c r="AC238" i="10"/>
  <c r="Q238" i="10"/>
  <c r="AI238" i="10"/>
  <c r="Z238" i="10"/>
  <c r="AN238" i="10" s="1"/>
  <c r="AL238" i="10"/>
  <c r="Q237" i="10"/>
  <c r="R237" i="10"/>
  <c r="AC237" i="10"/>
  <c r="AL237" i="10"/>
  <c r="AI237" i="10"/>
  <c r="Z237" i="10"/>
  <c r="AN237" i="10" s="1"/>
  <c r="AC236" i="10"/>
  <c r="R236" i="10"/>
  <c r="Q236" i="10"/>
  <c r="Z236" i="10"/>
  <c r="AN236" i="10" s="1"/>
  <c r="AI236" i="10"/>
  <c r="AL236" i="10"/>
  <c r="Q235" i="10"/>
  <c r="R235" i="10"/>
  <c r="AC235" i="10"/>
  <c r="AL235" i="10"/>
  <c r="AI235" i="10"/>
  <c r="Z235" i="10"/>
  <c r="AN235" i="10" s="1"/>
  <c r="AC234" i="10"/>
  <c r="R234" i="10"/>
  <c r="Q234" i="10"/>
  <c r="Z234" i="10"/>
  <c r="AN234" i="10" s="1"/>
  <c r="AL234" i="10"/>
  <c r="AI234" i="10"/>
  <c r="Q233" i="10"/>
  <c r="AC233" i="10"/>
  <c r="R233" i="10"/>
  <c r="AL233" i="10"/>
  <c r="AI233" i="10"/>
  <c r="Z233" i="10"/>
  <c r="AN233" i="10" s="1"/>
  <c r="AC232" i="10"/>
  <c r="R232" i="10"/>
  <c r="Q232" i="10"/>
  <c r="AL232" i="10"/>
  <c r="AI232" i="10"/>
  <c r="Z232" i="10"/>
  <c r="AN232" i="10" s="1"/>
  <c r="AP231" i="10"/>
  <c r="AD231" i="10"/>
  <c r="Q231" i="10"/>
  <c r="R231" i="10"/>
  <c r="AC230" i="10"/>
  <c r="Q230" i="10"/>
  <c r="R230" i="10"/>
  <c r="Z230" i="10"/>
  <c r="AN230" i="10" s="1"/>
  <c r="AL230" i="10"/>
  <c r="AI230" i="10"/>
  <c r="AC229" i="10"/>
  <c r="Q229" i="10"/>
  <c r="R229" i="10"/>
  <c r="AI229" i="10"/>
  <c r="Z229" i="10"/>
  <c r="AN229" i="10" s="1"/>
  <c r="AL229" i="10"/>
  <c r="AC228" i="10"/>
  <c r="Q228" i="10"/>
  <c r="R228" i="10"/>
  <c r="AL228" i="10"/>
  <c r="AI228" i="10"/>
  <c r="Z228" i="10"/>
  <c r="AN228" i="10" s="1"/>
  <c r="R227" i="10"/>
  <c r="Q227" i="10"/>
  <c r="AC227" i="10"/>
  <c r="AI227" i="10"/>
  <c r="Z227" i="10"/>
  <c r="AN227" i="10" s="1"/>
  <c r="AL227" i="10"/>
  <c r="Q226" i="10"/>
  <c r="R226" i="10"/>
  <c r="AC226" i="10"/>
  <c r="Z226" i="10"/>
  <c r="AN226" i="10" s="1"/>
  <c r="AI226" i="10"/>
  <c r="AL226" i="10"/>
  <c r="AC225" i="10"/>
  <c r="Q225" i="10"/>
  <c r="R225" i="10"/>
  <c r="Z225" i="10"/>
  <c r="AN225" i="10" s="1"/>
  <c r="AI225" i="10"/>
  <c r="AL225" i="10"/>
  <c r="AC224" i="10"/>
  <c r="R224" i="10"/>
  <c r="Q224" i="10"/>
  <c r="Z224" i="10"/>
  <c r="AN224" i="10" s="1"/>
  <c r="AI224" i="10"/>
  <c r="AL224" i="10"/>
  <c r="AC223" i="10"/>
  <c r="Q223" i="10"/>
  <c r="R223" i="10"/>
  <c r="AL223" i="10"/>
  <c r="AI223" i="10"/>
  <c r="Z223" i="10"/>
  <c r="AN223" i="10" s="1"/>
  <c r="Q222" i="10"/>
  <c r="R222" i="10"/>
  <c r="AC222" i="10"/>
  <c r="AI222" i="10"/>
  <c r="AL222" i="10"/>
  <c r="Z222" i="10"/>
  <c r="AN222" i="10" s="1"/>
  <c r="R221" i="10"/>
  <c r="Q221" i="10"/>
  <c r="AC221" i="10"/>
  <c r="AL221" i="10"/>
  <c r="AI221" i="10"/>
  <c r="Z221" i="10"/>
  <c r="AN221" i="10" s="1"/>
  <c r="AC220" i="10"/>
  <c r="Q220" i="10"/>
  <c r="R220" i="10"/>
  <c r="Z220" i="10"/>
  <c r="AN220" i="10" s="1"/>
  <c r="AL220" i="10"/>
  <c r="AI220" i="10"/>
  <c r="R219" i="10"/>
  <c r="Q219" i="10"/>
  <c r="AC219" i="10"/>
  <c r="Z219" i="10"/>
  <c r="AN219" i="10" s="1"/>
  <c r="AI219" i="10"/>
  <c r="AL219" i="10"/>
  <c r="AC218" i="10"/>
  <c r="R218" i="10"/>
  <c r="Q218" i="10"/>
  <c r="AL218" i="10"/>
  <c r="AI218" i="10"/>
  <c r="Z218" i="10"/>
  <c r="AN218" i="10" s="1"/>
  <c r="Q217" i="10"/>
  <c r="R217" i="10"/>
  <c r="AC217" i="10"/>
  <c r="AL217" i="10"/>
  <c r="Z217" i="10"/>
  <c r="AN217" i="10" s="1"/>
  <c r="AI217" i="10"/>
  <c r="R216" i="10"/>
  <c r="AC216" i="10"/>
  <c r="Q216" i="10"/>
  <c r="Z216" i="10"/>
  <c r="AN216" i="10" s="1"/>
  <c r="AL216" i="10"/>
  <c r="AI216" i="10"/>
  <c r="Q215" i="10"/>
  <c r="R215" i="10"/>
  <c r="AC215" i="10"/>
  <c r="AL215" i="10"/>
  <c r="AI215" i="10"/>
  <c r="Z215" i="10"/>
  <c r="AN215" i="10" s="1"/>
  <c r="AC214" i="10"/>
  <c r="Q214" i="10"/>
  <c r="R214" i="10"/>
  <c r="AL214" i="10"/>
  <c r="AI214" i="10"/>
  <c r="Z214" i="10"/>
  <c r="AN214" i="10" s="1"/>
  <c r="R213" i="10"/>
  <c r="Q213" i="10"/>
  <c r="AC213" i="10"/>
  <c r="AI213" i="10"/>
  <c r="AL213" i="10"/>
  <c r="Z213" i="10"/>
  <c r="AN213" i="10" s="1"/>
  <c r="AC212" i="10"/>
  <c r="Q212" i="10"/>
  <c r="R212" i="10"/>
  <c r="AI212" i="10"/>
  <c r="AL212" i="10"/>
  <c r="Z212" i="10"/>
  <c r="AN212" i="10" s="1"/>
  <c r="Q211" i="10"/>
  <c r="AC211" i="10"/>
  <c r="R211" i="10"/>
  <c r="AL211" i="10"/>
  <c r="Z211" i="10"/>
  <c r="AN211" i="10" s="1"/>
  <c r="AI211" i="10"/>
  <c r="AC210" i="10"/>
  <c r="R210" i="10"/>
  <c r="Q210" i="10"/>
  <c r="AL210" i="10"/>
  <c r="AI210" i="10"/>
  <c r="Z210" i="10"/>
  <c r="AN210" i="10" s="1"/>
  <c r="AC209" i="10"/>
  <c r="R209" i="10"/>
  <c r="Q209" i="10"/>
  <c r="AL209" i="10"/>
  <c r="AI209" i="10"/>
  <c r="Z209" i="10"/>
  <c r="AN209" i="10" s="1"/>
  <c r="AC208" i="10"/>
  <c r="R208" i="10"/>
  <c r="Q208" i="10"/>
  <c r="AI208" i="10"/>
  <c r="Z208" i="10"/>
  <c r="AN208" i="10" s="1"/>
  <c r="AL208" i="10"/>
  <c r="AC207" i="10"/>
  <c r="R207" i="10"/>
  <c r="Q207" i="10"/>
  <c r="AL207" i="10"/>
  <c r="Z207" i="10"/>
  <c r="AN207" i="10" s="1"/>
  <c r="AI207" i="10"/>
  <c r="AC206" i="10"/>
  <c r="R206" i="10"/>
  <c r="Q206" i="10"/>
  <c r="Z206" i="10"/>
  <c r="AN206" i="10" s="1"/>
  <c r="AL206" i="10"/>
  <c r="AI206" i="10"/>
  <c r="AC205" i="10"/>
  <c r="R205" i="10"/>
  <c r="Q205" i="10"/>
  <c r="AL205" i="10"/>
  <c r="AI205" i="10"/>
  <c r="Z205" i="10"/>
  <c r="AN205" i="10" s="1"/>
  <c r="AC204" i="10"/>
  <c r="R204" i="10"/>
  <c r="Q204" i="10"/>
  <c r="Z204" i="10"/>
  <c r="AN204" i="10" s="1"/>
  <c r="AL204" i="10"/>
  <c r="AI204" i="10"/>
  <c r="AC203" i="10"/>
  <c r="R203" i="10"/>
  <c r="Q203" i="10"/>
  <c r="AL203" i="10"/>
  <c r="Z203" i="10"/>
  <c r="AN203" i="10" s="1"/>
  <c r="AI203" i="10"/>
  <c r="AC202" i="10"/>
  <c r="R202" i="10"/>
  <c r="Q202" i="10"/>
  <c r="Z202" i="10"/>
  <c r="AN202" i="10" s="1"/>
  <c r="AL202" i="10"/>
  <c r="AI202" i="10"/>
  <c r="AC201" i="10"/>
  <c r="R201" i="10"/>
  <c r="Q201" i="10"/>
  <c r="AL201" i="10"/>
  <c r="AI201" i="10"/>
  <c r="Z201" i="10"/>
  <c r="AN201" i="10" s="1"/>
  <c r="AC200" i="10"/>
  <c r="R200" i="10"/>
  <c r="Q200" i="10"/>
  <c r="AL200" i="10"/>
  <c r="AI200" i="10"/>
  <c r="Z200" i="10"/>
  <c r="AN200" i="10" s="1"/>
  <c r="AC199" i="10"/>
  <c r="R199" i="10"/>
  <c r="Q199" i="10"/>
  <c r="AL199" i="10"/>
  <c r="AI199" i="10"/>
  <c r="Z199" i="10"/>
  <c r="AN199" i="10" s="1"/>
  <c r="AC198" i="10"/>
  <c r="R198" i="10"/>
  <c r="Q198" i="10"/>
  <c r="AL198" i="10"/>
  <c r="AI198" i="10"/>
  <c r="Z198" i="10"/>
  <c r="AN198" i="10" s="1"/>
  <c r="AC197" i="10"/>
  <c r="R197" i="10"/>
  <c r="Q197" i="10"/>
  <c r="AI197" i="10"/>
  <c r="Z197" i="10"/>
  <c r="AN197" i="10" s="1"/>
  <c r="AL197" i="10"/>
  <c r="AC196" i="10"/>
  <c r="R196" i="10"/>
  <c r="Q196" i="10"/>
  <c r="AL196" i="10"/>
  <c r="AI196" i="10"/>
  <c r="Z196" i="10"/>
  <c r="AN196" i="10" s="1"/>
  <c r="AC195" i="10"/>
  <c r="R195" i="10"/>
  <c r="Q195" i="10"/>
  <c r="AL195" i="10"/>
  <c r="AI195" i="10"/>
  <c r="Z195" i="10"/>
  <c r="AN195" i="10" s="1"/>
  <c r="AC194" i="10"/>
  <c r="R194" i="10"/>
  <c r="Q194" i="10"/>
  <c r="AL194" i="10"/>
  <c r="AI194" i="10"/>
  <c r="Z194" i="10"/>
  <c r="AN194" i="10" s="1"/>
  <c r="AC193" i="10"/>
  <c r="R193" i="10"/>
  <c r="Q193" i="10"/>
  <c r="Z193" i="10"/>
  <c r="AN193" i="10" s="1"/>
  <c r="AL193" i="10"/>
  <c r="AI193" i="10"/>
  <c r="AC192" i="10"/>
  <c r="R192" i="10"/>
  <c r="Q192" i="10"/>
  <c r="AL192" i="10"/>
  <c r="Z192" i="10"/>
  <c r="AN192" i="10" s="1"/>
  <c r="AI192" i="10"/>
  <c r="AC191" i="10"/>
  <c r="R191" i="10"/>
  <c r="Q191" i="10"/>
  <c r="Z191" i="10"/>
  <c r="AN191" i="10" s="1"/>
  <c r="AL191" i="10"/>
  <c r="AI191" i="10"/>
  <c r="AC190" i="10"/>
  <c r="R190" i="10"/>
  <c r="Q190" i="10"/>
  <c r="AL190" i="10"/>
  <c r="AI190" i="10"/>
  <c r="Z190" i="10"/>
  <c r="AN190" i="10" s="1"/>
  <c r="AC189" i="10"/>
  <c r="R189" i="10"/>
  <c r="Q189" i="10"/>
  <c r="Z189" i="10"/>
  <c r="AN189" i="10" s="1"/>
  <c r="AL189" i="10"/>
  <c r="AI189" i="10"/>
  <c r="AC188" i="10"/>
  <c r="R188" i="10"/>
  <c r="Q188" i="10"/>
  <c r="AL188" i="10"/>
  <c r="AI188" i="10"/>
  <c r="Z188" i="10"/>
  <c r="AN188" i="10" s="1"/>
  <c r="AC187" i="10"/>
  <c r="Q187" i="10"/>
  <c r="R187" i="10"/>
  <c r="AI187" i="10"/>
  <c r="Z187" i="10"/>
  <c r="AN187" i="10" s="1"/>
  <c r="AL187" i="10"/>
  <c r="R186" i="10"/>
  <c r="AC186" i="10"/>
  <c r="Q186" i="10"/>
  <c r="AL186" i="10"/>
  <c r="AI186" i="10"/>
  <c r="Z186" i="10"/>
  <c r="AN186" i="10" s="1"/>
  <c r="AC185" i="10"/>
  <c r="R185" i="10"/>
  <c r="Q185" i="10"/>
  <c r="AI185" i="10"/>
  <c r="AL185" i="10"/>
  <c r="Z185" i="10"/>
  <c r="AN185" i="10" s="1"/>
  <c r="AC184" i="10"/>
  <c r="Q184" i="10"/>
  <c r="R184" i="10"/>
  <c r="Z184" i="10"/>
  <c r="AN184" i="10" s="1"/>
  <c r="AL184" i="10"/>
  <c r="AI184" i="10"/>
  <c r="AC183" i="10"/>
  <c r="R183" i="10"/>
  <c r="Q183" i="10"/>
  <c r="Z183" i="10"/>
  <c r="AN183" i="10" s="1"/>
  <c r="AI183" i="10"/>
  <c r="AL183" i="10"/>
  <c r="Q182" i="10"/>
  <c r="AC182" i="10"/>
  <c r="R182" i="10"/>
  <c r="Z182" i="10"/>
  <c r="AN182" i="10" s="1"/>
  <c r="AI182" i="10"/>
  <c r="AL182" i="10"/>
  <c r="AC181" i="10"/>
  <c r="R181" i="10"/>
  <c r="Q181" i="10"/>
  <c r="AL181" i="10"/>
  <c r="AI181" i="10"/>
  <c r="Z181" i="10"/>
  <c r="AN181" i="10" s="1"/>
  <c r="AC180" i="10"/>
  <c r="R180" i="10"/>
  <c r="Q180" i="10"/>
  <c r="AI180" i="10"/>
  <c r="Z180" i="10"/>
  <c r="AN180" i="10" s="1"/>
  <c r="AL180" i="10"/>
  <c r="R179" i="10"/>
  <c r="Q179" i="10"/>
  <c r="AC179" i="10"/>
  <c r="Z179" i="10"/>
  <c r="AN179" i="10" s="1"/>
  <c r="AI179" i="10"/>
  <c r="AL179" i="10"/>
  <c r="Q178" i="10"/>
  <c r="R178" i="10"/>
  <c r="AC178" i="10"/>
  <c r="Z178" i="10"/>
  <c r="AN178" i="10" s="1"/>
  <c r="AI178" i="10"/>
  <c r="AL178" i="10"/>
  <c r="AC177" i="10"/>
  <c r="R177" i="10"/>
  <c r="Q177" i="10"/>
  <c r="AI177" i="10"/>
  <c r="AL177" i="10"/>
  <c r="Z177" i="10"/>
  <c r="AN177" i="10" s="1"/>
  <c r="Q176" i="10"/>
  <c r="R176" i="10"/>
  <c r="AC176" i="10"/>
  <c r="AI176" i="10"/>
  <c r="Z176" i="10"/>
  <c r="AN176" i="10" s="1"/>
  <c r="AL176" i="10"/>
  <c r="R175" i="10"/>
  <c r="Q175" i="10"/>
  <c r="AC175" i="10"/>
  <c r="AI175" i="10"/>
  <c r="AL175" i="10"/>
  <c r="Z175" i="10"/>
  <c r="AN175" i="10" s="1"/>
  <c r="AC174" i="10"/>
  <c r="R174" i="10"/>
  <c r="Q174" i="10"/>
  <c r="AI174" i="10"/>
  <c r="AL174" i="10"/>
  <c r="Z174" i="10"/>
  <c r="AN174" i="10" s="1"/>
  <c r="AC173" i="10"/>
  <c r="R173" i="10"/>
  <c r="Q173" i="10"/>
  <c r="AI173" i="10"/>
  <c r="AL173" i="10"/>
  <c r="Z173" i="10"/>
  <c r="AN173" i="10" s="1"/>
  <c r="Q172" i="10"/>
  <c r="R172" i="10"/>
  <c r="AC172" i="10"/>
  <c r="Z172" i="10"/>
  <c r="AN172" i="10" s="1"/>
  <c r="AI172" i="10"/>
  <c r="AL172" i="10"/>
  <c r="Q171" i="10"/>
  <c r="AC171" i="10"/>
  <c r="R171" i="10"/>
  <c r="AL171" i="10"/>
  <c r="Z171" i="10"/>
  <c r="AN171" i="10" s="1"/>
  <c r="AI171" i="10"/>
  <c r="R170" i="10"/>
  <c r="Q170" i="10"/>
  <c r="AC170" i="10"/>
  <c r="AI170" i="10"/>
  <c r="AL170" i="10"/>
  <c r="Z170" i="10"/>
  <c r="AN170" i="10" s="1"/>
  <c r="AC169" i="10"/>
  <c r="R169" i="10"/>
  <c r="Q169" i="10"/>
  <c r="AI169" i="10"/>
  <c r="Z169" i="10"/>
  <c r="AN169" i="10" s="1"/>
  <c r="AL169" i="10"/>
  <c r="Q168" i="10"/>
  <c r="R168" i="10"/>
  <c r="AC168" i="10"/>
  <c r="AL168" i="10"/>
  <c r="Z168" i="10"/>
  <c r="AN168" i="10" s="1"/>
  <c r="AI168" i="10"/>
  <c r="AC167" i="10"/>
  <c r="R167" i="10"/>
  <c r="Q167" i="10"/>
  <c r="Z167" i="10"/>
  <c r="AN167" i="10" s="1"/>
  <c r="AL167" i="10"/>
  <c r="AI167" i="10"/>
  <c r="R166" i="10"/>
  <c r="Q166" i="10"/>
  <c r="AC166" i="10"/>
  <c r="Z166" i="10"/>
  <c r="AN166" i="10" s="1"/>
  <c r="AI166" i="10"/>
  <c r="Q165" i="10"/>
  <c r="R165" i="10"/>
  <c r="AC165" i="10"/>
  <c r="Z165" i="10"/>
  <c r="AN165" i="10" s="1"/>
  <c r="AI165" i="10"/>
  <c r="AL165" i="10"/>
  <c r="Q164" i="10"/>
  <c r="R164" i="10"/>
  <c r="AC164" i="10"/>
  <c r="Z164" i="10"/>
  <c r="AN164" i="10" s="1"/>
  <c r="AI164" i="10"/>
  <c r="AL164" i="10"/>
  <c r="Q163" i="10"/>
  <c r="R163" i="10"/>
  <c r="AC163" i="10"/>
  <c r="AI163" i="10"/>
  <c r="Z163" i="10"/>
  <c r="AN163" i="10" s="1"/>
  <c r="AL163" i="10"/>
  <c r="AC162" i="10"/>
  <c r="R162" i="10"/>
  <c r="Q162" i="10"/>
  <c r="AL162" i="10"/>
  <c r="AI162" i="10"/>
  <c r="Z162" i="10"/>
  <c r="AN162" i="10" s="1"/>
  <c r="AC161" i="10"/>
  <c r="R161" i="10"/>
  <c r="Q161" i="10"/>
  <c r="AL161" i="10"/>
  <c r="AI161" i="10"/>
  <c r="Z161" i="10"/>
  <c r="AN161" i="10" s="1"/>
  <c r="AC160" i="10"/>
  <c r="R160" i="10"/>
  <c r="Q160" i="10"/>
  <c r="AL160" i="10"/>
  <c r="AI160" i="10"/>
  <c r="Z160" i="10"/>
  <c r="AN160" i="10" s="1"/>
  <c r="AC159" i="10"/>
  <c r="R159" i="10"/>
  <c r="Q159" i="10"/>
  <c r="AL159" i="10"/>
  <c r="AI159" i="10"/>
  <c r="Z159" i="10"/>
  <c r="AN159" i="10" s="1"/>
  <c r="AC158" i="10"/>
  <c r="R158" i="10"/>
  <c r="Q158" i="10"/>
  <c r="AL158" i="10"/>
  <c r="AI158" i="10"/>
  <c r="Z158" i="10"/>
  <c r="AN158" i="10" s="1"/>
  <c r="Q157" i="10"/>
  <c r="R157" i="10"/>
  <c r="AC157" i="10"/>
  <c r="AL157" i="10"/>
  <c r="AI157" i="10"/>
  <c r="Z157" i="10"/>
  <c r="AN157" i="10" s="1"/>
  <c r="R156" i="10"/>
  <c r="AC156" i="10"/>
  <c r="Q156" i="10"/>
  <c r="AL156" i="10"/>
  <c r="Z156" i="10"/>
  <c r="AN156" i="10" s="1"/>
  <c r="AI156" i="10"/>
  <c r="R155" i="10"/>
  <c r="Q155" i="10"/>
  <c r="AC155" i="10"/>
  <c r="AL155" i="10"/>
  <c r="Z155" i="10"/>
  <c r="AN155" i="10" s="1"/>
  <c r="AI155" i="10"/>
  <c r="Q154" i="10"/>
  <c r="AC154" i="10"/>
  <c r="R154" i="10"/>
  <c r="Z154" i="10"/>
  <c r="AN154" i="10" s="1"/>
  <c r="AI154" i="10"/>
  <c r="AL154" i="10"/>
  <c r="R153" i="10"/>
  <c r="Q153" i="10"/>
  <c r="AC153" i="10"/>
  <c r="AL153" i="10"/>
  <c r="AI153" i="10"/>
  <c r="Z153" i="10"/>
  <c r="AN153" i="10" s="1"/>
  <c r="R152" i="10"/>
  <c r="AC152" i="10"/>
  <c r="Q152" i="10"/>
  <c r="Z152" i="10"/>
  <c r="AN152" i="10" s="1"/>
  <c r="AL152" i="10"/>
  <c r="AI152" i="10"/>
  <c r="R151" i="10"/>
  <c r="Q151" i="10"/>
  <c r="AC151" i="10"/>
  <c r="AL151" i="10"/>
  <c r="AI151" i="10"/>
  <c r="Z151" i="10"/>
  <c r="AN151" i="10" s="1"/>
  <c r="AC150" i="10"/>
  <c r="Q150" i="10"/>
  <c r="R150" i="10"/>
  <c r="AL150" i="10"/>
  <c r="AI150" i="10"/>
  <c r="Z150" i="10"/>
  <c r="AN150" i="10" s="1"/>
  <c r="R149" i="10"/>
  <c r="Q149" i="10"/>
  <c r="AC149" i="10"/>
  <c r="AL149" i="10"/>
  <c r="AI149" i="10"/>
  <c r="Z149" i="10"/>
  <c r="AN149" i="10" s="1"/>
  <c r="AC148" i="10"/>
  <c r="R148" i="10"/>
  <c r="Q148" i="10"/>
  <c r="Z148" i="10"/>
  <c r="AN148" i="10" s="1"/>
  <c r="AL148" i="10"/>
  <c r="AI148" i="10"/>
  <c r="AC147" i="10"/>
  <c r="Q147" i="10"/>
  <c r="R147" i="10"/>
  <c r="AL147" i="10"/>
  <c r="Z147" i="10"/>
  <c r="AN147" i="10" s="1"/>
  <c r="AI147" i="10"/>
  <c r="R146" i="10"/>
  <c r="AC146" i="10"/>
  <c r="Q146" i="10"/>
  <c r="Z146" i="10"/>
  <c r="AN146" i="10" s="1"/>
  <c r="AL146" i="10"/>
  <c r="AI146" i="10"/>
  <c r="AC145" i="10"/>
  <c r="Q145" i="10"/>
  <c r="R145" i="10"/>
  <c r="Z145" i="10"/>
  <c r="AN145" i="10" s="1"/>
  <c r="AL145" i="10"/>
  <c r="AI145" i="10"/>
  <c r="AC144" i="10"/>
  <c r="R144" i="10"/>
  <c r="Q144" i="10"/>
  <c r="Z144" i="10"/>
  <c r="AN144" i="10" s="1"/>
  <c r="AI144" i="10"/>
  <c r="AL144" i="10"/>
  <c r="R143" i="10"/>
  <c r="Q143" i="10"/>
  <c r="AC143" i="10"/>
  <c r="Z143" i="10"/>
  <c r="AN143" i="10" s="1"/>
  <c r="AI143" i="10"/>
  <c r="AL143" i="10"/>
  <c r="R142" i="10"/>
  <c r="Q142" i="10"/>
  <c r="AC142" i="10"/>
  <c r="AL142" i="10"/>
  <c r="AI142" i="10"/>
  <c r="Z142" i="10"/>
  <c r="AN142" i="10" s="1"/>
  <c r="R141" i="10"/>
  <c r="AC141" i="10"/>
  <c r="Q141" i="10"/>
  <c r="AL141" i="10"/>
  <c r="Z141" i="10"/>
  <c r="AN141" i="10" s="1"/>
  <c r="AI141" i="10"/>
  <c r="AC140" i="10"/>
  <c r="R140" i="10"/>
  <c r="Q140" i="10"/>
  <c r="Z140" i="10"/>
  <c r="AN140" i="10" s="1"/>
  <c r="AI140" i="10"/>
  <c r="AL140" i="10"/>
  <c r="AC139" i="10"/>
  <c r="R139" i="10"/>
  <c r="Q139" i="10"/>
  <c r="Z139" i="10"/>
  <c r="AN139" i="10" s="1"/>
  <c r="AI139" i="10"/>
  <c r="AL139" i="10"/>
  <c r="R138" i="10"/>
  <c r="AC138" i="10"/>
  <c r="Q138" i="10"/>
  <c r="AI138" i="10"/>
  <c r="AL138" i="10"/>
  <c r="Z138" i="10"/>
  <c r="AN138" i="10" s="1"/>
  <c r="AC137" i="10"/>
  <c r="R137" i="10"/>
  <c r="Q137" i="10"/>
  <c r="Z137" i="10"/>
  <c r="AN137" i="10" s="1"/>
  <c r="AI137" i="10"/>
  <c r="AL137" i="10"/>
  <c r="AC136" i="10"/>
  <c r="R136" i="10"/>
  <c r="Q136" i="10"/>
  <c r="AL136" i="10"/>
  <c r="Z136" i="10"/>
  <c r="AN136" i="10" s="1"/>
  <c r="AI136" i="10"/>
  <c r="AC135" i="10"/>
  <c r="Q135" i="10"/>
  <c r="R135" i="10"/>
  <c r="Z135" i="10"/>
  <c r="AN135" i="10" s="1"/>
  <c r="AI135" i="10"/>
  <c r="AL135" i="10"/>
  <c r="R134" i="10"/>
  <c r="AC134" i="10"/>
  <c r="Q134" i="10"/>
  <c r="Z134" i="10"/>
  <c r="AN134" i="10" s="1"/>
  <c r="AL134" i="10"/>
  <c r="AI134" i="10"/>
  <c r="AC133" i="10"/>
  <c r="Q133" i="10"/>
  <c r="R133" i="10"/>
  <c r="AL133" i="10"/>
  <c r="AI133" i="10"/>
  <c r="Z133" i="10"/>
  <c r="AN133" i="10" s="1"/>
  <c r="AC132" i="10"/>
  <c r="Q132" i="10"/>
  <c r="R132" i="10"/>
  <c r="Z132" i="10"/>
  <c r="AN132" i="10" s="1"/>
  <c r="AI132" i="10"/>
  <c r="AL132" i="10"/>
  <c r="Q131" i="10"/>
  <c r="R131" i="10"/>
  <c r="AC131" i="10"/>
  <c r="Z131" i="10"/>
  <c r="AN131" i="10" s="1"/>
  <c r="AI131" i="10"/>
  <c r="AL131" i="10"/>
  <c r="AC130" i="10"/>
  <c r="R130" i="10"/>
  <c r="Q130" i="10"/>
  <c r="AL130" i="10"/>
  <c r="AI130" i="10"/>
  <c r="Z130" i="10"/>
  <c r="AN130" i="10" s="1"/>
  <c r="Q129" i="10"/>
  <c r="R129" i="10"/>
  <c r="AC129" i="10"/>
  <c r="AL129" i="10"/>
  <c r="Z129" i="10"/>
  <c r="AN129" i="10" s="1"/>
  <c r="AI129" i="10"/>
  <c r="AC128" i="10"/>
  <c r="Q128" i="10"/>
  <c r="R128" i="10"/>
  <c r="AI128" i="10"/>
  <c r="Z128" i="10"/>
  <c r="AN128" i="10" s="1"/>
  <c r="AL128" i="10"/>
  <c r="AC127" i="10"/>
  <c r="R127" i="10"/>
  <c r="Q127" i="10"/>
  <c r="AL127" i="10"/>
  <c r="AI127" i="10"/>
  <c r="Z127" i="10"/>
  <c r="AN127" i="10" s="1"/>
  <c r="Q126" i="10"/>
  <c r="R126" i="10"/>
  <c r="AC126" i="10"/>
  <c r="Z126" i="10"/>
  <c r="AN126" i="10" s="1"/>
  <c r="AL126" i="10"/>
  <c r="AI126" i="10"/>
  <c r="Q125" i="10"/>
  <c r="R125" i="10"/>
  <c r="AC125" i="10"/>
  <c r="Z125" i="10"/>
  <c r="AN125" i="10" s="1"/>
  <c r="AI125" i="10"/>
  <c r="AL125" i="10"/>
  <c r="Q124" i="10"/>
  <c r="R124" i="10"/>
  <c r="AC124" i="10"/>
  <c r="AL124" i="10"/>
  <c r="Z124" i="10"/>
  <c r="AN124" i="10" s="1"/>
  <c r="AI124" i="10"/>
  <c r="Q123" i="10"/>
  <c r="R123" i="10"/>
  <c r="AC123" i="10"/>
  <c r="AL123" i="10"/>
  <c r="AI123" i="10"/>
  <c r="Z123" i="10"/>
  <c r="AN123" i="10" s="1"/>
  <c r="AC122" i="10"/>
  <c r="R122" i="10"/>
  <c r="Q122" i="10"/>
  <c r="AL122" i="10"/>
  <c r="AI122" i="10"/>
  <c r="Z122" i="10"/>
  <c r="AN122" i="10" s="1"/>
  <c r="Q121" i="10"/>
  <c r="AC121" i="10"/>
  <c r="R121" i="10"/>
  <c r="Z121" i="10"/>
  <c r="AN121" i="10" s="1"/>
  <c r="AL121" i="10"/>
  <c r="AI121" i="10"/>
  <c r="AC120" i="10"/>
  <c r="R120" i="10"/>
  <c r="Q120" i="10"/>
  <c r="AI120" i="10"/>
  <c r="Z120" i="10"/>
  <c r="AN120" i="10" s="1"/>
  <c r="AL120" i="10"/>
  <c r="AC119" i="10"/>
  <c r="R119" i="10"/>
  <c r="Q119" i="10"/>
  <c r="AL119" i="10"/>
  <c r="AI119" i="10"/>
  <c r="Z119" i="10"/>
  <c r="AN119" i="10" s="1"/>
  <c r="Q118" i="10"/>
  <c r="R118" i="10"/>
  <c r="AC118" i="10"/>
  <c r="AL118" i="10"/>
  <c r="AI118" i="10"/>
  <c r="Z118" i="10"/>
  <c r="AN118" i="10" s="1"/>
  <c r="AC117" i="10"/>
  <c r="R117" i="10"/>
  <c r="Q117" i="10"/>
  <c r="AL117" i="10"/>
  <c r="AI117" i="10"/>
  <c r="Z117" i="10"/>
  <c r="AN117" i="10" s="1"/>
  <c r="AC116" i="10"/>
  <c r="R116" i="10"/>
  <c r="Q116" i="10"/>
  <c r="AL116" i="10"/>
  <c r="AI116" i="10"/>
  <c r="Z116" i="10"/>
  <c r="AN116" i="10" s="1"/>
  <c r="AC115" i="10"/>
  <c r="R115" i="10"/>
  <c r="Q115" i="10"/>
  <c r="AL115" i="10"/>
  <c r="AI115" i="10"/>
  <c r="Z115" i="10"/>
  <c r="AN115" i="10" s="1"/>
  <c r="AC114" i="10"/>
  <c r="Q114" i="10"/>
  <c r="R114" i="10"/>
  <c r="AL114" i="10"/>
  <c r="AI114" i="10"/>
  <c r="Z114" i="10"/>
  <c r="AN114" i="10" s="1"/>
  <c r="AC113" i="10"/>
  <c r="R113" i="10"/>
  <c r="Q113" i="10"/>
  <c r="AI113" i="10"/>
  <c r="AL113" i="10"/>
  <c r="Z113" i="10"/>
  <c r="AN113" i="10" s="1"/>
  <c r="Q112" i="10"/>
  <c r="R112" i="10"/>
  <c r="AC112" i="10"/>
  <c r="Z112" i="10"/>
  <c r="AN112" i="10" s="1"/>
  <c r="AI112" i="10"/>
  <c r="AL112" i="10"/>
  <c r="AC111" i="10"/>
  <c r="R111" i="10"/>
  <c r="Q111" i="10"/>
  <c r="Z111" i="10"/>
  <c r="AN111" i="10" s="1"/>
  <c r="AI111" i="10"/>
  <c r="AL111" i="10"/>
  <c r="AC110" i="10"/>
  <c r="R110" i="10"/>
  <c r="Q110" i="10"/>
  <c r="Z110" i="10"/>
  <c r="AN110" i="10" s="1"/>
  <c r="AL110" i="10"/>
  <c r="AI110" i="10"/>
  <c r="AC109" i="10"/>
  <c r="R109" i="10"/>
  <c r="Q109" i="10"/>
  <c r="AL109" i="10"/>
  <c r="AI109" i="10"/>
  <c r="Z109" i="10"/>
  <c r="AN109" i="10" s="1"/>
  <c r="R108" i="10"/>
  <c r="Q108" i="10"/>
  <c r="AC108" i="10"/>
  <c r="AI108" i="10"/>
  <c r="Z108" i="10"/>
  <c r="AN108" i="10" s="1"/>
  <c r="AL108" i="10"/>
  <c r="AC107" i="10"/>
  <c r="Q107" i="10"/>
  <c r="R107" i="10"/>
  <c r="Z107" i="10"/>
  <c r="AN107" i="10" s="1"/>
  <c r="AL107" i="10"/>
  <c r="AI107" i="10"/>
  <c r="R106" i="10"/>
  <c r="Q106" i="10"/>
  <c r="AC106" i="10"/>
  <c r="Z106" i="10"/>
  <c r="AN106" i="10" s="1"/>
  <c r="AI106" i="10"/>
  <c r="AL106" i="10"/>
  <c r="AC105" i="10"/>
  <c r="Q105" i="10"/>
  <c r="R105" i="10"/>
  <c r="Z105" i="10"/>
  <c r="AN105" i="10" s="1"/>
  <c r="AI105" i="10"/>
  <c r="AL105" i="10"/>
  <c r="R104" i="10"/>
  <c r="AC104" i="10"/>
  <c r="Q104" i="10"/>
  <c r="Z104" i="10"/>
  <c r="AN104" i="10" s="1"/>
  <c r="AI104" i="10"/>
  <c r="AL104" i="10"/>
  <c r="Q103" i="10"/>
  <c r="AC103" i="10"/>
  <c r="R103" i="10"/>
  <c r="Z103" i="10"/>
  <c r="AN103" i="10" s="1"/>
  <c r="AL103" i="10"/>
  <c r="AI103" i="10"/>
  <c r="AD102" i="10"/>
  <c r="AP102" i="10"/>
  <c r="AC101" i="10"/>
  <c r="R101" i="10"/>
  <c r="Q101" i="10"/>
  <c r="AI101" i="10"/>
  <c r="AL101" i="10"/>
  <c r="Z101" i="10"/>
  <c r="AN101" i="10" s="1"/>
  <c r="AC100" i="10"/>
  <c r="Q100" i="10"/>
  <c r="R100" i="10"/>
  <c r="AI100" i="10"/>
  <c r="Z100" i="10"/>
  <c r="AN100" i="10" s="1"/>
  <c r="AL100" i="10"/>
  <c r="AC99" i="10"/>
  <c r="R99" i="10"/>
  <c r="Q99" i="10"/>
  <c r="AI99" i="10"/>
  <c r="AL99" i="10"/>
  <c r="Z99" i="10"/>
  <c r="AN99" i="10" s="1"/>
  <c r="AC98" i="10"/>
  <c r="Q98" i="10"/>
  <c r="R98" i="10"/>
  <c r="AL98" i="10"/>
  <c r="AI98" i="10"/>
  <c r="Z98" i="10"/>
  <c r="AN98" i="10" s="1"/>
  <c r="Q97" i="10"/>
  <c r="R97" i="10"/>
  <c r="AC97" i="10"/>
  <c r="Z97" i="10"/>
  <c r="AN97" i="10" s="1"/>
  <c r="AL97" i="10"/>
  <c r="AI97" i="10"/>
  <c r="AC96" i="10"/>
  <c r="R96" i="10"/>
  <c r="Q96" i="10"/>
  <c r="AL96" i="10"/>
  <c r="AI96" i="10"/>
  <c r="Z96" i="10"/>
  <c r="AN96" i="10" s="1"/>
  <c r="R95" i="10"/>
  <c r="AC95" i="10"/>
  <c r="Q95" i="10"/>
  <c r="AI95" i="10"/>
  <c r="Z95" i="10"/>
  <c r="AN95" i="10" s="1"/>
  <c r="R94" i="10"/>
  <c r="Q94" i="10"/>
  <c r="AC94" i="10"/>
  <c r="Z94" i="10"/>
  <c r="AN94" i="10" s="1"/>
  <c r="AI94" i="10"/>
  <c r="AC93" i="10"/>
  <c r="Q93" i="10"/>
  <c r="R93" i="10"/>
  <c r="AI93" i="10"/>
  <c r="Z93" i="10"/>
  <c r="AN93" i="10" s="1"/>
  <c r="Q92" i="10"/>
  <c r="R92" i="10"/>
  <c r="AC92" i="10"/>
  <c r="AI92" i="10"/>
  <c r="Z92" i="10"/>
  <c r="AN92" i="10" s="1"/>
  <c r="R91" i="10"/>
  <c r="Q91" i="10"/>
  <c r="AC91" i="10"/>
  <c r="Z91" i="10"/>
  <c r="AN91" i="10" s="1"/>
  <c r="AI91" i="10"/>
  <c r="R90" i="10"/>
  <c r="Q90" i="10"/>
  <c r="AC90" i="10"/>
  <c r="AI90" i="10"/>
  <c r="Z90" i="10"/>
  <c r="AN90" i="10" s="1"/>
  <c r="Q89" i="10"/>
  <c r="AC89" i="10"/>
  <c r="R89" i="10"/>
  <c r="Z89" i="10"/>
  <c r="AN89" i="10" s="1"/>
  <c r="AI89" i="10"/>
  <c r="AC88" i="10"/>
  <c r="Q88" i="10"/>
  <c r="R88" i="10"/>
  <c r="AI88" i="10"/>
  <c r="Z88" i="10"/>
  <c r="AN88" i="10" s="1"/>
  <c r="R87" i="10"/>
  <c r="AC87" i="10"/>
  <c r="Q87" i="10"/>
  <c r="Z87" i="10"/>
  <c r="AN87" i="10" s="1"/>
  <c r="AI87" i="10"/>
  <c r="AC86" i="10"/>
  <c r="Q86" i="10"/>
  <c r="R86" i="10"/>
  <c r="Z86" i="10"/>
  <c r="AN86" i="10" s="1"/>
  <c r="AI86" i="10"/>
  <c r="AC85" i="10"/>
  <c r="Q85" i="10"/>
  <c r="R85" i="10"/>
  <c r="Z85" i="10"/>
  <c r="AN85" i="10" s="1"/>
  <c r="AI85" i="10"/>
  <c r="R84" i="10"/>
  <c r="Q84" i="10"/>
  <c r="AC84" i="10"/>
  <c r="Z84" i="10"/>
  <c r="AN84" i="10" s="1"/>
  <c r="AI84" i="10"/>
  <c r="Q83" i="10"/>
  <c r="R83" i="10"/>
  <c r="AC83" i="10"/>
  <c r="AI83" i="10"/>
  <c r="Z83" i="10"/>
  <c r="AN83" i="10" s="1"/>
  <c r="Q82" i="10"/>
  <c r="R82" i="10"/>
  <c r="AC82" i="10"/>
  <c r="Z82" i="10"/>
  <c r="AN82" i="10" s="1"/>
  <c r="AI82" i="10"/>
  <c r="Q81" i="10"/>
  <c r="R81" i="10"/>
  <c r="AC81" i="10"/>
  <c r="AI81" i="10"/>
  <c r="Z81" i="10"/>
  <c r="AN81" i="10" s="1"/>
  <c r="AC80" i="10"/>
  <c r="R80" i="10"/>
  <c r="Q80" i="10"/>
  <c r="AI80" i="10"/>
  <c r="Z80" i="10"/>
  <c r="AN80" i="10" s="1"/>
  <c r="AC79" i="10"/>
  <c r="Q79" i="10"/>
  <c r="R79" i="10"/>
  <c r="AI79" i="10"/>
  <c r="Z79" i="10"/>
  <c r="AN79" i="10" s="1"/>
  <c r="Q78" i="10"/>
  <c r="R78" i="10"/>
  <c r="AC78" i="10"/>
  <c r="Z78" i="10"/>
  <c r="AN78" i="10" s="1"/>
  <c r="AI78" i="10"/>
  <c r="AC77" i="10"/>
  <c r="R77" i="10"/>
  <c r="Q77" i="10"/>
  <c r="AI77" i="10"/>
  <c r="Z77" i="10"/>
  <c r="AN77" i="10" s="1"/>
  <c r="AC76" i="10"/>
  <c r="R76" i="10"/>
  <c r="Q76" i="10"/>
  <c r="AI76" i="10"/>
  <c r="Z76" i="10"/>
  <c r="AN76" i="10" s="1"/>
  <c r="Q75" i="10"/>
  <c r="AC75" i="10"/>
  <c r="R75" i="10"/>
  <c r="AI75" i="10"/>
  <c r="Z75" i="10"/>
  <c r="AN75" i="10" s="1"/>
  <c r="Q74" i="10"/>
  <c r="R74" i="10"/>
  <c r="AC74" i="10"/>
  <c r="Z74" i="10"/>
  <c r="AN74" i="10" s="1"/>
  <c r="AI74" i="10"/>
  <c r="AC73" i="10"/>
  <c r="R73" i="10"/>
  <c r="Q73" i="10"/>
  <c r="Z73" i="10"/>
  <c r="AN73" i="10" s="1"/>
  <c r="AI73" i="10"/>
  <c r="Q72" i="10"/>
  <c r="R72" i="10"/>
  <c r="AC72" i="10"/>
  <c r="AI72" i="10"/>
  <c r="Z72" i="10"/>
  <c r="AN72" i="10" s="1"/>
  <c r="Q71" i="10"/>
  <c r="R71" i="10"/>
  <c r="AC71" i="10"/>
  <c r="Z71" i="10"/>
  <c r="AN71" i="10" s="1"/>
  <c r="AI71" i="10"/>
  <c r="AC70" i="10"/>
  <c r="Q70" i="10"/>
  <c r="R70" i="10"/>
  <c r="AI70" i="10"/>
  <c r="Z70" i="10"/>
  <c r="AN70" i="10" s="1"/>
  <c r="R69" i="10"/>
  <c r="Q69" i="10"/>
  <c r="AC69" i="10"/>
  <c r="AI69" i="10"/>
  <c r="Z69" i="10"/>
  <c r="AN69" i="10" s="1"/>
  <c r="Q68" i="10"/>
  <c r="AC68" i="10"/>
  <c r="R68" i="10"/>
  <c r="AI68" i="10"/>
  <c r="Z68" i="10"/>
  <c r="AN68" i="10" s="1"/>
  <c r="R67" i="10"/>
  <c r="AC67" i="10"/>
  <c r="Q67" i="10"/>
  <c r="Z67" i="10"/>
  <c r="AN67" i="10" s="1"/>
  <c r="AI67" i="10"/>
  <c r="AC66" i="10"/>
  <c r="R66" i="10"/>
  <c r="Q66" i="10"/>
  <c r="AI66" i="10"/>
  <c r="Z66" i="10"/>
  <c r="AN66" i="10" s="1"/>
  <c r="Q65" i="10"/>
  <c r="R65" i="10"/>
  <c r="AC65" i="10"/>
  <c r="Z65" i="10"/>
  <c r="AN65" i="10" s="1"/>
  <c r="AI65" i="10"/>
  <c r="Q64" i="10"/>
  <c r="AC64" i="10"/>
  <c r="R64" i="10"/>
  <c r="AI64" i="10"/>
  <c r="Z64" i="10"/>
  <c r="AN64" i="10" s="1"/>
  <c r="AC63" i="10"/>
  <c r="Q63" i="10"/>
  <c r="R63" i="10"/>
  <c r="AI63" i="10"/>
  <c r="Z63" i="10"/>
  <c r="AN63" i="10" s="1"/>
  <c r="R62" i="10"/>
  <c r="Q62" i="10"/>
  <c r="AC62" i="10"/>
  <c r="Z62" i="10"/>
  <c r="AN62" i="10" s="1"/>
  <c r="AI62" i="10"/>
  <c r="R61" i="10"/>
  <c r="Q61" i="10"/>
  <c r="AC61" i="10"/>
  <c r="Z61" i="10"/>
  <c r="AN61" i="10" s="1"/>
  <c r="AI61" i="10"/>
  <c r="R60" i="10"/>
  <c r="AC60" i="10"/>
  <c r="Q60" i="10"/>
  <c r="Z60" i="10"/>
  <c r="AN60" i="10" s="1"/>
  <c r="AI60" i="10"/>
  <c r="Q59" i="10"/>
  <c r="R59" i="10"/>
  <c r="AC59" i="10"/>
  <c r="Z59" i="10"/>
  <c r="AN59" i="10" s="1"/>
  <c r="AI59" i="10"/>
  <c r="AC58" i="10"/>
  <c r="Q58" i="10"/>
  <c r="R58" i="10"/>
  <c r="Z58" i="10"/>
  <c r="AN58" i="10" s="1"/>
  <c r="AI58" i="10"/>
  <c r="R57" i="10"/>
  <c r="AC57" i="10"/>
  <c r="Q57" i="10"/>
  <c r="Z57" i="10"/>
  <c r="AN57" i="10" s="1"/>
  <c r="AI57" i="10"/>
  <c r="R56" i="10"/>
  <c r="Q56" i="10"/>
  <c r="Z56" i="10"/>
  <c r="AN56" i="10" s="1"/>
  <c r="AI56" i="10"/>
  <c r="Q55" i="10"/>
  <c r="AC55" i="10"/>
  <c r="R55" i="10"/>
  <c r="Z55" i="10"/>
  <c r="AN55" i="10" s="1"/>
  <c r="AC54" i="10"/>
  <c r="R54" i="10"/>
  <c r="Q54" i="10"/>
  <c r="AI54" i="10"/>
  <c r="Z54" i="10"/>
  <c r="AN54" i="10" s="1"/>
  <c r="Q53" i="10"/>
  <c r="AC53" i="10"/>
  <c r="R53" i="10"/>
  <c r="Z53" i="10"/>
  <c r="AN53" i="10" s="1"/>
  <c r="AI53" i="10"/>
  <c r="R52" i="10"/>
  <c r="Q52" i="10"/>
  <c r="AC52" i="10"/>
  <c r="AP56" i="10" s="1"/>
  <c r="AI52" i="10"/>
  <c r="Z52" i="10"/>
  <c r="AN52" i="10" s="1"/>
  <c r="AC51" i="10"/>
  <c r="R51" i="10"/>
  <c r="Q51" i="10"/>
  <c r="AI51" i="10"/>
  <c r="Z51" i="10"/>
  <c r="AN51" i="10" s="1"/>
  <c r="Q50" i="10"/>
  <c r="R50" i="10"/>
  <c r="AC50" i="10"/>
  <c r="Z50" i="10"/>
  <c r="AN50" i="10" s="1"/>
  <c r="AI50" i="10"/>
  <c r="Q49" i="10"/>
  <c r="AC49" i="10"/>
  <c r="R49" i="10"/>
  <c r="AI49" i="10"/>
  <c r="Z49" i="10"/>
  <c r="AN49" i="10" s="1"/>
  <c r="R48" i="10"/>
  <c r="AC48" i="10"/>
  <c r="Q48" i="10"/>
  <c r="Z48" i="10"/>
  <c r="AN48" i="10" s="1"/>
  <c r="AI48" i="10"/>
  <c r="Q47" i="10"/>
  <c r="AC47" i="10"/>
  <c r="R47" i="10"/>
  <c r="Z47" i="10"/>
  <c r="AN47" i="10" s="1"/>
  <c r="AI47" i="10"/>
  <c r="AC46" i="10"/>
  <c r="Q46" i="10"/>
  <c r="R46" i="10"/>
  <c r="Z46" i="10"/>
  <c r="AN46" i="10" s="1"/>
  <c r="AI46" i="10"/>
  <c r="R45" i="10"/>
  <c r="AC45" i="10"/>
  <c r="Q45" i="10"/>
  <c r="AI45" i="10"/>
  <c r="Z45" i="10"/>
  <c r="AN45" i="10" s="1"/>
  <c r="AC44" i="10"/>
  <c r="R44" i="10"/>
  <c r="Q44" i="10"/>
  <c r="AI44" i="10"/>
  <c r="Z44" i="10"/>
  <c r="AN44" i="10" s="1"/>
  <c r="R43" i="10"/>
  <c r="AC43" i="10"/>
  <c r="Q43" i="10"/>
  <c r="AI43" i="10"/>
  <c r="Z43" i="10"/>
  <c r="AN43" i="10" s="1"/>
  <c r="Q42" i="10"/>
  <c r="AC42" i="10"/>
  <c r="R42" i="10"/>
  <c r="Z42" i="10"/>
  <c r="AN42" i="10" s="1"/>
  <c r="AI42" i="10"/>
  <c r="R41" i="10"/>
  <c r="Q41" i="10"/>
  <c r="AC41" i="10"/>
  <c r="Z41" i="10"/>
  <c r="AN41" i="10" s="1"/>
  <c r="AI41" i="10"/>
  <c r="AC40" i="10"/>
  <c r="Q40" i="10"/>
  <c r="R40" i="10"/>
  <c r="AI40" i="10"/>
  <c r="Z40" i="10"/>
  <c r="AN40" i="10" s="1"/>
  <c r="AC39" i="10"/>
  <c r="R39" i="10"/>
  <c r="Q39" i="10"/>
  <c r="Z39" i="10"/>
  <c r="AN39" i="10" s="1"/>
  <c r="AI39" i="10"/>
  <c r="C15" i="9"/>
  <c r="C14" i="9"/>
  <c r="Q38" i="10"/>
  <c r="AC38" i="10"/>
  <c r="R38" i="10"/>
  <c r="Z38" i="10"/>
  <c r="AN38" i="10" s="1"/>
  <c r="AI38" i="10"/>
  <c r="C18" i="8"/>
  <c r="R37" i="10"/>
  <c r="Q37" i="10"/>
  <c r="AC36" i="10"/>
  <c r="R36" i="10"/>
  <c r="Q36" i="10"/>
  <c r="AI36" i="10"/>
  <c r="Z36" i="10"/>
  <c r="AN36" i="10" s="1"/>
  <c r="R35" i="10"/>
  <c r="Q35" i="10"/>
  <c r="AC35" i="10"/>
  <c r="Z35" i="10"/>
  <c r="AN35" i="10" s="1"/>
  <c r="AI35" i="10"/>
  <c r="AC34" i="10"/>
  <c r="R34" i="10"/>
  <c r="Q34" i="10"/>
  <c r="Z34" i="10"/>
  <c r="AN34" i="10" s="1"/>
  <c r="AI34" i="10"/>
  <c r="AC33" i="10"/>
  <c r="AP37" i="10" s="1"/>
  <c r="R33" i="10"/>
  <c r="Q33" i="10"/>
  <c r="Z33" i="10"/>
  <c r="AN33" i="10" s="1"/>
  <c r="AI33" i="10"/>
  <c r="AC32" i="10"/>
  <c r="R32" i="10"/>
  <c r="Q32" i="10"/>
  <c r="AI32" i="10"/>
  <c r="Z32" i="10"/>
  <c r="AN32" i="10" s="1"/>
  <c r="AC31" i="10"/>
  <c r="Q31" i="10"/>
  <c r="R31" i="10"/>
  <c r="AI31" i="10"/>
  <c r="Z31" i="10"/>
  <c r="AN31" i="10" s="1"/>
  <c r="R30" i="10"/>
  <c r="Q30" i="10"/>
  <c r="AC30" i="10"/>
  <c r="AI30" i="10"/>
  <c r="Z30" i="10"/>
  <c r="AN30" i="10" s="1"/>
  <c r="R29" i="10"/>
  <c r="Q29" i="10"/>
  <c r="AC29" i="10"/>
  <c r="AI29" i="10"/>
  <c r="Z29" i="10"/>
  <c r="AN29" i="10" s="1"/>
  <c r="R28" i="10"/>
  <c r="Q28" i="10"/>
  <c r="AC28" i="10"/>
  <c r="Z28" i="10"/>
  <c r="AN28" i="10" s="1"/>
  <c r="AI28" i="10"/>
  <c r="R27" i="10"/>
  <c r="Q27" i="10"/>
  <c r="AC27" i="10"/>
  <c r="AI27" i="10"/>
  <c r="Z27" i="10"/>
  <c r="AN27" i="10" s="1"/>
  <c r="AC26" i="10"/>
  <c r="R26" i="10"/>
  <c r="Q26" i="10"/>
  <c r="Z26" i="10"/>
  <c r="AN26" i="10" s="1"/>
  <c r="AI26" i="10"/>
  <c r="R25" i="10"/>
  <c r="AC25" i="10"/>
  <c r="Q25" i="10"/>
  <c r="AI25" i="10"/>
  <c r="Z25" i="10"/>
  <c r="AN25" i="10" s="1"/>
  <c r="AC24" i="10"/>
  <c r="R24" i="10"/>
  <c r="Q24" i="10"/>
  <c r="AI24" i="10"/>
  <c r="Z24" i="10"/>
  <c r="AN24" i="10" s="1"/>
  <c r="R23" i="10"/>
  <c r="Q23" i="10"/>
  <c r="AC23" i="10"/>
  <c r="Z23" i="10"/>
  <c r="AN23" i="10" s="1"/>
  <c r="AI23" i="10"/>
  <c r="AC22" i="10"/>
  <c r="Q22" i="10"/>
  <c r="R22" i="10"/>
  <c r="AI22" i="10"/>
  <c r="Z22" i="10"/>
  <c r="AN22" i="10" s="1"/>
  <c r="AC21" i="10"/>
  <c r="R21" i="10"/>
  <c r="Q21" i="10"/>
  <c r="AI21" i="10"/>
  <c r="Z21" i="10"/>
  <c r="AN21" i="10" s="1"/>
  <c r="R20" i="10"/>
  <c r="Q20" i="10"/>
  <c r="AC20" i="10"/>
  <c r="AI20" i="10"/>
  <c r="Z20" i="10"/>
  <c r="AN20" i="10" s="1"/>
  <c r="AC19" i="10"/>
  <c r="R19" i="10"/>
  <c r="Q19" i="10"/>
  <c r="AI19" i="10"/>
  <c r="Z19" i="10"/>
  <c r="AN19" i="10" s="1"/>
  <c r="Q18" i="10"/>
  <c r="R18" i="10"/>
  <c r="AC18" i="10"/>
  <c r="AI18" i="10"/>
  <c r="Z18" i="10"/>
  <c r="AN18" i="10" s="1"/>
  <c r="R17" i="10"/>
  <c r="Q17" i="10"/>
  <c r="AC17" i="10"/>
  <c r="AI17" i="10"/>
  <c r="Z17" i="10"/>
  <c r="AN17" i="10" s="1"/>
  <c r="R16" i="10"/>
  <c r="Q16" i="10"/>
  <c r="AC16" i="10"/>
  <c r="Z16" i="10"/>
  <c r="AN16" i="10" s="1"/>
  <c r="AI16" i="10"/>
  <c r="AC15" i="10"/>
  <c r="R15" i="10"/>
  <c r="Q15" i="10"/>
  <c r="Z15" i="10"/>
  <c r="AN15" i="10" s="1"/>
  <c r="AI15" i="10"/>
  <c r="R14" i="10"/>
  <c r="Q14" i="10"/>
  <c r="AC14" i="10"/>
  <c r="Z14" i="10"/>
  <c r="AN14" i="10" s="1"/>
  <c r="AI14" i="10"/>
  <c r="R13" i="10"/>
  <c r="AC13" i="10"/>
  <c r="Q13" i="10"/>
  <c r="AI13" i="10"/>
  <c r="Z13" i="10"/>
  <c r="AN13" i="10" s="1"/>
  <c r="R12" i="10"/>
  <c r="AC12" i="10"/>
  <c r="Q12" i="10"/>
  <c r="AI12" i="10"/>
  <c r="Z12" i="10"/>
  <c r="AN12" i="10" s="1"/>
  <c r="AC11" i="10"/>
  <c r="R11" i="10"/>
  <c r="Q11" i="10"/>
  <c r="AI11" i="10"/>
  <c r="Z11" i="10"/>
  <c r="AN11" i="10" s="1"/>
  <c r="R10" i="10"/>
  <c r="Q10" i="10"/>
  <c r="AC10" i="10"/>
  <c r="Z10" i="10"/>
  <c r="AN10" i="10" s="1"/>
  <c r="AI10" i="10"/>
  <c r="AC9" i="10"/>
  <c r="R9" i="10"/>
  <c r="Q9" i="10"/>
  <c r="AI9" i="10"/>
  <c r="Z9" i="10"/>
  <c r="AN9" i="10" s="1"/>
  <c r="AC8" i="10"/>
  <c r="Q8" i="10"/>
  <c r="R8" i="10"/>
  <c r="AI8" i="10"/>
  <c r="Z8" i="10"/>
  <c r="AN8" i="10" s="1"/>
  <c r="R7" i="10"/>
  <c r="Q7" i="10"/>
  <c r="AC7" i="10"/>
  <c r="AI7" i="10"/>
  <c r="Z7" i="10"/>
  <c r="AN7" i="10" s="1"/>
  <c r="AC6" i="10"/>
  <c r="R6" i="10"/>
  <c r="Q6" i="10"/>
  <c r="AI6" i="10"/>
  <c r="Z6" i="10"/>
  <c r="AN6" i="10" s="1"/>
  <c r="AC5" i="10"/>
  <c r="R5" i="10"/>
  <c r="Q5" i="10"/>
  <c r="AI5" i="10"/>
  <c r="Z5" i="10"/>
  <c r="AN5" i="10" s="1"/>
  <c r="R4" i="10"/>
  <c r="Q4" i="10"/>
  <c r="AC4" i="10"/>
  <c r="AI4" i="10"/>
  <c r="Z4" i="10"/>
  <c r="AN4" i="10" s="1"/>
  <c r="AC3" i="10"/>
  <c r="R3" i="10"/>
  <c r="Q3" i="10"/>
  <c r="AI3" i="10"/>
  <c r="Z3" i="10"/>
  <c r="AN3" i="10" s="1"/>
  <c r="B20" i="9"/>
  <c r="AC2" i="10"/>
  <c r="Q2" i="10"/>
  <c r="R2" i="10"/>
  <c r="AI2" i="10"/>
  <c r="Z2" i="10"/>
  <c r="I20" i="2" l="1"/>
  <c r="Z82" i="4"/>
  <c r="Z123" i="4"/>
  <c r="Z83" i="4"/>
  <c r="Z119" i="4"/>
  <c r="Z73" i="4"/>
  <c r="Z96" i="4"/>
  <c r="Z132" i="4"/>
  <c r="Z48" i="4"/>
  <c r="Z58" i="4"/>
  <c r="Z68" i="4"/>
  <c r="Z134" i="4"/>
  <c r="Z152" i="4"/>
  <c r="Z164" i="4"/>
  <c r="Z172" i="4"/>
  <c r="Z179" i="4"/>
  <c r="Z187" i="4"/>
  <c r="Z196" i="4"/>
  <c r="Z203" i="4"/>
  <c r="Z101" i="4"/>
  <c r="Z154" i="4"/>
  <c r="Z162" i="4"/>
  <c r="Z170" i="4"/>
  <c r="Z176" i="4"/>
  <c r="Z184" i="4"/>
  <c r="Z191" i="4"/>
  <c r="Z199" i="4"/>
  <c r="Z207" i="4"/>
  <c r="Z128" i="4"/>
  <c r="Z100" i="4"/>
  <c r="Z67" i="4"/>
  <c r="Z113" i="4"/>
  <c r="Z95" i="4"/>
  <c r="Z105" i="4"/>
  <c r="Z71" i="4"/>
  <c r="Z53" i="4"/>
  <c r="Z61" i="4"/>
  <c r="Z102" i="4"/>
  <c r="Z149" i="4"/>
  <c r="Z157" i="4"/>
  <c r="Z165" i="4"/>
  <c r="Z173" i="4"/>
  <c r="Z181" i="4"/>
  <c r="Z81" i="4"/>
  <c r="Z136" i="4"/>
  <c r="Z103" i="4"/>
  <c r="Z138" i="4"/>
  <c r="Z86" i="4"/>
  <c r="Z131" i="4"/>
  <c r="Z47" i="4"/>
  <c r="Z55" i="4"/>
  <c r="Z64" i="4"/>
  <c r="Z111" i="4"/>
  <c r="Z148" i="4"/>
  <c r="Z156" i="4"/>
  <c r="Z163" i="4"/>
  <c r="Z171" i="4"/>
  <c r="Z177" i="4"/>
  <c r="Z185" i="4"/>
  <c r="Z193" i="4"/>
  <c r="Z204" i="4"/>
  <c r="Z189" i="4"/>
  <c r="Z198" i="4"/>
  <c r="Z206" i="4"/>
  <c r="Z69" i="4"/>
  <c r="Z74" i="4"/>
  <c r="Z118" i="4"/>
  <c r="Z72" i="4"/>
  <c r="Z91" i="4"/>
  <c r="Z135" i="4"/>
  <c r="Z51" i="4"/>
  <c r="Z60" i="4"/>
  <c r="Z65" i="4"/>
  <c r="Z150" i="4"/>
  <c r="Z159" i="4"/>
  <c r="Z167" i="4"/>
  <c r="Z178" i="4"/>
  <c r="Z186" i="4"/>
  <c r="Z194" i="4"/>
  <c r="Z201" i="4"/>
  <c r="Z130" i="4"/>
  <c r="Z114" i="4"/>
  <c r="Z106" i="4"/>
  <c r="Z79" i="4"/>
  <c r="Z109" i="4"/>
  <c r="Z127" i="4"/>
  <c r="Z108" i="4"/>
  <c r="Z107" i="4"/>
  <c r="Z140" i="4"/>
  <c r="Z52" i="4"/>
  <c r="Z59" i="4"/>
  <c r="Z75" i="4"/>
  <c r="Z147" i="4"/>
  <c r="Z155" i="4"/>
  <c r="Z161" i="4"/>
  <c r="Z169" i="4"/>
  <c r="Z174" i="4"/>
  <c r="Z182" i="4"/>
  <c r="Z190" i="4"/>
  <c r="Z197" i="4"/>
  <c r="Z205" i="4"/>
  <c r="Z116" i="4"/>
  <c r="Z88" i="4"/>
  <c r="Z139" i="4"/>
  <c r="Z125" i="4"/>
  <c r="Z122" i="4"/>
  <c r="Z49" i="4"/>
  <c r="Z57" i="4"/>
  <c r="Z66" i="4"/>
  <c r="Z137" i="4"/>
  <c r="Z153" i="4"/>
  <c r="Z160" i="4"/>
  <c r="Z168" i="4"/>
  <c r="Z175" i="4"/>
  <c r="Z183" i="4"/>
  <c r="Z192" i="4"/>
  <c r="Z200" i="4"/>
  <c r="Z94" i="4"/>
  <c r="Z89" i="4"/>
  <c r="Z80" i="4"/>
  <c r="Z129" i="4"/>
  <c r="Z143" i="4"/>
  <c r="Z133" i="4"/>
  <c r="Z50" i="4"/>
  <c r="Z56" i="4"/>
  <c r="Z63" i="4"/>
  <c r="Z98" i="4"/>
  <c r="Z110" i="4"/>
  <c r="Z70" i="4"/>
  <c r="Z115" i="4"/>
  <c r="Z145" i="4"/>
  <c r="Z104" i="4"/>
  <c r="Z76" i="4"/>
  <c r="Z54" i="4"/>
  <c r="Z62" i="4"/>
  <c r="Z87" i="4"/>
  <c r="Z151" i="4"/>
  <c r="Z158" i="4"/>
  <c r="Z166" i="4"/>
  <c r="Z180" i="4"/>
  <c r="Z188" i="4"/>
  <c r="Z195" i="4"/>
  <c r="Z202" i="4"/>
  <c r="Z124" i="4"/>
  <c r="Z146" i="4"/>
  <c r="T33" i="3"/>
  <c r="T39" i="3"/>
  <c r="T45" i="3"/>
  <c r="B49" i="9"/>
  <c r="D49" i="9" s="1"/>
  <c r="B53" i="9"/>
  <c r="D53" i="9" s="1"/>
  <c r="B59" i="9"/>
  <c r="D59" i="9" s="1"/>
  <c r="T43" i="3"/>
  <c r="T41" i="3"/>
  <c r="T13" i="3"/>
  <c r="B24" i="9"/>
  <c r="D24" i="9" s="1"/>
  <c r="B32" i="9"/>
  <c r="D32" i="9" s="1"/>
  <c r="B39" i="9"/>
  <c r="D39" i="9" s="1"/>
  <c r="T17" i="3"/>
  <c r="T18" i="3"/>
  <c r="T37" i="3"/>
  <c r="T44" i="3"/>
  <c r="T25" i="3"/>
  <c r="B25" i="9"/>
  <c r="D25" i="9" s="1"/>
  <c r="B31" i="9"/>
  <c r="D31" i="9" s="1"/>
  <c r="B37" i="9"/>
  <c r="D37" i="9" s="1"/>
  <c r="B44" i="9"/>
  <c r="D44" i="9" s="1"/>
  <c r="B50" i="9"/>
  <c r="D50" i="9" s="1"/>
  <c r="B58" i="9"/>
  <c r="D58" i="9" s="1"/>
  <c r="B45" i="9"/>
  <c r="D45" i="9" s="1"/>
  <c r="B42" i="9"/>
  <c r="D42" i="9" s="1"/>
  <c r="B55" i="9"/>
  <c r="D55" i="9" s="1"/>
  <c r="T12" i="3"/>
  <c r="T21" i="3"/>
  <c r="T34" i="3"/>
  <c r="T23" i="3"/>
  <c r="T32" i="3"/>
  <c r="T15" i="3"/>
  <c r="T35" i="3"/>
  <c r="T42" i="3"/>
  <c r="B21" i="9"/>
  <c r="B29" i="9"/>
  <c r="D29" i="9" s="1"/>
  <c r="B36" i="9"/>
  <c r="D36" i="9" s="1"/>
  <c r="B43" i="9"/>
  <c r="D43" i="9" s="1"/>
  <c r="T19" i="3"/>
  <c r="T9" i="3"/>
  <c r="T10" i="3"/>
  <c r="T27" i="3"/>
  <c r="T24" i="3"/>
  <c r="T30" i="3"/>
  <c r="T38" i="3"/>
  <c r="T46" i="3"/>
  <c r="B23" i="9"/>
  <c r="D23" i="9" s="1"/>
  <c r="B30" i="9"/>
  <c r="D30" i="9" s="1"/>
  <c r="B41" i="9"/>
  <c r="D41" i="9" s="1"/>
  <c r="B47" i="9"/>
  <c r="D47" i="9" s="1"/>
  <c r="B52" i="9"/>
  <c r="D52" i="9" s="1"/>
  <c r="T36" i="3"/>
  <c r="T29" i="3"/>
  <c r="B27" i="9"/>
  <c r="D27" i="9" s="1"/>
  <c r="B33" i="9"/>
  <c r="D33" i="9" s="1"/>
  <c r="B38" i="9"/>
  <c r="D38" i="9" s="1"/>
  <c r="B51" i="9"/>
  <c r="D51" i="9" s="1"/>
  <c r="B57" i="9"/>
  <c r="D57" i="9" s="1"/>
  <c r="B48" i="9"/>
  <c r="D48" i="9" s="1"/>
  <c r="T14" i="3"/>
  <c r="T16" i="3"/>
  <c r="T22" i="3"/>
  <c r="T40" i="3"/>
  <c r="T31" i="3"/>
  <c r="B26" i="9"/>
  <c r="D26" i="9" s="1"/>
  <c r="B34" i="9"/>
  <c r="D34" i="9" s="1"/>
  <c r="B40" i="9"/>
  <c r="D40" i="9" s="1"/>
  <c r="B46" i="9"/>
  <c r="D46" i="9" s="1"/>
  <c r="B56" i="9"/>
  <c r="D56" i="9" s="1"/>
  <c r="B54" i="9"/>
  <c r="D54" i="9" s="1"/>
  <c r="T28" i="3"/>
  <c r="T20" i="3"/>
  <c r="T26" i="3"/>
  <c r="T11" i="3"/>
  <c r="T47" i="3"/>
  <c r="B22" i="9"/>
  <c r="D22" i="9" s="1"/>
  <c r="B28" i="9"/>
  <c r="D28" i="9" s="1"/>
  <c r="B35" i="9"/>
  <c r="D35" i="9" s="1"/>
  <c r="X121" i="3"/>
  <c r="X21" i="3"/>
  <c r="X16" i="3"/>
  <c r="X28" i="3"/>
  <c r="X12" i="3"/>
  <c r="X34" i="3"/>
  <c r="X41" i="3"/>
  <c r="X48" i="3"/>
  <c r="X54" i="3"/>
  <c r="X61" i="3"/>
  <c r="X67" i="3"/>
  <c r="X73" i="3"/>
  <c r="X82" i="3"/>
  <c r="X87" i="3"/>
  <c r="X100" i="3"/>
  <c r="X107" i="3"/>
  <c r="X114" i="3"/>
  <c r="X119" i="3"/>
  <c r="X126" i="3"/>
  <c r="X97" i="3"/>
  <c r="X105" i="3"/>
  <c r="X18" i="3"/>
  <c r="X122" i="3"/>
  <c r="X9" i="3"/>
  <c r="X44" i="3"/>
  <c r="X52" i="3"/>
  <c r="X58" i="3"/>
  <c r="X66" i="3"/>
  <c r="X71" i="3"/>
  <c r="X79" i="3"/>
  <c r="X89" i="3"/>
  <c r="X95" i="3"/>
  <c r="X104" i="3"/>
  <c r="X111" i="3"/>
  <c r="X120" i="3"/>
  <c r="X35" i="3"/>
  <c r="X15" i="3"/>
  <c r="X29" i="3"/>
  <c r="X31" i="3"/>
  <c r="X38" i="3"/>
  <c r="X43" i="3"/>
  <c r="X51" i="3"/>
  <c r="X59" i="3"/>
  <c r="X19" i="3"/>
  <c r="X14" i="3"/>
  <c r="X20" i="3"/>
  <c r="X36" i="3"/>
  <c r="X42" i="3"/>
  <c r="X49" i="3"/>
  <c r="X57" i="3"/>
  <c r="X65" i="3"/>
  <c r="X74" i="3"/>
  <c r="X84" i="3"/>
  <c r="X11" i="3"/>
  <c r="X10" i="3"/>
  <c r="X27" i="3"/>
  <c r="X37" i="3"/>
  <c r="X45" i="3"/>
  <c r="X53" i="3"/>
  <c r="X62" i="3"/>
  <c r="X70" i="3"/>
  <c r="X81" i="3"/>
  <c r="X88" i="3"/>
  <c r="X93" i="3"/>
  <c r="X102" i="3"/>
  <c r="X109" i="3"/>
  <c r="X116" i="3"/>
  <c r="X123" i="3"/>
  <c r="X69" i="3"/>
  <c r="X77" i="3"/>
  <c r="X85" i="3"/>
  <c r="X91" i="3"/>
  <c r="X96" i="3"/>
  <c r="X106" i="3"/>
  <c r="X115" i="3"/>
  <c r="X127" i="3"/>
  <c r="X25" i="3"/>
  <c r="X24" i="3"/>
  <c r="X13" i="3"/>
  <c r="X90" i="3"/>
  <c r="X98" i="3"/>
  <c r="X103" i="3"/>
  <c r="X110" i="3"/>
  <c r="X118" i="3"/>
  <c r="X125" i="3"/>
  <c r="X47" i="3"/>
  <c r="X55" i="3"/>
  <c r="X23" i="3"/>
  <c r="X17" i="3"/>
  <c r="X33" i="3"/>
  <c r="X40" i="3"/>
  <c r="X50" i="3"/>
  <c r="X60" i="3"/>
  <c r="X68" i="3"/>
  <c r="X112" i="3"/>
  <c r="X78" i="3"/>
  <c r="X22" i="3"/>
  <c r="Y22" i="3" s="1"/>
  <c r="Z22" i="3" s="1"/>
  <c r="X26" i="3"/>
  <c r="Y26" i="3" s="1"/>
  <c r="Z26" i="3" s="1"/>
  <c r="X30" i="3"/>
  <c r="X32" i="3"/>
  <c r="X39" i="3"/>
  <c r="X46" i="3"/>
  <c r="X56" i="3"/>
  <c r="X64" i="3"/>
  <c r="X75" i="3"/>
  <c r="X80" i="3"/>
  <c r="X86" i="3"/>
  <c r="X92" i="3"/>
  <c r="X99" i="3"/>
  <c r="X108" i="3"/>
  <c r="X117" i="3"/>
  <c r="X124" i="3"/>
  <c r="X63" i="3"/>
  <c r="X76" i="3"/>
  <c r="X83" i="3"/>
  <c r="X94" i="3"/>
  <c r="X101" i="3"/>
  <c r="X113" i="3"/>
  <c r="X72" i="3"/>
  <c r="D20" i="9"/>
  <c r="AK31" i="10"/>
  <c r="AL31" i="10" s="1"/>
  <c r="AK19" i="10"/>
  <c r="AL19" i="10" s="1"/>
  <c r="AK52" i="10"/>
  <c r="AL52" i="10" s="1"/>
  <c r="AK21" i="10"/>
  <c r="AL21" i="10" s="1"/>
  <c r="AK2" i="10"/>
  <c r="AL2" i="10" s="1"/>
  <c r="AK34" i="10"/>
  <c r="AL34" i="10" s="1"/>
  <c r="AK24" i="10"/>
  <c r="AL24" i="10" s="1"/>
  <c r="AK63" i="10"/>
  <c r="AL63" i="10" s="1"/>
  <c r="AK13" i="10"/>
  <c r="AL13" i="10" s="1"/>
  <c r="AK9" i="10"/>
  <c r="AL9" i="10" s="1"/>
  <c r="AK67" i="10"/>
  <c r="AL67" i="10" s="1"/>
  <c r="AK41" i="10"/>
  <c r="AL41" i="10" s="1"/>
  <c r="AK60" i="10"/>
  <c r="AL60" i="10" s="1"/>
  <c r="AK76" i="10"/>
  <c r="AL76" i="10" s="1"/>
  <c r="AK62" i="10"/>
  <c r="AL62" i="10" s="1"/>
  <c r="AK39" i="10"/>
  <c r="AL39" i="10" s="1"/>
  <c r="AK15" i="10"/>
  <c r="AL15" i="10" s="1"/>
  <c r="AD37" i="10"/>
  <c r="AD56" i="10"/>
  <c r="G239" i="4"/>
  <c r="G238" i="4"/>
  <c r="E237" i="4"/>
  <c r="C236" i="4"/>
  <c r="K234" i="4"/>
  <c r="K233" i="4"/>
  <c r="D233" i="4"/>
  <c r="E232" i="4"/>
  <c r="C231" i="4"/>
  <c r="E234" i="4"/>
  <c r="I232" i="4"/>
  <c r="J231" i="4"/>
  <c r="I229" i="4"/>
  <c r="J228" i="4"/>
  <c r="K227" i="4"/>
  <c r="J226" i="4"/>
  <c r="K225" i="4"/>
  <c r="G225" i="4"/>
  <c r="I224" i="4"/>
  <c r="I223" i="4"/>
  <c r="K222" i="4"/>
  <c r="H222" i="4"/>
  <c r="F221" i="4"/>
  <c r="J219" i="4"/>
  <c r="E219" i="4"/>
  <c r="C218" i="4"/>
  <c r="I216" i="4"/>
  <c r="T88" i="2"/>
  <c r="T86" i="2"/>
  <c r="E85" i="2"/>
  <c r="Q83" i="2"/>
  <c r="T81" i="2"/>
  <c r="E80" i="2"/>
  <c r="N78" i="2"/>
  <c r="K77" i="2"/>
  <c r="E76" i="2"/>
  <c r="K74" i="2"/>
  <c r="K73" i="2"/>
  <c r="Q71" i="2"/>
  <c r="Q70" i="2"/>
  <c r="H69" i="2"/>
  <c r="E68" i="2"/>
  <c r="K66" i="2"/>
  <c r="T65" i="2"/>
  <c r="E235" i="4"/>
  <c r="G234" i="4"/>
  <c r="I233" i="4"/>
  <c r="H232" i="4"/>
  <c r="H231" i="4"/>
  <c r="K230" i="4"/>
  <c r="H230" i="4"/>
  <c r="K229" i="4"/>
  <c r="C229" i="4"/>
  <c r="F228" i="4"/>
  <c r="F227" i="4"/>
  <c r="C226" i="4"/>
  <c r="E225" i="4"/>
  <c r="D224" i="4"/>
  <c r="I222" i="4"/>
  <c r="K221" i="4"/>
  <c r="C221" i="4"/>
  <c r="D220" i="4"/>
  <c r="G218" i="4"/>
  <c r="G217" i="4"/>
  <c r="E216" i="4"/>
  <c r="K88" i="2"/>
  <c r="K86" i="2"/>
  <c r="H85" i="2"/>
  <c r="E84" i="2"/>
  <c r="W82" i="2"/>
  <c r="W81" i="2"/>
  <c r="N80" i="2"/>
  <c r="Q78" i="2"/>
  <c r="Q77" i="2"/>
  <c r="W75" i="2"/>
  <c r="Q74" i="2"/>
  <c r="Q73" i="2"/>
  <c r="W71" i="2"/>
  <c r="T70" i="2"/>
  <c r="T68" i="2"/>
  <c r="K67" i="2"/>
  <c r="E66" i="2"/>
  <c r="F234" i="4"/>
  <c r="F233" i="4"/>
  <c r="J238" i="4"/>
  <c r="D238" i="4"/>
  <c r="G237" i="4"/>
  <c r="J236" i="4"/>
  <c r="H235" i="4"/>
  <c r="I234" i="4"/>
  <c r="I239" i="4"/>
  <c r="K238" i="4"/>
  <c r="E238" i="4"/>
  <c r="I237" i="4"/>
  <c r="I236" i="4"/>
  <c r="I235" i="4"/>
  <c r="C235" i="4"/>
  <c r="H233" i="4"/>
  <c r="G232" i="4"/>
  <c r="G231" i="4"/>
  <c r="C239" i="4"/>
  <c r="F238" i="4"/>
  <c r="H237" i="4"/>
  <c r="H236" i="4"/>
  <c r="K235" i="4"/>
  <c r="D235" i="4"/>
  <c r="D234" i="4"/>
  <c r="K232" i="4"/>
  <c r="F232" i="4"/>
  <c r="F231" i="4"/>
  <c r="C234" i="4"/>
  <c r="H239" i="4"/>
  <c r="H238" i="4"/>
  <c r="K237" i="4"/>
  <c r="F237" i="4"/>
  <c r="F236" i="4"/>
  <c r="J235" i="4"/>
  <c r="J234" i="4"/>
  <c r="J233" i="4"/>
  <c r="E233" i="4"/>
  <c r="K231" i="4"/>
  <c r="I227" i="4"/>
  <c r="J225" i="4"/>
  <c r="J224" i="4"/>
  <c r="E224" i="4"/>
  <c r="H223" i="4"/>
  <c r="E222" i="4"/>
  <c r="E221" i="4"/>
  <c r="F219" i="4"/>
  <c r="F218" i="4"/>
  <c r="F217" i="4"/>
  <c r="F216" i="4"/>
  <c r="T87" i="2"/>
  <c r="N86" i="2"/>
  <c r="T84" i="2"/>
  <c r="N83" i="2"/>
  <c r="N82" i="2"/>
  <c r="H81" i="2"/>
  <c r="T79" i="2"/>
  <c r="W77" i="2"/>
  <c r="N76" i="2"/>
  <c r="E75" i="2"/>
  <c r="N73" i="2"/>
  <c r="K72" i="2"/>
  <c r="N70" i="2"/>
  <c r="E69" i="2"/>
  <c r="T67" i="2"/>
  <c r="Q65" i="2"/>
  <c r="E65" i="2"/>
  <c r="C233" i="4"/>
  <c r="I231" i="4"/>
  <c r="D232" i="4"/>
  <c r="D231" i="4"/>
  <c r="E72" i="2"/>
  <c r="W69" i="2"/>
  <c r="H68" i="2"/>
  <c r="N66" i="2"/>
  <c r="N65" i="2"/>
  <c r="D239" i="4"/>
  <c r="C238" i="4"/>
  <c r="D237" i="4"/>
  <c r="F222" i="4"/>
  <c r="I220" i="4"/>
  <c r="I219" i="4"/>
  <c r="C219" i="4"/>
  <c r="I217" i="4"/>
  <c r="G216" i="4"/>
  <c r="Q88" i="2"/>
  <c r="H87" i="2"/>
  <c r="H86" i="2"/>
  <c r="Q84" i="2"/>
  <c r="E83" i="2"/>
  <c r="K81" i="2"/>
  <c r="K80" i="2"/>
  <c r="H79" i="2"/>
  <c r="E78" i="2"/>
  <c r="W76" i="2"/>
  <c r="N75" i="2"/>
  <c r="N72" i="2"/>
  <c r="W70" i="2"/>
  <c r="Q69" i="2"/>
  <c r="W67" i="2"/>
  <c r="H66" i="2"/>
  <c r="K65" i="2"/>
  <c r="G236" i="4"/>
  <c r="G235" i="4"/>
  <c r="J239" i="4"/>
  <c r="E239" i="4"/>
  <c r="C237" i="4"/>
  <c r="D236" i="4"/>
  <c r="K239" i="4"/>
  <c r="F239" i="4"/>
  <c r="I238" i="4"/>
  <c r="J237" i="4"/>
  <c r="K236" i="4"/>
  <c r="E236" i="4"/>
  <c r="F235" i="4"/>
  <c r="H234" i="4"/>
  <c r="G233" i="4"/>
  <c r="J232" i="4"/>
  <c r="C232" i="4"/>
  <c r="E231" i="4"/>
  <c r="G230" i="4"/>
  <c r="D229" i="4"/>
  <c r="C228" i="4"/>
  <c r="K226" i="4"/>
  <c r="E226" i="4"/>
  <c r="C225" i="4"/>
  <c r="J223" i="4"/>
  <c r="C223" i="4"/>
  <c r="C222" i="4"/>
  <c r="G220" i="4"/>
  <c r="H219" i="4"/>
  <c r="H218" i="4"/>
  <c r="D217" i="4"/>
  <c r="N88" i="2"/>
  <c r="K87" i="2"/>
  <c r="W85" i="2"/>
  <c r="W84" i="2"/>
  <c r="T83" i="2"/>
  <c r="H82" i="2"/>
  <c r="E81" i="2"/>
  <c r="E79" i="2"/>
  <c r="H77" i="2"/>
  <c r="T75" i="2"/>
  <c r="H74" i="2"/>
  <c r="E73" i="2"/>
  <c r="T71" i="2"/>
  <c r="K70" i="2"/>
  <c r="N68" i="2"/>
  <c r="T66" i="2"/>
  <c r="D230" i="4"/>
  <c r="G229" i="4"/>
  <c r="H228" i="4"/>
  <c r="H227" i="4"/>
  <c r="I226" i="4"/>
  <c r="I225" i="4"/>
  <c r="H224" i="4"/>
  <c r="G223" i="4"/>
  <c r="G222" i="4"/>
  <c r="G221" i="4"/>
  <c r="F220" i="4"/>
  <c r="I218" i="4"/>
  <c r="J217" i="4"/>
  <c r="K216" i="4"/>
  <c r="C216" i="4"/>
  <c r="N87" i="2"/>
  <c r="Q85" i="2"/>
  <c r="W83" i="2"/>
  <c r="Q82" i="2"/>
  <c r="W80" i="2"/>
  <c r="N79" i="2"/>
  <c r="T77" i="2"/>
  <c r="K76" i="2"/>
  <c r="W74" i="2"/>
  <c r="W73" i="2"/>
  <c r="Q72" i="2"/>
  <c r="K71" i="2"/>
  <c r="H70" i="2"/>
  <c r="W68" i="2"/>
  <c r="N67" i="2"/>
  <c r="E230" i="4"/>
  <c r="H229" i="4"/>
  <c r="I228" i="4"/>
  <c r="J227" i="4"/>
  <c r="C227" i="4"/>
  <c r="H226" i="4"/>
  <c r="F225" i="4"/>
  <c r="K223" i="4"/>
  <c r="J222" i="4"/>
  <c r="D222" i="4"/>
  <c r="D221" i="4"/>
  <c r="C220" i="4"/>
  <c r="D219" i="4"/>
  <c r="K217" i="4"/>
  <c r="C217" i="4"/>
  <c r="E88" i="2"/>
  <c r="E87" i="2"/>
  <c r="N85" i="2"/>
  <c r="K83" i="2"/>
  <c r="E82" i="2"/>
  <c r="Q80" i="2"/>
  <c r="K79" i="2"/>
  <c r="H78" i="2"/>
  <c r="T76" i="2"/>
  <c r="H75" i="2"/>
  <c r="E74" i="2"/>
  <c r="T72" i="2"/>
  <c r="H71" i="2"/>
  <c r="T69" i="2"/>
  <c r="K68" i="2"/>
  <c r="E67" i="2"/>
  <c r="J230" i="4"/>
  <c r="C230" i="4"/>
  <c r="K228" i="4"/>
  <c r="G228" i="4"/>
  <c r="G227" i="4"/>
  <c r="G226" i="4"/>
  <c r="H225" i="4"/>
  <c r="G224" i="4"/>
  <c r="D223" i="4"/>
  <c r="I221" i="4"/>
  <c r="J220" i="4"/>
  <c r="E220" i="4"/>
  <c r="J218" i="4"/>
  <c r="H217" i="4"/>
  <c r="H216" i="4"/>
  <c r="W87" i="2"/>
  <c r="Q86" i="2"/>
  <c r="K85" i="2"/>
  <c r="H84" i="2"/>
  <c r="K82" i="2"/>
  <c r="T80" i="2"/>
  <c r="Q79" i="2"/>
  <c r="K78" i="2"/>
  <c r="Q76" i="2"/>
  <c r="K75" i="2"/>
  <c r="T73" i="2"/>
  <c r="H72" i="2"/>
  <c r="E70" i="2"/>
  <c r="Q68" i="2"/>
  <c r="W66" i="2"/>
  <c r="I230" i="4"/>
  <c r="J229" i="4"/>
  <c r="F229" i="4"/>
  <c r="D228" i="4"/>
  <c r="D227" i="4"/>
  <c r="F226" i="4"/>
  <c r="D225" i="4"/>
  <c r="C224" i="4"/>
  <c r="E223" i="4"/>
  <c r="H221" i="4"/>
  <c r="H220" i="4"/>
  <c r="G219" i="4"/>
  <c r="E218" i="4"/>
  <c r="E217" i="4"/>
  <c r="D216" i="4"/>
  <c r="H88" i="2"/>
  <c r="W86" i="2"/>
  <c r="T85" i="2"/>
  <c r="N84" i="2"/>
  <c r="H83" i="2"/>
  <c r="Q81" i="2"/>
  <c r="H80" i="2"/>
  <c r="W78" i="2"/>
  <c r="N77" i="2"/>
  <c r="H76" i="2"/>
  <c r="T74" i="2"/>
  <c r="H73" i="2"/>
  <c r="N71" i="2"/>
  <c r="N69" i="2"/>
  <c r="H67" i="2"/>
  <c r="F230" i="4"/>
  <c r="E229" i="4"/>
  <c r="E228" i="4"/>
  <c r="E227" i="4"/>
  <c r="D226" i="4"/>
  <c r="K224" i="4"/>
  <c r="F224" i="4"/>
  <c r="F223" i="4"/>
  <c r="J221" i="4"/>
  <c r="K220" i="4"/>
  <c r="K219" i="4"/>
  <c r="K218" i="4"/>
  <c r="D218" i="4"/>
  <c r="J216" i="4"/>
  <c r="W88" i="2"/>
  <c r="Q87" i="2"/>
  <c r="E86" i="2"/>
  <c r="K84" i="2"/>
  <c r="T82" i="2"/>
  <c r="N81" i="2"/>
  <c r="W79" i="2"/>
  <c r="T78" i="2"/>
  <c r="E77" i="2"/>
  <c r="Q75" i="2"/>
  <c r="N74" i="2"/>
  <c r="W72" i="2"/>
  <c r="E71" i="2"/>
  <c r="K69" i="2"/>
  <c r="Q67" i="2"/>
  <c r="Q66" i="2"/>
  <c r="W65" i="2"/>
  <c r="H65" i="2"/>
  <c r="U23" i="2"/>
  <c r="U20" i="2"/>
  <c r="AD1201" i="10"/>
  <c r="AP1201" i="10"/>
  <c r="AD1200" i="10"/>
  <c r="AP1200" i="10"/>
  <c r="AD1199" i="10"/>
  <c r="AP1199" i="10"/>
  <c r="AD1198" i="10"/>
  <c r="AP1198" i="10"/>
  <c r="AD1197" i="10"/>
  <c r="AP1197" i="10"/>
  <c r="AD1196" i="10"/>
  <c r="AP1196" i="10"/>
  <c r="AD1195" i="10"/>
  <c r="AP1195" i="10"/>
  <c r="AD1194" i="10"/>
  <c r="AP1194" i="10"/>
  <c r="AD1193" i="10"/>
  <c r="AP1193" i="10"/>
  <c r="AD1192" i="10"/>
  <c r="AP1192" i="10"/>
  <c r="AD1191" i="10"/>
  <c r="AP1191" i="10"/>
  <c r="AD1190" i="10"/>
  <c r="AP1190" i="10"/>
  <c r="AD1189" i="10"/>
  <c r="AP1189" i="10"/>
  <c r="AD1188" i="10"/>
  <c r="AP1188" i="10"/>
  <c r="AD1187" i="10"/>
  <c r="AP1187" i="10"/>
  <c r="AD1186" i="10"/>
  <c r="AP1186" i="10"/>
  <c r="AD1185" i="10"/>
  <c r="AP1185" i="10"/>
  <c r="AD1184" i="10"/>
  <c r="AP1184" i="10"/>
  <c r="AD1183" i="10"/>
  <c r="AP1183" i="10"/>
  <c r="AD1182" i="10"/>
  <c r="AP1182" i="10"/>
  <c r="AD1181" i="10"/>
  <c r="AP1181" i="10"/>
  <c r="AD1180" i="10"/>
  <c r="AP1180" i="10"/>
  <c r="AD1179" i="10"/>
  <c r="AP1179" i="10"/>
  <c r="AD1178" i="10"/>
  <c r="AP1178" i="10"/>
  <c r="AD1177" i="10"/>
  <c r="AP1177" i="10"/>
  <c r="AD1176" i="10"/>
  <c r="AP1176" i="10"/>
  <c r="AD1175" i="10"/>
  <c r="AP1175" i="10"/>
  <c r="AD1174" i="10"/>
  <c r="AP1174" i="10"/>
  <c r="AD1173" i="10"/>
  <c r="AP1173" i="10"/>
  <c r="AD1172" i="10"/>
  <c r="AP1172" i="10"/>
  <c r="AD1171" i="10"/>
  <c r="AP1171" i="10"/>
  <c r="AD1170" i="10"/>
  <c r="AP1170" i="10"/>
  <c r="AD1169" i="10"/>
  <c r="AP1169" i="10"/>
  <c r="AD1168" i="10"/>
  <c r="AP1168" i="10"/>
  <c r="AD1167" i="10"/>
  <c r="AP1167" i="10"/>
  <c r="AD1166" i="10"/>
  <c r="AP1166" i="10"/>
  <c r="AD1165" i="10"/>
  <c r="AP1165" i="10"/>
  <c r="AD1164" i="10"/>
  <c r="AP1164" i="10"/>
  <c r="AD1163" i="10"/>
  <c r="AP1163" i="10"/>
  <c r="AD1162" i="10"/>
  <c r="AP1162" i="10"/>
  <c r="AD1161" i="10"/>
  <c r="AP1161" i="10"/>
  <c r="AD1160" i="10"/>
  <c r="AP1160" i="10"/>
  <c r="AD1159" i="10"/>
  <c r="AP1159" i="10"/>
  <c r="AD1158" i="10"/>
  <c r="AP1158" i="10"/>
  <c r="AD1157" i="10"/>
  <c r="AP1157" i="10"/>
  <c r="AD1156" i="10"/>
  <c r="AP1156" i="10"/>
  <c r="AD1155" i="10"/>
  <c r="AP1155" i="10"/>
  <c r="AD1154" i="10"/>
  <c r="AP1154" i="10"/>
  <c r="AD1153" i="10"/>
  <c r="AP1153" i="10"/>
  <c r="AD1152" i="10"/>
  <c r="AP1152" i="10"/>
  <c r="AD1151" i="10"/>
  <c r="AP1151" i="10"/>
  <c r="AD1150" i="10"/>
  <c r="AP1150" i="10"/>
  <c r="AD1149" i="10"/>
  <c r="AP1149" i="10"/>
  <c r="AD1148" i="10"/>
  <c r="AP1148" i="10"/>
  <c r="AD1147" i="10"/>
  <c r="AP1147" i="10"/>
  <c r="AD1146" i="10"/>
  <c r="AP1146" i="10"/>
  <c r="AD1145" i="10"/>
  <c r="AP1145" i="10"/>
  <c r="AD1144" i="10"/>
  <c r="AP1144" i="10"/>
  <c r="AD1143" i="10"/>
  <c r="AP1143" i="10"/>
  <c r="AD1142" i="10"/>
  <c r="AP1142" i="10"/>
  <c r="AD1141" i="10"/>
  <c r="AP1141" i="10"/>
  <c r="AD1140" i="10"/>
  <c r="AP1140" i="10"/>
  <c r="AD1139" i="10"/>
  <c r="AP1139" i="10"/>
  <c r="AD1138" i="10"/>
  <c r="AP1138" i="10"/>
  <c r="AE1137" i="10"/>
  <c r="AG1137" i="10" s="1"/>
  <c r="AF1137" i="10"/>
  <c r="AH1137" i="10" s="1"/>
  <c r="AM1137" i="10"/>
  <c r="AD1136" i="10"/>
  <c r="AP1136" i="10"/>
  <c r="AD1135" i="10"/>
  <c r="AP1135" i="10"/>
  <c r="AD1134" i="10"/>
  <c r="AP1134" i="10"/>
  <c r="AD1133" i="10"/>
  <c r="AP1133" i="10"/>
  <c r="AD1132" i="10"/>
  <c r="AP1132" i="10"/>
  <c r="AD1131" i="10"/>
  <c r="AP1131" i="10"/>
  <c r="AP1130" i="10"/>
  <c r="AD1130" i="10"/>
  <c r="AP1129" i="10"/>
  <c r="AD1129" i="10"/>
  <c r="AP1128" i="10"/>
  <c r="AD1128" i="10"/>
  <c r="AP1127" i="10"/>
  <c r="AD1127" i="10"/>
  <c r="AD1126" i="10"/>
  <c r="AP1126" i="10"/>
  <c r="AD1125" i="10"/>
  <c r="AP1125" i="10"/>
  <c r="AP1124" i="10"/>
  <c r="AD1124" i="10"/>
  <c r="AD1123" i="10"/>
  <c r="AP1123" i="10"/>
  <c r="AD1122" i="10"/>
  <c r="AP1122" i="10"/>
  <c r="AD1121" i="10"/>
  <c r="AP1121" i="10"/>
  <c r="AD1120" i="10"/>
  <c r="AP1120" i="10"/>
  <c r="AD1119" i="10"/>
  <c r="AP1119" i="10"/>
  <c r="AD1118" i="10"/>
  <c r="AP1118" i="10"/>
  <c r="AP1117" i="10"/>
  <c r="AD1117" i="10"/>
  <c r="AD1116" i="10"/>
  <c r="AP1116" i="10"/>
  <c r="AD1115" i="10"/>
  <c r="AP1115" i="10"/>
  <c r="AD1114" i="10"/>
  <c r="AP1114" i="10"/>
  <c r="AP1113" i="10"/>
  <c r="AD1113" i="10"/>
  <c r="AD1112" i="10"/>
  <c r="AP1112" i="10"/>
  <c r="AD1111" i="10"/>
  <c r="AP1111" i="10"/>
  <c r="AD1110" i="10"/>
  <c r="AP1110" i="10"/>
  <c r="AD1109" i="10"/>
  <c r="AP1109" i="10"/>
  <c r="AD1108" i="10"/>
  <c r="AP1108" i="10"/>
  <c r="AP1107" i="10"/>
  <c r="AD1107" i="10"/>
  <c r="AP1106" i="10"/>
  <c r="AD1106" i="10"/>
  <c r="AD1105" i="10"/>
  <c r="AP1105" i="10"/>
  <c r="AP1104" i="10"/>
  <c r="AD1104" i="10"/>
  <c r="AD1103" i="10"/>
  <c r="AP1103" i="10"/>
  <c r="AD1102" i="10"/>
  <c r="AP1102" i="10"/>
  <c r="AD1101" i="10"/>
  <c r="AP1101" i="10"/>
  <c r="AD1100" i="10"/>
  <c r="AP1100" i="10"/>
  <c r="AP1099" i="10"/>
  <c r="AD1099" i="10"/>
  <c r="AD1098" i="10"/>
  <c r="AP1098" i="10"/>
  <c r="AD1097" i="10"/>
  <c r="AP1097" i="10"/>
  <c r="AD1096" i="10"/>
  <c r="AP1096" i="10"/>
  <c r="AD1095" i="10"/>
  <c r="AP1095" i="10"/>
  <c r="AD1094" i="10"/>
  <c r="AP1094" i="10"/>
  <c r="AD1093" i="10"/>
  <c r="AP1093" i="10"/>
  <c r="AD1092" i="10"/>
  <c r="AP1092" i="10"/>
  <c r="AD1091" i="10"/>
  <c r="AP1091" i="10"/>
  <c r="AP1090" i="10"/>
  <c r="AD1090" i="10"/>
  <c r="AP1089" i="10"/>
  <c r="AD1089" i="10"/>
  <c r="AP1088" i="10"/>
  <c r="AD1088" i="10"/>
  <c r="AD1087" i="10"/>
  <c r="AP1087" i="10"/>
  <c r="AD1086" i="10"/>
  <c r="AP1086" i="10"/>
  <c r="AD1085" i="10"/>
  <c r="AP1085" i="10"/>
  <c r="AD1084" i="10"/>
  <c r="AP1084" i="10"/>
  <c r="AD1083" i="10"/>
  <c r="AP1083" i="10"/>
  <c r="AD1082" i="10"/>
  <c r="AP1082" i="10"/>
  <c r="AD1081" i="10"/>
  <c r="AP1081" i="10"/>
  <c r="AD1080" i="10"/>
  <c r="AP1080" i="10"/>
  <c r="AP1079" i="10"/>
  <c r="AD1079" i="10"/>
  <c r="AD1078" i="10"/>
  <c r="AP1078" i="10"/>
  <c r="AD1077" i="10"/>
  <c r="AP1077" i="10"/>
  <c r="AD1076" i="10"/>
  <c r="AP1076" i="10"/>
  <c r="AP1075" i="10"/>
  <c r="AD1075" i="10"/>
  <c r="AD1074" i="10"/>
  <c r="AP1074" i="10"/>
  <c r="AD1073" i="10"/>
  <c r="AP1073" i="10"/>
  <c r="AD1072" i="10"/>
  <c r="AP1072" i="10"/>
  <c r="AD1071" i="10"/>
  <c r="AP1071" i="10"/>
  <c r="AD1070" i="10"/>
  <c r="AP1070" i="10"/>
  <c r="AD1069" i="10"/>
  <c r="AP1069" i="10"/>
  <c r="AD1068" i="10"/>
  <c r="AP1068" i="10"/>
  <c r="AD1067" i="10"/>
  <c r="AP1067" i="10"/>
  <c r="AD1066" i="10"/>
  <c r="AP1066" i="10"/>
  <c r="AD1065" i="10"/>
  <c r="AP1065" i="10"/>
  <c r="AD1064" i="10"/>
  <c r="AP1064" i="10"/>
  <c r="AD1063" i="10"/>
  <c r="AP1063" i="10"/>
  <c r="AD1062" i="10"/>
  <c r="AP1062" i="10"/>
  <c r="AD1061" i="10"/>
  <c r="AP1061" i="10"/>
  <c r="AD1060" i="10"/>
  <c r="AP1060" i="10"/>
  <c r="AD1059" i="10"/>
  <c r="AP1059" i="10"/>
  <c r="AD1058" i="10"/>
  <c r="AP1058" i="10"/>
  <c r="AD1057" i="10"/>
  <c r="AP1057" i="10"/>
  <c r="AD1056" i="10"/>
  <c r="AP1056" i="10"/>
  <c r="AD1055" i="10"/>
  <c r="AP1055" i="10"/>
  <c r="AD1054" i="10"/>
  <c r="AP1054" i="10"/>
  <c r="AD1053" i="10"/>
  <c r="AP1053" i="10"/>
  <c r="AD1052" i="10"/>
  <c r="AP1052" i="10"/>
  <c r="AD1051" i="10"/>
  <c r="AP1051" i="10"/>
  <c r="AD1050" i="10"/>
  <c r="AP1050" i="10"/>
  <c r="AD1049" i="10"/>
  <c r="AP1049" i="10"/>
  <c r="AD1048" i="10"/>
  <c r="AP1048" i="10"/>
  <c r="AD1047" i="10"/>
  <c r="AP1047" i="10"/>
  <c r="AD1046" i="10"/>
  <c r="AP1046" i="10"/>
  <c r="AD1045" i="10"/>
  <c r="AP1045" i="10"/>
  <c r="AD1044" i="10"/>
  <c r="AP1044" i="10"/>
  <c r="AD1043" i="10"/>
  <c r="AP1043" i="10"/>
  <c r="AD1042" i="10"/>
  <c r="AP1042" i="10"/>
  <c r="AD1041" i="10"/>
  <c r="AP1041" i="10"/>
  <c r="AD1040" i="10"/>
  <c r="AP1040" i="10"/>
  <c r="AD1039" i="10"/>
  <c r="AP1039" i="10"/>
  <c r="AD1038" i="10"/>
  <c r="AP1038" i="10"/>
  <c r="AD1037" i="10"/>
  <c r="AP1037" i="10"/>
  <c r="AD1036" i="10"/>
  <c r="AP1036" i="10"/>
  <c r="AD1035" i="10"/>
  <c r="AP1035" i="10"/>
  <c r="AD1034" i="10"/>
  <c r="AP1034" i="10"/>
  <c r="AD1033" i="10"/>
  <c r="AP1033" i="10"/>
  <c r="AD1032" i="10"/>
  <c r="AP1032" i="10"/>
  <c r="AD1031" i="10"/>
  <c r="AP1031" i="10"/>
  <c r="AD1030" i="10"/>
  <c r="AP1030" i="10"/>
  <c r="AD1029" i="10"/>
  <c r="AP1029" i="10"/>
  <c r="AD1028" i="10"/>
  <c r="AP1028" i="10"/>
  <c r="AD1027" i="10"/>
  <c r="AP1027" i="10"/>
  <c r="AD1026" i="10"/>
  <c r="AP1026" i="10"/>
  <c r="AD1025" i="10"/>
  <c r="AP1025" i="10"/>
  <c r="AD1024" i="10"/>
  <c r="AP1024" i="10"/>
  <c r="AD1023" i="10"/>
  <c r="AP1023" i="10"/>
  <c r="AD1022" i="10"/>
  <c r="AP1022" i="10"/>
  <c r="AD1021" i="10"/>
  <c r="AP1021" i="10"/>
  <c r="AD1020" i="10"/>
  <c r="AP1020" i="10"/>
  <c r="AD1019" i="10"/>
  <c r="AP1019" i="10"/>
  <c r="AD1018" i="10"/>
  <c r="AP1018" i="10"/>
  <c r="AD1017" i="10"/>
  <c r="AP1017" i="10"/>
  <c r="AD1016" i="10"/>
  <c r="AP1016" i="10"/>
  <c r="AD1015" i="10"/>
  <c r="AP1015" i="10"/>
  <c r="AD1014" i="10"/>
  <c r="AP1014" i="10"/>
  <c r="AD1013" i="10"/>
  <c r="AP1013" i="10"/>
  <c r="AD1012" i="10"/>
  <c r="AP1012" i="10"/>
  <c r="AD1011" i="10"/>
  <c r="AP1011" i="10"/>
  <c r="AD1010" i="10"/>
  <c r="AP1010" i="10"/>
  <c r="AD1009" i="10"/>
  <c r="AP1009" i="10"/>
  <c r="AD1008" i="10"/>
  <c r="AP1008" i="10"/>
  <c r="AD1007" i="10"/>
  <c r="AP1007" i="10"/>
  <c r="AD1006" i="10"/>
  <c r="AP1006" i="10"/>
  <c r="AD1005" i="10"/>
  <c r="AP1005" i="10"/>
  <c r="AD1004" i="10"/>
  <c r="AP1004" i="10"/>
  <c r="AD1003" i="10"/>
  <c r="AP1003" i="10"/>
  <c r="AD1002" i="10"/>
  <c r="AP1002" i="10"/>
  <c r="AD1001" i="10"/>
  <c r="AP1001" i="10"/>
  <c r="AD1000" i="10"/>
  <c r="AP1000" i="10"/>
  <c r="AD999" i="10"/>
  <c r="AP999" i="10"/>
  <c r="AD998" i="10"/>
  <c r="AP998" i="10"/>
  <c r="AD997" i="10"/>
  <c r="AP997" i="10"/>
  <c r="AD996" i="10"/>
  <c r="AP996" i="10"/>
  <c r="AD995" i="10"/>
  <c r="AP995" i="10"/>
  <c r="AD994" i="10"/>
  <c r="AP994" i="10"/>
  <c r="AD993" i="10"/>
  <c r="AP993" i="10"/>
  <c r="AD992" i="10"/>
  <c r="AP992" i="10"/>
  <c r="AD991" i="10"/>
  <c r="AP991" i="10"/>
  <c r="AD990" i="10"/>
  <c r="AP990" i="10"/>
  <c r="AD989" i="10"/>
  <c r="AP989" i="10"/>
  <c r="AD988" i="10"/>
  <c r="AP988" i="10"/>
  <c r="AD987" i="10"/>
  <c r="AP987" i="10"/>
  <c r="AD986" i="10"/>
  <c r="AP986" i="10"/>
  <c r="AD985" i="10"/>
  <c r="AP985" i="10"/>
  <c r="AD984" i="10"/>
  <c r="AP984" i="10"/>
  <c r="AD983" i="10"/>
  <c r="AP983" i="10"/>
  <c r="AD982" i="10"/>
  <c r="AP982" i="10"/>
  <c r="AD981" i="10"/>
  <c r="AP981" i="10"/>
  <c r="AD980" i="10"/>
  <c r="AP980" i="10"/>
  <c r="AD979" i="10"/>
  <c r="AP979" i="10"/>
  <c r="AD978" i="10"/>
  <c r="AP978" i="10"/>
  <c r="AD977" i="10"/>
  <c r="AP977" i="10"/>
  <c r="AD976" i="10"/>
  <c r="AP976" i="10"/>
  <c r="AD975" i="10"/>
  <c r="AP975" i="10"/>
  <c r="AD974" i="10"/>
  <c r="AP974" i="10"/>
  <c r="AD973" i="10"/>
  <c r="AP973" i="10"/>
  <c r="AD972" i="10"/>
  <c r="AP972" i="10"/>
  <c r="AD971" i="10"/>
  <c r="AP971" i="10"/>
  <c r="AD970" i="10"/>
  <c r="AP970" i="10"/>
  <c r="AD969" i="10"/>
  <c r="AP969" i="10"/>
  <c r="AD968" i="10"/>
  <c r="AP968" i="10"/>
  <c r="AD967" i="10"/>
  <c r="AP967" i="10"/>
  <c r="AD966" i="10"/>
  <c r="AP966" i="10"/>
  <c r="AD965" i="10"/>
  <c r="AP965" i="10"/>
  <c r="AD964" i="10"/>
  <c r="AP964" i="10"/>
  <c r="AP963" i="10"/>
  <c r="AD963" i="10"/>
  <c r="AP962" i="10"/>
  <c r="AD962" i="10"/>
  <c r="AD961" i="10"/>
  <c r="AP961" i="10"/>
  <c r="AP960" i="10"/>
  <c r="AD960" i="10"/>
  <c r="AP959" i="10"/>
  <c r="AD959" i="10"/>
  <c r="AP958" i="10"/>
  <c r="AD958" i="10"/>
  <c r="AP957" i="10"/>
  <c r="AD957" i="10"/>
  <c r="AD956" i="10"/>
  <c r="AP956" i="10"/>
  <c r="AP955" i="10"/>
  <c r="AD955" i="10"/>
  <c r="AP954" i="10"/>
  <c r="AD954" i="10"/>
  <c r="AP953" i="10"/>
  <c r="AD953" i="10"/>
  <c r="AD952" i="10"/>
  <c r="AP952" i="10"/>
  <c r="AP951" i="10"/>
  <c r="AD951" i="10"/>
  <c r="AP950" i="10"/>
  <c r="AD950" i="10"/>
  <c r="AD949" i="10"/>
  <c r="AP949" i="10"/>
  <c r="AP948" i="10"/>
  <c r="AD948" i="10"/>
  <c r="AD947" i="10"/>
  <c r="AP947" i="10"/>
  <c r="AD946" i="10"/>
  <c r="AP946" i="10"/>
  <c r="AD945" i="10"/>
  <c r="AP945" i="10"/>
  <c r="AP944" i="10"/>
  <c r="AD944" i="10"/>
  <c r="AE943" i="10"/>
  <c r="AG943" i="10" s="1"/>
  <c r="AF943" i="10"/>
  <c r="AH943" i="10" s="1"/>
  <c r="AM943" i="10"/>
  <c r="AD942" i="10"/>
  <c r="AP942" i="10"/>
  <c r="AD941" i="10"/>
  <c r="AP941" i="10"/>
  <c r="AD940" i="10"/>
  <c r="AP940" i="10"/>
  <c r="AD939" i="10"/>
  <c r="AP939" i="10"/>
  <c r="AD938" i="10"/>
  <c r="AP938" i="10"/>
  <c r="AD937" i="10"/>
  <c r="AP937" i="10"/>
  <c r="AD936" i="10"/>
  <c r="AP936" i="10"/>
  <c r="AD935" i="10"/>
  <c r="AP935" i="10"/>
  <c r="AD934" i="10"/>
  <c r="AP934" i="10"/>
  <c r="AD933" i="10"/>
  <c r="AP933" i="10"/>
  <c r="AD932" i="10"/>
  <c r="AP932" i="10"/>
  <c r="AD931" i="10"/>
  <c r="AP931" i="10"/>
  <c r="AD930" i="10"/>
  <c r="AP930" i="10"/>
  <c r="AD929" i="10"/>
  <c r="AP929" i="10"/>
  <c r="AD928" i="10"/>
  <c r="AP928" i="10"/>
  <c r="AD927" i="10"/>
  <c r="AP927" i="10"/>
  <c r="AD926" i="10"/>
  <c r="AP926" i="10"/>
  <c r="AD925" i="10"/>
  <c r="AP925" i="10"/>
  <c r="AD924" i="10"/>
  <c r="AP924" i="10"/>
  <c r="AD923" i="10"/>
  <c r="AP923" i="10"/>
  <c r="AD922" i="10"/>
  <c r="AP922" i="10"/>
  <c r="AD921" i="10"/>
  <c r="AP921" i="10"/>
  <c r="AD920" i="10"/>
  <c r="AP920" i="10"/>
  <c r="AD919" i="10"/>
  <c r="AP919" i="10"/>
  <c r="AD918" i="10"/>
  <c r="AP918" i="10"/>
  <c r="AD917" i="10"/>
  <c r="AP917" i="10"/>
  <c r="AD916" i="10"/>
  <c r="AP916" i="10"/>
  <c r="AD915" i="10"/>
  <c r="AP915" i="10"/>
  <c r="AD914" i="10"/>
  <c r="AP914" i="10"/>
  <c r="AD913" i="10"/>
  <c r="AP913" i="10"/>
  <c r="AD912" i="10"/>
  <c r="AP912" i="10"/>
  <c r="AD911" i="10"/>
  <c r="AP911" i="10"/>
  <c r="AD910" i="10"/>
  <c r="AP910" i="10"/>
  <c r="AD909" i="10"/>
  <c r="AP909" i="10"/>
  <c r="AD908" i="10"/>
  <c r="AP908" i="10"/>
  <c r="AD907" i="10"/>
  <c r="AP907" i="10"/>
  <c r="AD906" i="10"/>
  <c r="AP906" i="10"/>
  <c r="AD905" i="10"/>
  <c r="AP905" i="10"/>
  <c r="AD904" i="10"/>
  <c r="AP904" i="10"/>
  <c r="AD903" i="10"/>
  <c r="AP903" i="10"/>
  <c r="AD902" i="10"/>
  <c r="AP902" i="10"/>
  <c r="AD901" i="10"/>
  <c r="AP901" i="10"/>
  <c r="AD900" i="10"/>
  <c r="AP900" i="10"/>
  <c r="AD899" i="10"/>
  <c r="AP899" i="10"/>
  <c r="AD898" i="10"/>
  <c r="AP898" i="10"/>
  <c r="AD897" i="10"/>
  <c r="AP897" i="10"/>
  <c r="AD896" i="10"/>
  <c r="AP896" i="10"/>
  <c r="AD895" i="10"/>
  <c r="AP895" i="10"/>
  <c r="AD894" i="10"/>
  <c r="AP894" i="10"/>
  <c r="AD893" i="10"/>
  <c r="AP893" i="10"/>
  <c r="AD892" i="10"/>
  <c r="AP892" i="10"/>
  <c r="AD891" i="10"/>
  <c r="AP891" i="10"/>
  <c r="AD890" i="10"/>
  <c r="AP890" i="10"/>
  <c r="AD889" i="10"/>
  <c r="AP889" i="10"/>
  <c r="AD888" i="10"/>
  <c r="AP888" i="10"/>
  <c r="AD887" i="10"/>
  <c r="AP887" i="10"/>
  <c r="AD886" i="10"/>
  <c r="AP886" i="10"/>
  <c r="AD885" i="10"/>
  <c r="AP885" i="10"/>
  <c r="AD884" i="10"/>
  <c r="AP884" i="10"/>
  <c r="AD883" i="10"/>
  <c r="AP883" i="10"/>
  <c r="AD882" i="10"/>
  <c r="AP882" i="10"/>
  <c r="AD881" i="10"/>
  <c r="AP881" i="10"/>
  <c r="AD880" i="10"/>
  <c r="AP880" i="10"/>
  <c r="AD879" i="10"/>
  <c r="AP879" i="10"/>
  <c r="AE878" i="10"/>
  <c r="AG878" i="10" s="1"/>
  <c r="AF878" i="10"/>
  <c r="AH878" i="10" s="1"/>
  <c r="AM878" i="10"/>
  <c r="AD877" i="10"/>
  <c r="AP877" i="10"/>
  <c r="AD876" i="10"/>
  <c r="AP876" i="10"/>
  <c r="AD875" i="10"/>
  <c r="AP875" i="10"/>
  <c r="AD874" i="10"/>
  <c r="AP874" i="10"/>
  <c r="AD873" i="10"/>
  <c r="AP873" i="10"/>
  <c r="AD872" i="10"/>
  <c r="AP872" i="10"/>
  <c r="AD871" i="10"/>
  <c r="AP871" i="10"/>
  <c r="AD870" i="10"/>
  <c r="AP870" i="10"/>
  <c r="AD869" i="10"/>
  <c r="AP869" i="10"/>
  <c r="AD868" i="10"/>
  <c r="AP868" i="10"/>
  <c r="AD867" i="10"/>
  <c r="AP867" i="10"/>
  <c r="AD866" i="10"/>
  <c r="AP866" i="10"/>
  <c r="AD865" i="10"/>
  <c r="AP865" i="10"/>
  <c r="AD864" i="10"/>
  <c r="AP864" i="10"/>
  <c r="AD863" i="10"/>
  <c r="AP863" i="10"/>
  <c r="AD862" i="10"/>
  <c r="AP862" i="10"/>
  <c r="AD861" i="10"/>
  <c r="AP861" i="10"/>
  <c r="AD860" i="10"/>
  <c r="AP860" i="10"/>
  <c r="AD859" i="10"/>
  <c r="AP859" i="10"/>
  <c r="AD858" i="10"/>
  <c r="AP858" i="10"/>
  <c r="AD857" i="10"/>
  <c r="AP857" i="10"/>
  <c r="AD856" i="10"/>
  <c r="AP856" i="10"/>
  <c r="AD855" i="10"/>
  <c r="AP855" i="10"/>
  <c r="AD854" i="10"/>
  <c r="AP854" i="10"/>
  <c r="AD853" i="10"/>
  <c r="AP853" i="10"/>
  <c r="AD852" i="10"/>
  <c r="AP852" i="10"/>
  <c r="AD851" i="10"/>
  <c r="AP851" i="10"/>
  <c r="AD850" i="10"/>
  <c r="AP850" i="10"/>
  <c r="AD849" i="10"/>
  <c r="AP849" i="10"/>
  <c r="AD848" i="10"/>
  <c r="AP848" i="10"/>
  <c r="AD847" i="10"/>
  <c r="AP847" i="10"/>
  <c r="AD846" i="10"/>
  <c r="AP846" i="10"/>
  <c r="AD845" i="10"/>
  <c r="AP845" i="10"/>
  <c r="AD844" i="10"/>
  <c r="AP844" i="10"/>
  <c r="AD843" i="10"/>
  <c r="AP843" i="10"/>
  <c r="AD842" i="10"/>
  <c r="AP842" i="10"/>
  <c r="AD841" i="10"/>
  <c r="AP841" i="10"/>
  <c r="AD840" i="10"/>
  <c r="AP840" i="10"/>
  <c r="AD839" i="10"/>
  <c r="AP839" i="10"/>
  <c r="AD838" i="10"/>
  <c r="AP838" i="10"/>
  <c r="AD837" i="10"/>
  <c r="AP837" i="10"/>
  <c r="AD836" i="10"/>
  <c r="AP836" i="10"/>
  <c r="AD835" i="10"/>
  <c r="AP835" i="10"/>
  <c r="AP834" i="10"/>
  <c r="AD834" i="10"/>
  <c r="AP833" i="10"/>
  <c r="AD833" i="10"/>
  <c r="AD832" i="10"/>
  <c r="AP832" i="10"/>
  <c r="AD831" i="10"/>
  <c r="AP831" i="10"/>
  <c r="AP830" i="10"/>
  <c r="AD830" i="10"/>
  <c r="AP829" i="10"/>
  <c r="AD829" i="10"/>
  <c r="AP828" i="10"/>
  <c r="AD828" i="10"/>
  <c r="AP827" i="10"/>
  <c r="AD827" i="10"/>
  <c r="AP826" i="10"/>
  <c r="AD826" i="10"/>
  <c r="AD825" i="10"/>
  <c r="AP825" i="10"/>
  <c r="AD824" i="10"/>
  <c r="AP824" i="10"/>
  <c r="AD823" i="10"/>
  <c r="AP823" i="10"/>
  <c r="AP822" i="10"/>
  <c r="AD822" i="10"/>
  <c r="AP821" i="10"/>
  <c r="AD821" i="10"/>
  <c r="AD820" i="10"/>
  <c r="AP820" i="10"/>
  <c r="AP819" i="10"/>
  <c r="AD819" i="10"/>
  <c r="AP818" i="10"/>
  <c r="AD818" i="10"/>
  <c r="AD817" i="10"/>
  <c r="AP817" i="10"/>
  <c r="AD816" i="10"/>
  <c r="AP816" i="10"/>
  <c r="AP815" i="10"/>
  <c r="AD815" i="10"/>
  <c r="AD814" i="10"/>
  <c r="AP814" i="10"/>
  <c r="AD813" i="10"/>
  <c r="AP813" i="10"/>
  <c r="AD812" i="10"/>
  <c r="AP812" i="10"/>
  <c r="AD811" i="10"/>
  <c r="AP811" i="10"/>
  <c r="AD810" i="10"/>
  <c r="AP810" i="10"/>
  <c r="AD809" i="10"/>
  <c r="AP809" i="10"/>
  <c r="AD808" i="10"/>
  <c r="AP808" i="10"/>
  <c r="AD807" i="10"/>
  <c r="AP807" i="10"/>
  <c r="AD806" i="10"/>
  <c r="AP806" i="10"/>
  <c r="AD805" i="10"/>
  <c r="AP805" i="10"/>
  <c r="AD804" i="10"/>
  <c r="AP804" i="10"/>
  <c r="AD803" i="10"/>
  <c r="AP803" i="10"/>
  <c r="AD802" i="10"/>
  <c r="AP802" i="10"/>
  <c r="AD801" i="10"/>
  <c r="AP801" i="10"/>
  <c r="AD800" i="10"/>
  <c r="AP800" i="10"/>
  <c r="AD799" i="10"/>
  <c r="AP799" i="10"/>
  <c r="AD798" i="10"/>
  <c r="AP798" i="10"/>
  <c r="AD797" i="10"/>
  <c r="AP797" i="10"/>
  <c r="AD796" i="10"/>
  <c r="AP796" i="10"/>
  <c r="AD795" i="10"/>
  <c r="AP795" i="10"/>
  <c r="AD794" i="10"/>
  <c r="AP794" i="10"/>
  <c r="AD793" i="10"/>
  <c r="AP793" i="10"/>
  <c r="AD792" i="10"/>
  <c r="AP792" i="10"/>
  <c r="AD791" i="10"/>
  <c r="AP791" i="10"/>
  <c r="AD790" i="10"/>
  <c r="AP790" i="10"/>
  <c r="AD789" i="10"/>
  <c r="AP789" i="10"/>
  <c r="AD788" i="10"/>
  <c r="AP788" i="10"/>
  <c r="AD787" i="10"/>
  <c r="AP787" i="10"/>
  <c r="AD786" i="10"/>
  <c r="AP786" i="10"/>
  <c r="AD785" i="10"/>
  <c r="AP785" i="10"/>
  <c r="AD784" i="10"/>
  <c r="AP784" i="10"/>
  <c r="AD783" i="10"/>
  <c r="AP783" i="10"/>
  <c r="AD782" i="10"/>
  <c r="AP782" i="10"/>
  <c r="AD781" i="10"/>
  <c r="AP781" i="10"/>
  <c r="AD780" i="10"/>
  <c r="AP780" i="10"/>
  <c r="AD779" i="10"/>
  <c r="AP779" i="10"/>
  <c r="AD778" i="10"/>
  <c r="AP778" i="10"/>
  <c r="AD777" i="10"/>
  <c r="AP777" i="10"/>
  <c r="AD776" i="10"/>
  <c r="AP776" i="10"/>
  <c r="AD775" i="10"/>
  <c r="AP775" i="10"/>
  <c r="AD774" i="10"/>
  <c r="AP774" i="10"/>
  <c r="AD773" i="10"/>
  <c r="AP773" i="10"/>
  <c r="AD772" i="10"/>
  <c r="AP772" i="10"/>
  <c r="AD771" i="10"/>
  <c r="AP771" i="10"/>
  <c r="AD770" i="10"/>
  <c r="AP770" i="10"/>
  <c r="AD769" i="10"/>
  <c r="AP769" i="10"/>
  <c r="AD768" i="10"/>
  <c r="AP768" i="10"/>
  <c r="AD767" i="10"/>
  <c r="AP767" i="10"/>
  <c r="AD766" i="10"/>
  <c r="AP766" i="10"/>
  <c r="AD765" i="10"/>
  <c r="AP765" i="10"/>
  <c r="AD764" i="10"/>
  <c r="AP764" i="10"/>
  <c r="AD763" i="10"/>
  <c r="AP763" i="10"/>
  <c r="AD762" i="10"/>
  <c r="AP762" i="10"/>
  <c r="AD761" i="10"/>
  <c r="AP761" i="10"/>
  <c r="AD760" i="10"/>
  <c r="AP760" i="10"/>
  <c r="AD759" i="10"/>
  <c r="AP759" i="10"/>
  <c r="AD758" i="10"/>
  <c r="AP758" i="10"/>
  <c r="AD757" i="10"/>
  <c r="AP757" i="10"/>
  <c r="AD756" i="10"/>
  <c r="AP756" i="10"/>
  <c r="AD755" i="10"/>
  <c r="AP755" i="10"/>
  <c r="AD754" i="10"/>
  <c r="AP754" i="10"/>
  <c r="AD753" i="10"/>
  <c r="AP753" i="10"/>
  <c r="AD752" i="10"/>
  <c r="AP752" i="10"/>
  <c r="AD751" i="10"/>
  <c r="AP751" i="10"/>
  <c r="AD750" i="10"/>
  <c r="AP750" i="10"/>
  <c r="AE749" i="10"/>
  <c r="AG749" i="10" s="1"/>
  <c r="AF749" i="10"/>
  <c r="AH749" i="10" s="1"/>
  <c r="AM749" i="10"/>
  <c r="AD748" i="10"/>
  <c r="AP748" i="10"/>
  <c r="AD747" i="10"/>
  <c r="AP747" i="10"/>
  <c r="AD746" i="10"/>
  <c r="AP746" i="10"/>
  <c r="AD745" i="10"/>
  <c r="AP745" i="10"/>
  <c r="AD744" i="10"/>
  <c r="AP744" i="10"/>
  <c r="AD743" i="10"/>
  <c r="AP743" i="10"/>
  <c r="AD742" i="10"/>
  <c r="AP742" i="10"/>
  <c r="AD741" i="10"/>
  <c r="AP741" i="10"/>
  <c r="AD740" i="10"/>
  <c r="AP740" i="10"/>
  <c r="AD739" i="10"/>
  <c r="AP739" i="10"/>
  <c r="AD738" i="10"/>
  <c r="AP738" i="10"/>
  <c r="AD737" i="10"/>
  <c r="AP737" i="10"/>
  <c r="AD736" i="10"/>
  <c r="AP736" i="10"/>
  <c r="AD735" i="10"/>
  <c r="AP735" i="10"/>
  <c r="AD734" i="10"/>
  <c r="AP734" i="10"/>
  <c r="AD733" i="10"/>
  <c r="AP733" i="10"/>
  <c r="AD732" i="10"/>
  <c r="AP732" i="10"/>
  <c r="AD731" i="10"/>
  <c r="AP731" i="10"/>
  <c r="AD730" i="10"/>
  <c r="AP730" i="10"/>
  <c r="AD729" i="10"/>
  <c r="AP729" i="10"/>
  <c r="AD728" i="10"/>
  <c r="AP728" i="10"/>
  <c r="AD727" i="10"/>
  <c r="AP727" i="10"/>
  <c r="AD726" i="10"/>
  <c r="AP726" i="10"/>
  <c r="AD725" i="10"/>
  <c r="AP725" i="10"/>
  <c r="AD724" i="10"/>
  <c r="AP724" i="10"/>
  <c r="AD723" i="10"/>
  <c r="AP723" i="10"/>
  <c r="AD722" i="10"/>
  <c r="AP722" i="10"/>
  <c r="AD721" i="10"/>
  <c r="AP721" i="10"/>
  <c r="AD720" i="10"/>
  <c r="AP720" i="10"/>
  <c r="AD719" i="10"/>
  <c r="AP719" i="10"/>
  <c r="AD718" i="10"/>
  <c r="AP718" i="10"/>
  <c r="AD717" i="10"/>
  <c r="AP717" i="10"/>
  <c r="AD716" i="10"/>
  <c r="AP716" i="10"/>
  <c r="AD715" i="10"/>
  <c r="AP715" i="10"/>
  <c r="AD714" i="10"/>
  <c r="AP714" i="10"/>
  <c r="AD713" i="10"/>
  <c r="AP713" i="10"/>
  <c r="AD712" i="10"/>
  <c r="AP712" i="10"/>
  <c r="AD711" i="10"/>
  <c r="AP711" i="10"/>
  <c r="AD710" i="10"/>
  <c r="AP710" i="10"/>
  <c r="AD709" i="10"/>
  <c r="AP709" i="10"/>
  <c r="AD708" i="10"/>
  <c r="AP708" i="10"/>
  <c r="AD707" i="10"/>
  <c r="AP707" i="10"/>
  <c r="AD706" i="10"/>
  <c r="AP706" i="10"/>
  <c r="AD705" i="10"/>
  <c r="AP705" i="10"/>
  <c r="AD704" i="10"/>
  <c r="AP704" i="10"/>
  <c r="AD703" i="10"/>
  <c r="AP703" i="10"/>
  <c r="AD702" i="10"/>
  <c r="AP702" i="10"/>
  <c r="AD701" i="10"/>
  <c r="AP701" i="10"/>
  <c r="AD700" i="10"/>
  <c r="AP700" i="10"/>
  <c r="AD699" i="10"/>
  <c r="AP699" i="10"/>
  <c r="AD698" i="10"/>
  <c r="AP698" i="10"/>
  <c r="AD697" i="10"/>
  <c r="AP697" i="10"/>
  <c r="AD696" i="10"/>
  <c r="AP696" i="10"/>
  <c r="AD695" i="10"/>
  <c r="AP695" i="10"/>
  <c r="AD694" i="10"/>
  <c r="AP694" i="10"/>
  <c r="AD693" i="10"/>
  <c r="AP693" i="10"/>
  <c r="AD692" i="10"/>
  <c r="AP692" i="10"/>
  <c r="AD691" i="10"/>
  <c r="AP691" i="10"/>
  <c r="AD690" i="10"/>
  <c r="AP690" i="10"/>
  <c r="AD689" i="10"/>
  <c r="AP689" i="10"/>
  <c r="AP688" i="10"/>
  <c r="AD688" i="10"/>
  <c r="AP687" i="10"/>
  <c r="AD687" i="10"/>
  <c r="AP686" i="10"/>
  <c r="AD686" i="10"/>
  <c r="AD685" i="10"/>
  <c r="AP685" i="10"/>
  <c r="AF684" i="10"/>
  <c r="AH684" i="10" s="1"/>
  <c r="AE684" i="10"/>
  <c r="AG684" i="10" s="1"/>
  <c r="AM684" i="10"/>
  <c r="AD683" i="10"/>
  <c r="AP683" i="10"/>
  <c r="AD682" i="10"/>
  <c r="AP682" i="10"/>
  <c r="AD681" i="10"/>
  <c r="AP681" i="10"/>
  <c r="AD680" i="10"/>
  <c r="AP680" i="10"/>
  <c r="AD679" i="10"/>
  <c r="AP679" i="10"/>
  <c r="AD678" i="10"/>
  <c r="AP678" i="10"/>
  <c r="AD677" i="10"/>
  <c r="AP677" i="10"/>
  <c r="AD676" i="10"/>
  <c r="AP676" i="10"/>
  <c r="AD675" i="10"/>
  <c r="AP675" i="10"/>
  <c r="AD674" i="10"/>
  <c r="AP674" i="10"/>
  <c r="AD673" i="10"/>
  <c r="AP673" i="10"/>
  <c r="AD672" i="10"/>
  <c r="AP672" i="10"/>
  <c r="AD671" i="10"/>
  <c r="AP671" i="10"/>
  <c r="AD670" i="10"/>
  <c r="AP670" i="10"/>
  <c r="AD669" i="10"/>
  <c r="AP669" i="10"/>
  <c r="AD668" i="10"/>
  <c r="AP668" i="10"/>
  <c r="AD667" i="10"/>
  <c r="AP667" i="10"/>
  <c r="AD666" i="10"/>
  <c r="AP666" i="10"/>
  <c r="AD665" i="10"/>
  <c r="AP665" i="10"/>
  <c r="AD664" i="10"/>
  <c r="AP664" i="10"/>
  <c r="AD663" i="10"/>
  <c r="AP663" i="10"/>
  <c r="AD662" i="10"/>
  <c r="AP662" i="10"/>
  <c r="AD661" i="10"/>
  <c r="AP661" i="10"/>
  <c r="AD660" i="10"/>
  <c r="AP660" i="10"/>
  <c r="AD659" i="10"/>
  <c r="AP659" i="10"/>
  <c r="AD658" i="10"/>
  <c r="AP658" i="10"/>
  <c r="AD657" i="10"/>
  <c r="AP657" i="10"/>
  <c r="AD656" i="10"/>
  <c r="AP656" i="10"/>
  <c r="AD655" i="10"/>
  <c r="AP655" i="10"/>
  <c r="AD654" i="10"/>
  <c r="AP654" i="10"/>
  <c r="AD653" i="10"/>
  <c r="AP653" i="10"/>
  <c r="AD652" i="10"/>
  <c r="AP652" i="10"/>
  <c r="AD651" i="10"/>
  <c r="AP651" i="10"/>
  <c r="AD650" i="10"/>
  <c r="AP650" i="10"/>
  <c r="AD649" i="10"/>
  <c r="AP649" i="10"/>
  <c r="AD648" i="10"/>
  <c r="AP648" i="10"/>
  <c r="AD647" i="10"/>
  <c r="AP647" i="10"/>
  <c r="AD646" i="10"/>
  <c r="AP646" i="10"/>
  <c r="AD645" i="10"/>
  <c r="AP645" i="10"/>
  <c r="AD644" i="10"/>
  <c r="AP644" i="10"/>
  <c r="AD643" i="10"/>
  <c r="AP643" i="10"/>
  <c r="AD642" i="10"/>
  <c r="AP642" i="10"/>
  <c r="AD641" i="10"/>
  <c r="AP641" i="10"/>
  <c r="AD640" i="10"/>
  <c r="AP640" i="10"/>
  <c r="AD639" i="10"/>
  <c r="AP639" i="10"/>
  <c r="AD638" i="10"/>
  <c r="AP638" i="10"/>
  <c r="AD637" i="10"/>
  <c r="AP637" i="10"/>
  <c r="AD636" i="10"/>
  <c r="AP636" i="10"/>
  <c r="AD635" i="10"/>
  <c r="AP635" i="10"/>
  <c r="AD634" i="10"/>
  <c r="AP634" i="10"/>
  <c r="AD633" i="10"/>
  <c r="AP633" i="10"/>
  <c r="AD632" i="10"/>
  <c r="AP632" i="10"/>
  <c r="AD631" i="10"/>
  <c r="AP631" i="10"/>
  <c r="AD630" i="10"/>
  <c r="AP630" i="10"/>
  <c r="AD629" i="10"/>
  <c r="AP629" i="10"/>
  <c r="AD628" i="10"/>
  <c r="AP628" i="10"/>
  <c r="AD627" i="10"/>
  <c r="AP627" i="10"/>
  <c r="AD626" i="10"/>
  <c r="AP626" i="10"/>
  <c r="AD625" i="10"/>
  <c r="AP625" i="10"/>
  <c r="AD624" i="10"/>
  <c r="AP624" i="10"/>
  <c r="AD623" i="10"/>
  <c r="AP623" i="10"/>
  <c r="AD622" i="10"/>
  <c r="AP622" i="10"/>
  <c r="AD621" i="10"/>
  <c r="AP621" i="10"/>
  <c r="AD620" i="10"/>
  <c r="AP620" i="10"/>
  <c r="AD619" i="10"/>
  <c r="AP619" i="10"/>
  <c r="AD618" i="10"/>
  <c r="AP618" i="10"/>
  <c r="AD617" i="10"/>
  <c r="AP617" i="10"/>
  <c r="AD616" i="10"/>
  <c r="AP616" i="10"/>
  <c r="AD615" i="10"/>
  <c r="AP615" i="10"/>
  <c r="AD614" i="10"/>
  <c r="AP614" i="10"/>
  <c r="AD613" i="10"/>
  <c r="AP613" i="10"/>
  <c r="AD612" i="10"/>
  <c r="AP612" i="10"/>
  <c r="AD611" i="10"/>
  <c r="AP611" i="10"/>
  <c r="AD610" i="10"/>
  <c r="AP610" i="10"/>
  <c r="AD609" i="10"/>
  <c r="AP609" i="10"/>
  <c r="AD608" i="10"/>
  <c r="AP608" i="10"/>
  <c r="AD607" i="10"/>
  <c r="AP607" i="10"/>
  <c r="AD606" i="10"/>
  <c r="AP606" i="10"/>
  <c r="AD605" i="10"/>
  <c r="AP605" i="10"/>
  <c r="AD604" i="10"/>
  <c r="AP604" i="10"/>
  <c r="AD603" i="10"/>
  <c r="AP603" i="10"/>
  <c r="AD602" i="10"/>
  <c r="AP602" i="10"/>
  <c r="AD601" i="10"/>
  <c r="AP601" i="10"/>
  <c r="AD600" i="10"/>
  <c r="AP600" i="10"/>
  <c r="AD599" i="10"/>
  <c r="AP599" i="10"/>
  <c r="AD598" i="10"/>
  <c r="AP598" i="10"/>
  <c r="AD597" i="10"/>
  <c r="AP597" i="10"/>
  <c r="AD596" i="10"/>
  <c r="AP596" i="10"/>
  <c r="AD595" i="10"/>
  <c r="AP595" i="10"/>
  <c r="AD594" i="10"/>
  <c r="AP594" i="10"/>
  <c r="AD593" i="10"/>
  <c r="AP593" i="10"/>
  <c r="AD592" i="10"/>
  <c r="AP592" i="10"/>
  <c r="AD591" i="10"/>
  <c r="AP591" i="10"/>
  <c r="AD590" i="10"/>
  <c r="AP590" i="10"/>
  <c r="AD589" i="10"/>
  <c r="AP589" i="10"/>
  <c r="AD588" i="10"/>
  <c r="AP588" i="10"/>
  <c r="AD587" i="10"/>
  <c r="AP587" i="10"/>
  <c r="AD586" i="10"/>
  <c r="AP586" i="10"/>
  <c r="AD585" i="10"/>
  <c r="AP585" i="10"/>
  <c r="AD584" i="10"/>
  <c r="AP584" i="10"/>
  <c r="AD583" i="10"/>
  <c r="AP583" i="10"/>
  <c r="AD582" i="10"/>
  <c r="AP582" i="10"/>
  <c r="AD581" i="10"/>
  <c r="AP581" i="10"/>
  <c r="AD580" i="10"/>
  <c r="AP580" i="10"/>
  <c r="AD579" i="10"/>
  <c r="AP579" i="10"/>
  <c r="AD578" i="10"/>
  <c r="AP578" i="10"/>
  <c r="AD577" i="10"/>
  <c r="AP577" i="10"/>
  <c r="AD576" i="10"/>
  <c r="AP576" i="10"/>
  <c r="AD575" i="10"/>
  <c r="AP575" i="10"/>
  <c r="AD574" i="10"/>
  <c r="AP574" i="10"/>
  <c r="AD573" i="10"/>
  <c r="AP573" i="10"/>
  <c r="AD572" i="10"/>
  <c r="AP572" i="10"/>
  <c r="AD571" i="10"/>
  <c r="AP571" i="10"/>
  <c r="AD570" i="10"/>
  <c r="AP570" i="10"/>
  <c r="AD569" i="10"/>
  <c r="AP569" i="10"/>
  <c r="AD568" i="10"/>
  <c r="AP568" i="10"/>
  <c r="AP567" i="10"/>
  <c r="AD567" i="10"/>
  <c r="AP566" i="10"/>
  <c r="AD566" i="10"/>
  <c r="AP565" i="10"/>
  <c r="AD565" i="10"/>
  <c r="AD564" i="10"/>
  <c r="AP564" i="10"/>
  <c r="AD563" i="10"/>
  <c r="AP563" i="10"/>
  <c r="AP562" i="10"/>
  <c r="AD562" i="10"/>
  <c r="AP561" i="10"/>
  <c r="AD561" i="10"/>
  <c r="AD560" i="10"/>
  <c r="AP560" i="10"/>
  <c r="AD559" i="10"/>
  <c r="AP559" i="10"/>
  <c r="AP558" i="10"/>
  <c r="AD558" i="10"/>
  <c r="AP557" i="10"/>
  <c r="AD557" i="10"/>
  <c r="AD556" i="10"/>
  <c r="AP556" i="10"/>
  <c r="AP555" i="10"/>
  <c r="AD555" i="10"/>
  <c r="AD554" i="10"/>
  <c r="AP554" i="10"/>
  <c r="AD553" i="10"/>
  <c r="AP553" i="10"/>
  <c r="AD552" i="10"/>
  <c r="AP552" i="10"/>
  <c r="AD551" i="10"/>
  <c r="AP551" i="10"/>
  <c r="AD550" i="10"/>
  <c r="AP550" i="10"/>
  <c r="AD549" i="10"/>
  <c r="AP549" i="10"/>
  <c r="AD548" i="10"/>
  <c r="AP548" i="10"/>
  <c r="AD547" i="10"/>
  <c r="AP547" i="10"/>
  <c r="AD546" i="10"/>
  <c r="AP546" i="10"/>
  <c r="AD545" i="10"/>
  <c r="AP545" i="10"/>
  <c r="AD544" i="10"/>
  <c r="AP544" i="10"/>
  <c r="AD543" i="10"/>
  <c r="AP543" i="10"/>
  <c r="AD542" i="10"/>
  <c r="AP542" i="10"/>
  <c r="AD541" i="10"/>
  <c r="AP541" i="10"/>
  <c r="AD540" i="10"/>
  <c r="AP540" i="10"/>
  <c r="AD539" i="10"/>
  <c r="AP539" i="10"/>
  <c r="AD538" i="10"/>
  <c r="AP538" i="10"/>
  <c r="AD537" i="10"/>
  <c r="AP537" i="10"/>
  <c r="AD536" i="10"/>
  <c r="AP536" i="10"/>
  <c r="AD535" i="10"/>
  <c r="AP535" i="10"/>
  <c r="AD534" i="10"/>
  <c r="AP534" i="10"/>
  <c r="AD533" i="10"/>
  <c r="AP533" i="10"/>
  <c r="AD532" i="10"/>
  <c r="AP532" i="10"/>
  <c r="AD531" i="10"/>
  <c r="AP531" i="10"/>
  <c r="AD530" i="10"/>
  <c r="AP530" i="10"/>
  <c r="AD529" i="10"/>
  <c r="AP529" i="10"/>
  <c r="AD528" i="10"/>
  <c r="AP528" i="10"/>
  <c r="AD527" i="10"/>
  <c r="AP527" i="10"/>
  <c r="AD526" i="10"/>
  <c r="AP526" i="10"/>
  <c r="AD525" i="10"/>
  <c r="AP525" i="10"/>
  <c r="AD524" i="10"/>
  <c r="AP524" i="10"/>
  <c r="AD523" i="10"/>
  <c r="AP523" i="10"/>
  <c r="AD522" i="10"/>
  <c r="AP522" i="10"/>
  <c r="AD521" i="10"/>
  <c r="AP521" i="10"/>
  <c r="AD520" i="10"/>
  <c r="AP520" i="10"/>
  <c r="AD519" i="10"/>
  <c r="AP519" i="10"/>
  <c r="AD518" i="10"/>
  <c r="AP518" i="10"/>
  <c r="AD517" i="10"/>
  <c r="AP517" i="10"/>
  <c r="AD516" i="10"/>
  <c r="AP516" i="10"/>
  <c r="AD515" i="10"/>
  <c r="AP515" i="10"/>
  <c r="AD514" i="10"/>
  <c r="AP514" i="10"/>
  <c r="AD513" i="10"/>
  <c r="AP513" i="10"/>
  <c r="AD512" i="10"/>
  <c r="AP512" i="10"/>
  <c r="AD511" i="10"/>
  <c r="AP511" i="10"/>
  <c r="AP510" i="10"/>
  <c r="AD510" i="10"/>
  <c r="AD509" i="10"/>
  <c r="AP509" i="10"/>
  <c r="AD508" i="10"/>
  <c r="AP508" i="10"/>
  <c r="AD507" i="10"/>
  <c r="AP507" i="10"/>
  <c r="AD506" i="10"/>
  <c r="AP506" i="10"/>
  <c r="AP505" i="10"/>
  <c r="AD505" i="10"/>
  <c r="AD504" i="10"/>
  <c r="AP504" i="10"/>
  <c r="AD503" i="10"/>
  <c r="AP503" i="10"/>
  <c r="AD502" i="10"/>
  <c r="AP502" i="10"/>
  <c r="AP501" i="10"/>
  <c r="AD501" i="10"/>
  <c r="AD500" i="10"/>
  <c r="AP500" i="10"/>
  <c r="AP499" i="10"/>
  <c r="AD499" i="10"/>
  <c r="AP498" i="10"/>
  <c r="AD498" i="10"/>
  <c r="AP497" i="10"/>
  <c r="AD497" i="10"/>
  <c r="AD496" i="10"/>
  <c r="AP496" i="10"/>
  <c r="AD495" i="10"/>
  <c r="AP495" i="10"/>
  <c r="AD494" i="10"/>
  <c r="AP494" i="10"/>
  <c r="AP493" i="10"/>
  <c r="AD493" i="10"/>
  <c r="AP492" i="10"/>
  <c r="AD492" i="10"/>
  <c r="AD491" i="10"/>
  <c r="AP491" i="10"/>
  <c r="AF490" i="10"/>
  <c r="AH490" i="10" s="1"/>
  <c r="AM490" i="10"/>
  <c r="AE490" i="10"/>
  <c r="AG490" i="10" s="1"/>
  <c r="AD489" i="10"/>
  <c r="AP489" i="10"/>
  <c r="AD488" i="10"/>
  <c r="AP488" i="10"/>
  <c r="AD487" i="10"/>
  <c r="AP487" i="10"/>
  <c r="AD486" i="10"/>
  <c r="AP486" i="10"/>
  <c r="AD485" i="10"/>
  <c r="AP485" i="10"/>
  <c r="AD484" i="10"/>
  <c r="AP484" i="10"/>
  <c r="AD483" i="10"/>
  <c r="AP483" i="10"/>
  <c r="AD482" i="10"/>
  <c r="AP482" i="10"/>
  <c r="AD481" i="10"/>
  <c r="AP481" i="10"/>
  <c r="AD480" i="10"/>
  <c r="AP480" i="10"/>
  <c r="AD479" i="10"/>
  <c r="AP479" i="10"/>
  <c r="AD478" i="10"/>
  <c r="AP478" i="10"/>
  <c r="AD477" i="10"/>
  <c r="AP477" i="10"/>
  <c r="AD476" i="10"/>
  <c r="AP476" i="10"/>
  <c r="AD475" i="10"/>
  <c r="AP475" i="10"/>
  <c r="AD474" i="10"/>
  <c r="AP474" i="10"/>
  <c r="AD473" i="10"/>
  <c r="AP473" i="10"/>
  <c r="AD472" i="10"/>
  <c r="AP472" i="10"/>
  <c r="AD471" i="10"/>
  <c r="AP471" i="10"/>
  <c r="AP470" i="10"/>
  <c r="AD470" i="10"/>
  <c r="AD469" i="10"/>
  <c r="AP469" i="10"/>
  <c r="AD468" i="10"/>
  <c r="AP468" i="10"/>
  <c r="AP467" i="10"/>
  <c r="AD467" i="10"/>
  <c r="AD466" i="10"/>
  <c r="AP466" i="10"/>
  <c r="AP465" i="10"/>
  <c r="AD465" i="10"/>
  <c r="AP464" i="10"/>
  <c r="AD464" i="10"/>
  <c r="AD463" i="10"/>
  <c r="AP463" i="10"/>
  <c r="AP462" i="10"/>
  <c r="AD462" i="10"/>
  <c r="AD461" i="10"/>
  <c r="AP461" i="10"/>
  <c r="AD460" i="10"/>
  <c r="AP460" i="10"/>
  <c r="AP459" i="10"/>
  <c r="AD459" i="10"/>
  <c r="AD458" i="10"/>
  <c r="AP458" i="10"/>
  <c r="AP457" i="10"/>
  <c r="AD457" i="10"/>
  <c r="AP456" i="10"/>
  <c r="AD456" i="10"/>
  <c r="AD455" i="10"/>
  <c r="AP455" i="10"/>
  <c r="AD454" i="10"/>
  <c r="AP454" i="10"/>
  <c r="AD453" i="10"/>
  <c r="AP453" i="10"/>
  <c r="AD452" i="10"/>
  <c r="AP452" i="10"/>
  <c r="AP451" i="10"/>
  <c r="AD451" i="10"/>
  <c r="AP450" i="10"/>
  <c r="AD450" i="10"/>
  <c r="AD449" i="10"/>
  <c r="AP449" i="10"/>
  <c r="AD448" i="10"/>
  <c r="AP448" i="10"/>
  <c r="AD447" i="10"/>
  <c r="AP447" i="10"/>
  <c r="AP446" i="10"/>
  <c r="AD446" i="10"/>
  <c r="AD445" i="10"/>
  <c r="AP445" i="10"/>
  <c r="AP444" i="10"/>
  <c r="AD444" i="10"/>
  <c r="AP443" i="10"/>
  <c r="AD443" i="10"/>
  <c r="AP442" i="10"/>
  <c r="AD442" i="10"/>
  <c r="AP441" i="10"/>
  <c r="AD441" i="10"/>
  <c r="AP440" i="10"/>
  <c r="AD440" i="10"/>
  <c r="AP439" i="10"/>
  <c r="AD439" i="10"/>
  <c r="AP438" i="10"/>
  <c r="AD438" i="10"/>
  <c r="AD437" i="10"/>
  <c r="AP437" i="10"/>
  <c r="AP436" i="10"/>
  <c r="AD436" i="10"/>
  <c r="AP435" i="10"/>
  <c r="AD435" i="10"/>
  <c r="AP434" i="10"/>
  <c r="AD434" i="10"/>
  <c r="AP433" i="10"/>
  <c r="AD433" i="10"/>
  <c r="AP432" i="10"/>
  <c r="AD432" i="10"/>
  <c r="AP431" i="10"/>
  <c r="AD431" i="10"/>
  <c r="AP430" i="10"/>
  <c r="AD430" i="10"/>
  <c r="AD429" i="10"/>
  <c r="AP429" i="10"/>
  <c r="AP428" i="10"/>
  <c r="AD428" i="10"/>
  <c r="AP427" i="10"/>
  <c r="AD427" i="10"/>
  <c r="AD426" i="10"/>
  <c r="AP426" i="10"/>
  <c r="AD425" i="10"/>
  <c r="AP425" i="10"/>
  <c r="AD424" i="10"/>
  <c r="AP424" i="10"/>
  <c r="AD423" i="10"/>
  <c r="AP423" i="10"/>
  <c r="AD422" i="10"/>
  <c r="AP422" i="10"/>
  <c r="AD421" i="10"/>
  <c r="AP421" i="10"/>
  <c r="AD420" i="10"/>
  <c r="AP420" i="10"/>
  <c r="AD419" i="10"/>
  <c r="AP419" i="10"/>
  <c r="AD418" i="10"/>
  <c r="AP418" i="10"/>
  <c r="AD417" i="10"/>
  <c r="AP417" i="10"/>
  <c r="AD416" i="10"/>
  <c r="AP416" i="10"/>
  <c r="AD415" i="10"/>
  <c r="AP415" i="10"/>
  <c r="AD414" i="10"/>
  <c r="AP414" i="10"/>
  <c r="AD413" i="10"/>
  <c r="AP413" i="10"/>
  <c r="AD412" i="10"/>
  <c r="AP412" i="10"/>
  <c r="AD411" i="10"/>
  <c r="AP411" i="10"/>
  <c r="AD410" i="10"/>
  <c r="AP410" i="10"/>
  <c r="AD409" i="10"/>
  <c r="AP409" i="10"/>
  <c r="AD408" i="10"/>
  <c r="AP408" i="10"/>
  <c r="AD407" i="10"/>
  <c r="AP407" i="10"/>
  <c r="AD406" i="10"/>
  <c r="AP406" i="10"/>
  <c r="AD405" i="10"/>
  <c r="AP405" i="10"/>
  <c r="AD404" i="10"/>
  <c r="AP404" i="10"/>
  <c r="AD403" i="10"/>
  <c r="AP403" i="10"/>
  <c r="AD402" i="10"/>
  <c r="AP402" i="10"/>
  <c r="AD401" i="10"/>
  <c r="AP401" i="10"/>
  <c r="AD400" i="10"/>
  <c r="AP400" i="10"/>
  <c r="AD399" i="10"/>
  <c r="AP399" i="10"/>
  <c r="AD398" i="10"/>
  <c r="AP398" i="10"/>
  <c r="AD397" i="10"/>
  <c r="AP397" i="10"/>
  <c r="AD396" i="10"/>
  <c r="AP396" i="10"/>
  <c r="AD395" i="10"/>
  <c r="AP395" i="10"/>
  <c r="AD394" i="10"/>
  <c r="AP394" i="10"/>
  <c r="AD393" i="10"/>
  <c r="AP393" i="10"/>
  <c r="AD392" i="10"/>
  <c r="AP392" i="10"/>
  <c r="AE391" i="10"/>
  <c r="AG391" i="10" s="1"/>
  <c r="AF391" i="10"/>
  <c r="AH391" i="10" s="1"/>
  <c r="AM391" i="10"/>
  <c r="AD390" i="10"/>
  <c r="AP390" i="10"/>
  <c r="AD389" i="10"/>
  <c r="AP389" i="10"/>
  <c r="AD388" i="10"/>
  <c r="AP388" i="10"/>
  <c r="AP387" i="10"/>
  <c r="AD387" i="10"/>
  <c r="AP386" i="10"/>
  <c r="AD386" i="10"/>
  <c r="AD385" i="10"/>
  <c r="AP385" i="10"/>
  <c r="AP384" i="10"/>
  <c r="AD384" i="10"/>
  <c r="AD383" i="10"/>
  <c r="AP383" i="10"/>
  <c r="AP382" i="10"/>
  <c r="AD382" i="10"/>
  <c r="AP381" i="10"/>
  <c r="AD381" i="10"/>
  <c r="AD380" i="10"/>
  <c r="AP380" i="10"/>
  <c r="AD379" i="10"/>
  <c r="AP379" i="10"/>
  <c r="AD378" i="10"/>
  <c r="AP378" i="10"/>
  <c r="AP377" i="10"/>
  <c r="AD377" i="10"/>
  <c r="AP376" i="10"/>
  <c r="AD376" i="10"/>
  <c r="AP375" i="10"/>
  <c r="AD375" i="10"/>
  <c r="AP374" i="10"/>
  <c r="AD374" i="10"/>
  <c r="AD373" i="10"/>
  <c r="AP373" i="10"/>
  <c r="AP372" i="10"/>
  <c r="AD372" i="10"/>
  <c r="AP371" i="10"/>
  <c r="AD371" i="10"/>
  <c r="AD370" i="10"/>
  <c r="AP370" i="10"/>
  <c r="AD369" i="10"/>
  <c r="AP369" i="10"/>
  <c r="AD368" i="10"/>
  <c r="AP368" i="10"/>
  <c r="AD367" i="10"/>
  <c r="AP367" i="10"/>
  <c r="AP366" i="10"/>
  <c r="AD366" i="10"/>
  <c r="AD365" i="10"/>
  <c r="AP365" i="10"/>
  <c r="AP364" i="10"/>
  <c r="AD364" i="10"/>
  <c r="AP363" i="10"/>
  <c r="AD363" i="10"/>
  <c r="AP362" i="10"/>
  <c r="AD362" i="10"/>
  <c r="AD361" i="10"/>
  <c r="AP361" i="10"/>
  <c r="AD360" i="10"/>
  <c r="AP360" i="10"/>
  <c r="AD359" i="10"/>
  <c r="AP359" i="10"/>
  <c r="AD358" i="10"/>
  <c r="AP358" i="10"/>
  <c r="AD357" i="10"/>
  <c r="AP357" i="10"/>
  <c r="AD356" i="10"/>
  <c r="AP356" i="10"/>
  <c r="AD355" i="10"/>
  <c r="AP355" i="10"/>
  <c r="AD354" i="10"/>
  <c r="AP354" i="10"/>
  <c r="AD353" i="10"/>
  <c r="AP353" i="10"/>
  <c r="AD352" i="10"/>
  <c r="AP352" i="10"/>
  <c r="AD351" i="10"/>
  <c r="AP351" i="10"/>
  <c r="AD350" i="10"/>
  <c r="AP350" i="10"/>
  <c r="AD349" i="10"/>
  <c r="AP349" i="10"/>
  <c r="AD348" i="10"/>
  <c r="AP348" i="10"/>
  <c r="AD347" i="10"/>
  <c r="AP347" i="10"/>
  <c r="AD346" i="10"/>
  <c r="AP346" i="10"/>
  <c r="AD345" i="10"/>
  <c r="AP345" i="10"/>
  <c r="AD344" i="10"/>
  <c r="AP344" i="10"/>
  <c r="AD343" i="10"/>
  <c r="AP343" i="10"/>
  <c r="AD342" i="10"/>
  <c r="AP342" i="10"/>
  <c r="AD341" i="10"/>
  <c r="AP341" i="10"/>
  <c r="AD340" i="10"/>
  <c r="AP340" i="10"/>
  <c r="AD339" i="10"/>
  <c r="AP339" i="10"/>
  <c r="AD338" i="10"/>
  <c r="AP338" i="10"/>
  <c r="AD337" i="10"/>
  <c r="AP337" i="10"/>
  <c r="AD336" i="10"/>
  <c r="AP336" i="10"/>
  <c r="AD335" i="10"/>
  <c r="AP335" i="10"/>
  <c r="AD334" i="10"/>
  <c r="AP334" i="10"/>
  <c r="AD333" i="10"/>
  <c r="AP333" i="10"/>
  <c r="AD332" i="10"/>
  <c r="AP332" i="10"/>
  <c r="AD331" i="10"/>
  <c r="AP331" i="10"/>
  <c r="AD330" i="10"/>
  <c r="AP330" i="10"/>
  <c r="AD329" i="10"/>
  <c r="AP329" i="10"/>
  <c r="AD328" i="10"/>
  <c r="AP328" i="10"/>
  <c r="AD327" i="10"/>
  <c r="AP327" i="10"/>
  <c r="AD326" i="10"/>
  <c r="AP326" i="10"/>
  <c r="AD325" i="10"/>
  <c r="AP325" i="10"/>
  <c r="AD324" i="10"/>
  <c r="AP324" i="10"/>
  <c r="AD323" i="10"/>
  <c r="AP323" i="10"/>
  <c r="AD322" i="10"/>
  <c r="AP322" i="10"/>
  <c r="AD321" i="10"/>
  <c r="AP321" i="10"/>
  <c r="AD320" i="10"/>
  <c r="AP320" i="10"/>
  <c r="AD319" i="10"/>
  <c r="AP319" i="10"/>
  <c r="AD318" i="10"/>
  <c r="AP318" i="10"/>
  <c r="AD317" i="10"/>
  <c r="AP317" i="10"/>
  <c r="AD316" i="10"/>
  <c r="AP316" i="10"/>
  <c r="AD315" i="10"/>
  <c r="AP315" i="10"/>
  <c r="AD314" i="10"/>
  <c r="AP314" i="10"/>
  <c r="AD313" i="10"/>
  <c r="AP313" i="10"/>
  <c r="AD312" i="10"/>
  <c r="AP312" i="10"/>
  <c r="AD311" i="10"/>
  <c r="AP311" i="10"/>
  <c r="AD310" i="10"/>
  <c r="AP310" i="10"/>
  <c r="AD309" i="10"/>
  <c r="AP309" i="10"/>
  <c r="AD308" i="10"/>
  <c r="AP308" i="10"/>
  <c r="AD307" i="10"/>
  <c r="AP307" i="10"/>
  <c r="AD306" i="10"/>
  <c r="AP306" i="10"/>
  <c r="AD305" i="10"/>
  <c r="AP305" i="10"/>
  <c r="AD304" i="10"/>
  <c r="AP304" i="10"/>
  <c r="AD303" i="10"/>
  <c r="AP303" i="10"/>
  <c r="AD302" i="10"/>
  <c r="AP302" i="10"/>
  <c r="AD301" i="10"/>
  <c r="AP301" i="10"/>
  <c r="AD300" i="10"/>
  <c r="AP300" i="10"/>
  <c r="AD299" i="10"/>
  <c r="AP299" i="10"/>
  <c r="AD298" i="10"/>
  <c r="AP298" i="10"/>
  <c r="AD297" i="10"/>
  <c r="AP297" i="10"/>
  <c r="AE296" i="10"/>
  <c r="AG296" i="10" s="1"/>
  <c r="AF296" i="10"/>
  <c r="AH296" i="10" s="1"/>
  <c r="AM296" i="10"/>
  <c r="AD295" i="10"/>
  <c r="AP295" i="10"/>
  <c r="AD294" i="10"/>
  <c r="AP294" i="10"/>
  <c r="AD293" i="10"/>
  <c r="AP293" i="10"/>
  <c r="AD292" i="10"/>
  <c r="AP292" i="10"/>
  <c r="AD291" i="10"/>
  <c r="AP291" i="10"/>
  <c r="AD290" i="10"/>
  <c r="AP290" i="10"/>
  <c r="AD289" i="10"/>
  <c r="AP289" i="10"/>
  <c r="AD288" i="10"/>
  <c r="AP288" i="10"/>
  <c r="AD287" i="10"/>
  <c r="AP287" i="10"/>
  <c r="AD286" i="10"/>
  <c r="AP286" i="10"/>
  <c r="AD285" i="10"/>
  <c r="AP285" i="10"/>
  <c r="AD284" i="10"/>
  <c r="AP284" i="10"/>
  <c r="AD283" i="10"/>
  <c r="AP283" i="10"/>
  <c r="AD282" i="10"/>
  <c r="AP282" i="10"/>
  <c r="AD281" i="10"/>
  <c r="AP281" i="10"/>
  <c r="AD280" i="10"/>
  <c r="AP280" i="10"/>
  <c r="AD279" i="10"/>
  <c r="AP279" i="10"/>
  <c r="AD278" i="10"/>
  <c r="AP278" i="10"/>
  <c r="AD277" i="10"/>
  <c r="AP277" i="10"/>
  <c r="AD276" i="10"/>
  <c r="AP276" i="10"/>
  <c r="AD275" i="10"/>
  <c r="AP275" i="10"/>
  <c r="AD274" i="10"/>
  <c r="AP274" i="10"/>
  <c r="AD273" i="10"/>
  <c r="AP273" i="10"/>
  <c r="AD272" i="10"/>
  <c r="AP272" i="10"/>
  <c r="AD271" i="10"/>
  <c r="AP271" i="10"/>
  <c r="AD270" i="10"/>
  <c r="AP270" i="10"/>
  <c r="AD269" i="10"/>
  <c r="AP269" i="10"/>
  <c r="AD268" i="10"/>
  <c r="AP268" i="10"/>
  <c r="AD267" i="10"/>
  <c r="AP267" i="10"/>
  <c r="AD266" i="10"/>
  <c r="AP266" i="10"/>
  <c r="AD265" i="10"/>
  <c r="AP265" i="10"/>
  <c r="AD264" i="10"/>
  <c r="AP264" i="10"/>
  <c r="AD263" i="10"/>
  <c r="AP263" i="10"/>
  <c r="AD262" i="10"/>
  <c r="AP262" i="10"/>
  <c r="AD261" i="10"/>
  <c r="AP261" i="10"/>
  <c r="AD260" i="10"/>
  <c r="AP260" i="10"/>
  <c r="AD259" i="10"/>
  <c r="AP259" i="10"/>
  <c r="AD258" i="10"/>
  <c r="AP258" i="10"/>
  <c r="AD257" i="10"/>
  <c r="AP257" i="10"/>
  <c r="AD256" i="10"/>
  <c r="AP256" i="10"/>
  <c r="AD255" i="10"/>
  <c r="AP255" i="10"/>
  <c r="AD254" i="10"/>
  <c r="AP254" i="10"/>
  <c r="AD253" i="10"/>
  <c r="AP253" i="10"/>
  <c r="AD252" i="10"/>
  <c r="AP252" i="10"/>
  <c r="AD251" i="10"/>
  <c r="AP251" i="10"/>
  <c r="AD250" i="10"/>
  <c r="AP250" i="10"/>
  <c r="AD249" i="10"/>
  <c r="AP249" i="10"/>
  <c r="AD248" i="10"/>
  <c r="AP248" i="10"/>
  <c r="AD247" i="10"/>
  <c r="AP247" i="10"/>
  <c r="AD246" i="10"/>
  <c r="AP246" i="10"/>
  <c r="AD245" i="10"/>
  <c r="AP245" i="10"/>
  <c r="AD244" i="10"/>
  <c r="AP244" i="10"/>
  <c r="AD243" i="10"/>
  <c r="AP243" i="10"/>
  <c r="AD242" i="10"/>
  <c r="AP242" i="10"/>
  <c r="AD241" i="10"/>
  <c r="AP241" i="10"/>
  <c r="AD240" i="10"/>
  <c r="AP240" i="10"/>
  <c r="AD239" i="10"/>
  <c r="AP239" i="10"/>
  <c r="AD238" i="10"/>
  <c r="AP238" i="10"/>
  <c r="AD237" i="10"/>
  <c r="AP237" i="10"/>
  <c r="AD236" i="10"/>
  <c r="AP236" i="10"/>
  <c r="AD235" i="10"/>
  <c r="AP235" i="10"/>
  <c r="AD234" i="10"/>
  <c r="AP234" i="10"/>
  <c r="AD233" i="10"/>
  <c r="AP233" i="10"/>
  <c r="AD232" i="10"/>
  <c r="AP232" i="10"/>
  <c r="AE231" i="10"/>
  <c r="AG231" i="10" s="1"/>
  <c r="AF231" i="10"/>
  <c r="AH231" i="10" s="1"/>
  <c r="AM231" i="10"/>
  <c r="AD230" i="10"/>
  <c r="AP230" i="10"/>
  <c r="AD229" i="10"/>
  <c r="AP229" i="10"/>
  <c r="AD228" i="10"/>
  <c r="AP228" i="10"/>
  <c r="AD227" i="10"/>
  <c r="AP227" i="10"/>
  <c r="AD226" i="10"/>
  <c r="AP226" i="10"/>
  <c r="AD225" i="10"/>
  <c r="AP225" i="10"/>
  <c r="AD224" i="10"/>
  <c r="AP224" i="10"/>
  <c r="AD223" i="10"/>
  <c r="AP223" i="10"/>
  <c r="AD222" i="10"/>
  <c r="AP222" i="10"/>
  <c r="AD221" i="10"/>
  <c r="AP221" i="10"/>
  <c r="AD220" i="10"/>
  <c r="AP220" i="10"/>
  <c r="AD219" i="10"/>
  <c r="AP219" i="10"/>
  <c r="AD218" i="10"/>
  <c r="AP218" i="10"/>
  <c r="AD217" i="10"/>
  <c r="AP217" i="10"/>
  <c r="AD216" i="10"/>
  <c r="AP216" i="10"/>
  <c r="AD215" i="10"/>
  <c r="AP215" i="10"/>
  <c r="AD214" i="10"/>
  <c r="AP214" i="10"/>
  <c r="AD213" i="10"/>
  <c r="AP213" i="10"/>
  <c r="AD212" i="10"/>
  <c r="AP212" i="10"/>
  <c r="AD211" i="10"/>
  <c r="AP211" i="10"/>
  <c r="AD210" i="10"/>
  <c r="AP210" i="10"/>
  <c r="AD209" i="10"/>
  <c r="AP209" i="10"/>
  <c r="AD208" i="10"/>
  <c r="AP208" i="10"/>
  <c r="AD207" i="10"/>
  <c r="AP207" i="10"/>
  <c r="AD206" i="10"/>
  <c r="AP206" i="10"/>
  <c r="AD205" i="10"/>
  <c r="AP205" i="10"/>
  <c r="AD204" i="10"/>
  <c r="AP204" i="10"/>
  <c r="AD203" i="10"/>
  <c r="AP203" i="10"/>
  <c r="AD202" i="10"/>
  <c r="AP202" i="10"/>
  <c r="AD201" i="10"/>
  <c r="AP201" i="10"/>
  <c r="AD200" i="10"/>
  <c r="AP200" i="10"/>
  <c r="AD199" i="10"/>
  <c r="AP199" i="10"/>
  <c r="AD198" i="10"/>
  <c r="AP198" i="10"/>
  <c r="AD197" i="10"/>
  <c r="AP197" i="10"/>
  <c r="AD196" i="10"/>
  <c r="AP196" i="10"/>
  <c r="AD195" i="10"/>
  <c r="AP195" i="10"/>
  <c r="AD194" i="10"/>
  <c r="AP194" i="10"/>
  <c r="AD193" i="10"/>
  <c r="AP193" i="10"/>
  <c r="AD192" i="10"/>
  <c r="AP192" i="10"/>
  <c r="AD191" i="10"/>
  <c r="AP191" i="10"/>
  <c r="AD190" i="10"/>
  <c r="AP190" i="10"/>
  <c r="AD189" i="10"/>
  <c r="AP189" i="10"/>
  <c r="AD188" i="10"/>
  <c r="AP188" i="10"/>
  <c r="AD187" i="10"/>
  <c r="AP187" i="10"/>
  <c r="AD186" i="10"/>
  <c r="AP186" i="10"/>
  <c r="AD185" i="10"/>
  <c r="AP185" i="10"/>
  <c r="AD184" i="10"/>
  <c r="AP184" i="10"/>
  <c r="AD183" i="10"/>
  <c r="AP183" i="10"/>
  <c r="AD182" i="10"/>
  <c r="AP182" i="10"/>
  <c r="AD181" i="10"/>
  <c r="AP181" i="10"/>
  <c r="AD180" i="10"/>
  <c r="AP180" i="10"/>
  <c r="AD179" i="10"/>
  <c r="AP179" i="10"/>
  <c r="AD178" i="10"/>
  <c r="AP178" i="10"/>
  <c r="AD177" i="10"/>
  <c r="AP177" i="10"/>
  <c r="AD176" i="10"/>
  <c r="AP176" i="10"/>
  <c r="AD175" i="10"/>
  <c r="AP175" i="10"/>
  <c r="AD174" i="10"/>
  <c r="AP174" i="10"/>
  <c r="AD173" i="10"/>
  <c r="AP173" i="10"/>
  <c r="AD172" i="10"/>
  <c r="AP172" i="10"/>
  <c r="AD171" i="10"/>
  <c r="AP171" i="10"/>
  <c r="AD170" i="10"/>
  <c r="AP170" i="10"/>
  <c r="AD169" i="10"/>
  <c r="AP169" i="10"/>
  <c r="AD168" i="10"/>
  <c r="AP168" i="10"/>
  <c r="AD167" i="10"/>
  <c r="AP167" i="10"/>
  <c r="AD166" i="10"/>
  <c r="AP166" i="10"/>
  <c r="AD165" i="10"/>
  <c r="AP165" i="10"/>
  <c r="AD164" i="10"/>
  <c r="AP164" i="10"/>
  <c r="AD163" i="10"/>
  <c r="AP163" i="10"/>
  <c r="AD162" i="10"/>
  <c r="AP162" i="10"/>
  <c r="AD161" i="10"/>
  <c r="AP161" i="10"/>
  <c r="AD160" i="10"/>
  <c r="AP160" i="10"/>
  <c r="AD159" i="10"/>
  <c r="AP159" i="10"/>
  <c r="AD158" i="10"/>
  <c r="AP158" i="10"/>
  <c r="AD157" i="10"/>
  <c r="AP157" i="10"/>
  <c r="AD156" i="10"/>
  <c r="AP156" i="10"/>
  <c r="AD155" i="10"/>
  <c r="AP155" i="10"/>
  <c r="AD154" i="10"/>
  <c r="AP154" i="10"/>
  <c r="AD153" i="10"/>
  <c r="AP153" i="10"/>
  <c r="AD152" i="10"/>
  <c r="AP152" i="10"/>
  <c r="AD151" i="10"/>
  <c r="AP151" i="10"/>
  <c r="AD150" i="10"/>
  <c r="AP150" i="10"/>
  <c r="AD149" i="10"/>
  <c r="AP149" i="10"/>
  <c r="AD148" i="10"/>
  <c r="AP148" i="10"/>
  <c r="AD147" i="10"/>
  <c r="AP147" i="10"/>
  <c r="AD146" i="10"/>
  <c r="AP146" i="10"/>
  <c r="AD145" i="10"/>
  <c r="AP145" i="10"/>
  <c r="AD144" i="10"/>
  <c r="AP144" i="10"/>
  <c r="AD143" i="10"/>
  <c r="AP143" i="10"/>
  <c r="AD142" i="10"/>
  <c r="AP142" i="10"/>
  <c r="AD141" i="10"/>
  <c r="AP141" i="10"/>
  <c r="AD140" i="10"/>
  <c r="AP140" i="10"/>
  <c r="AD139" i="10"/>
  <c r="AP139" i="10"/>
  <c r="AD138" i="10"/>
  <c r="AP138" i="10"/>
  <c r="AD137" i="10"/>
  <c r="AP137" i="10"/>
  <c r="AD136" i="10"/>
  <c r="AP136" i="10"/>
  <c r="AD135" i="10"/>
  <c r="AP135" i="10"/>
  <c r="AD134" i="10"/>
  <c r="AP134" i="10"/>
  <c r="AD133" i="10"/>
  <c r="AP133" i="10"/>
  <c r="AD132" i="10"/>
  <c r="AP132" i="10"/>
  <c r="AD131" i="10"/>
  <c r="AP131" i="10"/>
  <c r="AD130" i="10"/>
  <c r="AP130" i="10"/>
  <c r="AD129" i="10"/>
  <c r="AP129" i="10"/>
  <c r="AD128" i="10"/>
  <c r="AP128" i="10"/>
  <c r="AD127" i="10"/>
  <c r="AP127" i="10"/>
  <c r="AD126" i="10"/>
  <c r="AP126" i="10"/>
  <c r="AD125" i="10"/>
  <c r="AP125" i="10"/>
  <c r="AD124" i="10"/>
  <c r="AP124" i="10"/>
  <c r="AD123" i="10"/>
  <c r="AP123" i="10"/>
  <c r="AD122" i="10"/>
  <c r="AP122" i="10"/>
  <c r="AD121" i="10"/>
  <c r="AP121" i="10"/>
  <c r="AD120" i="10"/>
  <c r="AP120" i="10"/>
  <c r="AD119" i="10"/>
  <c r="AP119" i="10"/>
  <c r="AD118" i="10"/>
  <c r="AP118" i="10"/>
  <c r="AD117" i="10"/>
  <c r="AP117" i="10"/>
  <c r="AD116" i="10"/>
  <c r="AP116" i="10"/>
  <c r="AD115" i="10"/>
  <c r="AP115" i="10"/>
  <c r="AD114" i="10"/>
  <c r="AP114" i="10"/>
  <c r="AD113" i="10"/>
  <c r="AP113" i="10"/>
  <c r="AD112" i="10"/>
  <c r="AP112" i="10"/>
  <c r="AD111" i="10"/>
  <c r="AP111" i="10"/>
  <c r="AD110" i="10"/>
  <c r="AP110" i="10"/>
  <c r="AD109" i="10"/>
  <c r="AP109" i="10"/>
  <c r="AD108" i="10"/>
  <c r="AP108" i="10"/>
  <c r="AD107" i="10"/>
  <c r="AP107" i="10"/>
  <c r="AD106" i="10"/>
  <c r="AP106" i="10"/>
  <c r="AD105" i="10"/>
  <c r="AP105" i="10"/>
  <c r="AP104" i="10"/>
  <c r="AD104" i="10"/>
  <c r="AP103" i="10"/>
  <c r="AD103" i="10"/>
  <c r="AE102" i="10"/>
  <c r="AG102" i="10" s="1"/>
  <c r="AF102" i="10"/>
  <c r="AH102" i="10" s="1"/>
  <c r="AM102" i="10"/>
  <c r="AD101" i="10"/>
  <c r="AP101" i="10"/>
  <c r="AD100" i="10"/>
  <c r="AP100" i="10"/>
  <c r="AD99" i="10"/>
  <c r="AP99" i="10"/>
  <c r="AD98" i="10"/>
  <c r="AP98" i="10"/>
  <c r="AD97" i="10"/>
  <c r="AP97" i="10"/>
  <c r="AD96" i="10"/>
  <c r="AP96" i="10"/>
  <c r="AD95" i="10"/>
  <c r="AP95" i="10"/>
  <c r="AD94" i="10"/>
  <c r="AP94" i="10"/>
  <c r="AD93" i="10"/>
  <c r="AP93" i="10"/>
  <c r="AD92" i="10"/>
  <c r="AP92" i="10"/>
  <c r="AD91" i="10"/>
  <c r="AP91" i="10"/>
  <c r="AD90" i="10"/>
  <c r="AP90" i="10"/>
  <c r="AD89" i="10"/>
  <c r="AP89" i="10"/>
  <c r="AD88" i="10"/>
  <c r="AP88" i="10"/>
  <c r="AD87" i="10"/>
  <c r="AP87" i="10"/>
  <c r="AD86" i="10"/>
  <c r="AP86" i="10"/>
  <c r="AD85" i="10"/>
  <c r="AP85" i="10"/>
  <c r="AD84" i="10"/>
  <c r="AP84" i="10"/>
  <c r="AD83" i="10"/>
  <c r="AP83" i="10"/>
  <c r="AD82" i="10"/>
  <c r="AP82" i="10"/>
  <c r="AD81" i="10"/>
  <c r="AP81" i="10"/>
  <c r="AD80" i="10"/>
  <c r="AP80" i="10"/>
  <c r="AD79" i="10"/>
  <c r="AP79" i="10"/>
  <c r="AD78" i="10"/>
  <c r="AP78" i="10"/>
  <c r="AD77" i="10"/>
  <c r="AP77" i="10"/>
  <c r="AD76" i="10"/>
  <c r="AP76" i="10"/>
  <c r="AD75" i="10"/>
  <c r="AP75" i="10"/>
  <c r="AD74" i="10"/>
  <c r="AP74" i="10"/>
  <c r="AD73" i="10"/>
  <c r="AP73" i="10"/>
  <c r="AD72" i="10"/>
  <c r="AP72" i="10"/>
  <c r="AD71" i="10"/>
  <c r="AP71" i="10"/>
  <c r="AP70" i="10"/>
  <c r="AD70" i="10"/>
  <c r="AP69" i="10"/>
  <c r="AD69" i="10"/>
  <c r="AP68" i="10"/>
  <c r="AD68" i="10"/>
  <c r="AD67" i="10"/>
  <c r="AP67" i="10"/>
  <c r="AP66" i="10"/>
  <c r="AD66" i="10"/>
  <c r="AP65" i="10"/>
  <c r="AD65" i="10"/>
  <c r="AD64" i="10"/>
  <c r="AP64" i="10"/>
  <c r="AD63" i="10"/>
  <c r="AP63" i="10"/>
  <c r="AP62" i="10"/>
  <c r="AD62" i="10"/>
  <c r="AD61" i="10"/>
  <c r="AP61" i="10"/>
  <c r="AP60" i="10"/>
  <c r="AD60" i="10"/>
  <c r="AD59" i="10"/>
  <c r="AP59" i="10"/>
  <c r="AP58" i="10"/>
  <c r="AD58" i="10"/>
  <c r="AP57" i="10"/>
  <c r="AD57" i="10"/>
  <c r="AD55" i="10"/>
  <c r="AP55" i="10"/>
  <c r="AD54" i="10"/>
  <c r="AP54" i="10"/>
  <c r="AD53" i="10"/>
  <c r="AP53" i="10"/>
  <c r="AD52" i="10"/>
  <c r="AP52" i="10"/>
  <c r="AP51" i="10"/>
  <c r="AD51" i="10"/>
  <c r="AD50" i="10"/>
  <c r="AP50" i="10"/>
  <c r="AD49" i="10"/>
  <c r="AP49" i="10"/>
  <c r="AP48" i="10"/>
  <c r="AD48" i="10"/>
  <c r="AD47" i="10"/>
  <c r="AP47" i="10"/>
  <c r="AP46" i="10"/>
  <c r="AD46" i="10"/>
  <c r="AD45" i="10"/>
  <c r="AP45" i="10"/>
  <c r="AP44" i="10"/>
  <c r="AD44" i="10"/>
  <c r="AD43" i="10"/>
  <c r="AP43" i="10"/>
  <c r="AP42" i="10"/>
  <c r="AD42" i="10"/>
  <c r="AP41" i="10"/>
  <c r="AD41" i="10"/>
  <c r="AP40" i="10"/>
  <c r="AD40" i="10"/>
  <c r="AP39" i="10"/>
  <c r="AD39" i="10"/>
  <c r="B246" i="4"/>
  <c r="C246" i="4" s="1"/>
  <c r="B248" i="4"/>
  <c r="C248" i="4" s="1"/>
  <c r="B249" i="4"/>
  <c r="C249" i="4" s="1"/>
  <c r="B250" i="4"/>
  <c r="C250" i="4" s="1"/>
  <c r="B251" i="4"/>
  <c r="C251" i="4" s="1"/>
  <c r="B257" i="4"/>
  <c r="C257" i="4" s="1"/>
  <c r="B268" i="4"/>
  <c r="C268" i="4" s="1"/>
  <c r="B271" i="4"/>
  <c r="C271" i="4" s="1"/>
  <c r="B272" i="4"/>
  <c r="C272" i="4" s="1"/>
  <c r="B252" i="4"/>
  <c r="C252" i="4" s="1"/>
  <c r="B262" i="4"/>
  <c r="C262" i="4" s="1"/>
  <c r="B264" i="4"/>
  <c r="C264" i="4" s="1"/>
  <c r="B270" i="4"/>
  <c r="C270" i="4" s="1"/>
  <c r="B247" i="4"/>
  <c r="C247" i="4" s="1"/>
  <c r="B253" i="4"/>
  <c r="C253" i="4" s="1"/>
  <c r="B255" i="4"/>
  <c r="C255" i="4" s="1"/>
  <c r="B259" i="4"/>
  <c r="C259" i="4" s="1"/>
  <c r="B263" i="4"/>
  <c r="C263" i="4" s="1"/>
  <c r="B266" i="4"/>
  <c r="C266" i="4" s="1"/>
  <c r="B254" i="4"/>
  <c r="C254" i="4" s="1"/>
  <c r="B256" i="4"/>
  <c r="C256" i="4" s="1"/>
  <c r="B261" i="4"/>
  <c r="C261" i="4" s="1"/>
  <c r="B267" i="4"/>
  <c r="C267" i="4" s="1"/>
  <c r="B273" i="4"/>
  <c r="C273" i="4" s="1"/>
  <c r="B260" i="4"/>
  <c r="C260" i="4" s="1"/>
  <c r="B258" i="4"/>
  <c r="C258" i="4" s="1"/>
  <c r="B265" i="4"/>
  <c r="C265" i="4" s="1"/>
  <c r="B269" i="4"/>
  <c r="C269" i="4" s="1"/>
  <c r="C16" i="9"/>
  <c r="C17" i="9"/>
  <c r="B10" i="6"/>
  <c r="F10" i="6"/>
  <c r="C5" i="2"/>
  <c r="AP38" i="10"/>
  <c r="AD38" i="10"/>
  <c r="AD36" i="10"/>
  <c r="AP36" i="10"/>
  <c r="AD35" i="10"/>
  <c r="AP35" i="10"/>
  <c r="AD34" i="10"/>
  <c r="AP34" i="10"/>
  <c r="AD33" i="10"/>
  <c r="AP33" i="10"/>
  <c r="AD32" i="10"/>
  <c r="AP32" i="10"/>
  <c r="AD31" i="10"/>
  <c r="AP31" i="10"/>
  <c r="AD30" i="10"/>
  <c r="AP30" i="10"/>
  <c r="AD29" i="10"/>
  <c r="AP29" i="10"/>
  <c r="AD28" i="10"/>
  <c r="AP28" i="10"/>
  <c r="AD27" i="10"/>
  <c r="AP27" i="10"/>
  <c r="AD26" i="10"/>
  <c r="AP26" i="10"/>
  <c r="AD25" i="10"/>
  <c r="AP25" i="10"/>
  <c r="AD24" i="10"/>
  <c r="AP24" i="10"/>
  <c r="AD23" i="10"/>
  <c r="AP23" i="10"/>
  <c r="AD22" i="10"/>
  <c r="AP22" i="10"/>
  <c r="AD21" i="10"/>
  <c r="AP21" i="10"/>
  <c r="AD20" i="10"/>
  <c r="AP20" i="10"/>
  <c r="AD19" i="10"/>
  <c r="AP19" i="10"/>
  <c r="AD18" i="10"/>
  <c r="AP18" i="10"/>
  <c r="AD17" i="10"/>
  <c r="AP17" i="10"/>
  <c r="AD16" i="10"/>
  <c r="AP16" i="10"/>
  <c r="AD15" i="10"/>
  <c r="AP15" i="10"/>
  <c r="AD14" i="10"/>
  <c r="AP14" i="10"/>
  <c r="AD13" i="10"/>
  <c r="AP13" i="10"/>
  <c r="AD12" i="10"/>
  <c r="AP12" i="10"/>
  <c r="AD11" i="10"/>
  <c r="AP11" i="10"/>
  <c r="AD10" i="10"/>
  <c r="AP10" i="10"/>
  <c r="AD9" i="10"/>
  <c r="AP9" i="10"/>
  <c r="AD8" i="10"/>
  <c r="AP8" i="10"/>
  <c r="AD7" i="10"/>
  <c r="AP7" i="10"/>
  <c r="AD6" i="10"/>
  <c r="AP6" i="10"/>
  <c r="AD5" i="10"/>
  <c r="AP5" i="10"/>
  <c r="AD4" i="10"/>
  <c r="AP4" i="10"/>
  <c r="AD3" i="10"/>
  <c r="AP3" i="10"/>
  <c r="Y8" i="3"/>
  <c r="Z8" i="3" s="1"/>
  <c r="U8" i="3"/>
  <c r="V8" i="3" s="1"/>
  <c r="AD2" i="10"/>
  <c r="AP2" i="10"/>
  <c r="AN2" i="10"/>
  <c r="C12" i="8"/>
  <c r="C18" i="7"/>
  <c r="C11" i="8"/>
  <c r="Z77" i="4"/>
  <c r="Z78" i="4"/>
  <c r="Z84" i="4"/>
  <c r="Z85" i="4"/>
  <c r="Z90" i="4"/>
  <c r="Z92" i="4"/>
  <c r="Z93" i="4"/>
  <c r="Z97" i="4"/>
  <c r="Z99" i="4"/>
  <c r="Z112" i="4"/>
  <c r="Z117" i="4"/>
  <c r="Z120" i="4"/>
  <c r="Z121" i="4"/>
  <c r="Z126" i="4"/>
  <c r="Z141" i="4"/>
  <c r="Z142" i="4"/>
  <c r="Z144" i="4"/>
  <c r="Z8" i="4"/>
  <c r="Z9" i="4"/>
  <c r="Z10" i="4"/>
  <c r="Z11" i="4"/>
  <c r="Z12" i="4"/>
  <c r="Z13" i="4"/>
  <c r="Z14" i="4"/>
  <c r="Z15" i="4"/>
  <c r="Z16" i="4"/>
  <c r="Z17" i="4"/>
  <c r="Z18" i="4"/>
  <c r="Z19" i="4"/>
  <c r="Z20" i="4"/>
  <c r="Z21" i="4"/>
  <c r="Z22" i="4"/>
  <c r="Z23" i="4"/>
  <c r="Z24" i="4"/>
  <c r="Z25" i="4"/>
  <c r="Z26" i="4"/>
  <c r="Z27" i="4"/>
  <c r="Z28" i="4"/>
  <c r="Z29" i="4"/>
  <c r="Z30" i="4"/>
  <c r="Z31" i="4"/>
  <c r="Z32" i="4"/>
  <c r="Z33" i="4"/>
  <c r="Z34" i="4"/>
  <c r="Z35" i="4"/>
  <c r="Z36" i="4"/>
  <c r="Z37" i="4"/>
  <c r="Z38" i="4"/>
  <c r="Z39" i="4"/>
  <c r="Z40" i="4"/>
  <c r="Z41" i="4"/>
  <c r="Z42" i="4"/>
  <c r="Z43" i="4"/>
  <c r="Z44" i="4"/>
  <c r="Z45" i="4"/>
  <c r="Z46" i="4"/>
  <c r="Y30" i="3" l="1"/>
  <c r="Z30" i="3"/>
  <c r="O20" i="2"/>
  <c r="O22" i="2"/>
  <c r="O23" i="2"/>
  <c r="Z92" i="2"/>
  <c r="U33" i="3"/>
  <c r="V33" i="3"/>
  <c r="U39" i="3"/>
  <c r="V39" i="3"/>
  <c r="V45" i="3"/>
  <c r="U45" i="3"/>
  <c r="U43" i="3"/>
  <c r="V43" i="3"/>
  <c r="U41" i="3"/>
  <c r="V41" i="3"/>
  <c r="U13" i="3"/>
  <c r="V13" i="3" s="1"/>
  <c r="U17" i="3"/>
  <c r="V17" i="3" s="1"/>
  <c r="U18" i="3"/>
  <c r="V18" i="3" s="1"/>
  <c r="U37" i="3"/>
  <c r="V37" i="3"/>
  <c r="V44" i="3"/>
  <c r="U44" i="3"/>
  <c r="V25" i="3"/>
  <c r="U25" i="3"/>
  <c r="U12" i="3"/>
  <c r="V12" i="3" s="1"/>
  <c r="U21" i="3"/>
  <c r="V21" i="3"/>
  <c r="V34" i="3"/>
  <c r="U34" i="3"/>
  <c r="U23" i="3"/>
  <c r="V23" i="3"/>
  <c r="V32" i="3"/>
  <c r="U32" i="3"/>
  <c r="U15" i="3"/>
  <c r="V15" i="3" s="1"/>
  <c r="V35" i="3"/>
  <c r="U35" i="3"/>
  <c r="V42" i="3"/>
  <c r="U42" i="3"/>
  <c r="D21" i="9"/>
  <c r="AK91" i="10"/>
  <c r="AL91" i="10" s="1"/>
  <c r="AK78" i="10"/>
  <c r="AL78" i="10" s="1"/>
  <c r="AK51" i="10"/>
  <c r="AL51" i="10" s="1"/>
  <c r="AK48" i="10"/>
  <c r="AL48" i="10" s="1"/>
  <c r="AK40" i="10"/>
  <c r="AL40" i="10" s="1"/>
  <c r="AK36" i="10"/>
  <c r="AL36" i="10" s="1"/>
  <c r="AK27" i="10"/>
  <c r="AL27" i="10" s="1"/>
  <c r="AK18" i="10"/>
  <c r="AL18" i="10" s="1"/>
  <c r="AK10" i="10"/>
  <c r="AL10" i="10" s="1"/>
  <c r="AK3" i="10"/>
  <c r="AL3" i="10" s="1"/>
  <c r="AK70" i="10"/>
  <c r="AL70" i="10" s="1"/>
  <c r="AK59" i="10"/>
  <c r="AL59" i="10" s="1"/>
  <c r="AK95" i="10"/>
  <c r="AL95" i="10" s="1"/>
  <c r="AK84" i="10"/>
  <c r="AL84" i="10" s="1"/>
  <c r="AK49" i="10"/>
  <c r="AL49" i="10" s="1"/>
  <c r="AK25" i="10"/>
  <c r="AL25" i="10" s="1"/>
  <c r="AK93" i="10"/>
  <c r="AL93" i="10" s="1"/>
  <c r="AK69" i="10"/>
  <c r="AL69" i="10" s="1"/>
  <c r="AK68" i="10"/>
  <c r="AL68" i="10" s="1"/>
  <c r="AK57" i="10"/>
  <c r="AL57" i="10" s="1"/>
  <c r="AK46" i="10"/>
  <c r="AL46" i="10" s="1"/>
  <c r="AK32" i="10"/>
  <c r="AL32" i="10" s="1"/>
  <c r="AK53" i="10"/>
  <c r="AL53" i="10" s="1"/>
  <c r="AK43" i="10"/>
  <c r="AL43" i="10" s="1"/>
  <c r="AK28" i="10"/>
  <c r="AL28" i="10" s="1"/>
  <c r="AK14" i="10"/>
  <c r="AL14" i="10" s="1"/>
  <c r="AK80" i="10"/>
  <c r="AL80" i="10" s="1"/>
  <c r="AK79" i="10"/>
  <c r="AL79" i="10" s="1"/>
  <c r="AK75" i="10"/>
  <c r="AL75" i="10" s="1"/>
  <c r="AK74" i="10"/>
  <c r="AL74" i="10" s="1"/>
  <c r="AK73" i="10"/>
  <c r="AL73" i="10" s="1"/>
  <c r="AK61" i="10"/>
  <c r="AL61" i="10" s="1"/>
  <c r="AK54" i="10"/>
  <c r="AL54" i="10" s="1"/>
  <c r="AK47" i="10"/>
  <c r="AL47" i="10" s="1"/>
  <c r="AK38" i="10"/>
  <c r="AL38" i="10" s="1"/>
  <c r="AK5" i="10"/>
  <c r="AL5" i="10" s="1"/>
  <c r="AK87" i="10"/>
  <c r="AL87" i="10" s="1"/>
  <c r="AK85" i="10"/>
  <c r="AL85" i="10" s="1"/>
  <c r="AK82" i="10"/>
  <c r="AL82" i="10" s="1"/>
  <c r="AK71" i="10"/>
  <c r="AL71" i="10" s="1"/>
  <c r="AK56" i="10"/>
  <c r="AL56" i="10" s="1"/>
  <c r="AK55" i="10"/>
  <c r="AL55" i="10" s="1"/>
  <c r="AK26" i="10"/>
  <c r="AL26" i="10" s="1"/>
  <c r="AK12" i="10"/>
  <c r="AL12" i="10" s="1"/>
  <c r="AK7" i="10"/>
  <c r="AL7" i="10" s="1"/>
  <c r="AK4" i="10"/>
  <c r="AL4" i="10" s="1"/>
  <c r="AK88" i="10"/>
  <c r="AL88" i="10" s="1"/>
  <c r="AK83" i="10"/>
  <c r="AL83" i="10" s="1"/>
  <c r="AK72" i="10"/>
  <c r="AL72" i="10" s="1"/>
  <c r="AK35" i="10"/>
  <c r="AL35" i="10" s="1"/>
  <c r="AK94" i="10"/>
  <c r="AL94" i="10" s="1"/>
  <c r="AK89" i="10"/>
  <c r="AL89" i="10" s="1"/>
  <c r="AK81" i="10"/>
  <c r="AL81" i="10" s="1"/>
  <c r="AK50" i="10"/>
  <c r="AL50" i="10" s="1"/>
  <c r="AK30" i="10"/>
  <c r="AL30" i="10" s="1"/>
  <c r="AK17" i="10"/>
  <c r="AL17" i="10" s="1"/>
  <c r="AK16" i="10"/>
  <c r="AL16" i="10" s="1"/>
  <c r="AK11" i="10"/>
  <c r="AL11" i="10" s="1"/>
  <c r="AK86" i="10"/>
  <c r="AL86" i="10" s="1"/>
  <c r="AK77" i="10"/>
  <c r="AL77" i="10" s="1"/>
  <c r="AK65" i="10"/>
  <c r="AL65" i="10" s="1"/>
  <c r="AK64" i="10"/>
  <c r="AL64" i="10" s="1"/>
  <c r="AK29" i="10"/>
  <c r="AL29" i="10" s="1"/>
  <c r="AK23" i="10"/>
  <c r="AL23" i="10" s="1"/>
  <c r="AK90" i="10"/>
  <c r="AL90" i="10" s="1"/>
  <c r="AK66" i="10"/>
  <c r="AL66" i="10" s="1"/>
  <c r="AK58" i="10"/>
  <c r="AL58" i="10" s="1"/>
  <c r="AK45" i="10"/>
  <c r="AL45" i="10" s="1"/>
  <c r="AK42" i="10"/>
  <c r="AL42" i="10" s="1"/>
  <c r="AK37" i="10"/>
  <c r="AL37" i="10" s="1"/>
  <c r="AK33" i="10"/>
  <c r="AL33" i="10" s="1"/>
  <c r="AK22" i="10"/>
  <c r="AL22" i="10" s="1"/>
  <c r="AK20" i="10"/>
  <c r="AL20" i="10" s="1"/>
  <c r="AK8" i="10"/>
  <c r="AL8" i="10" s="1"/>
  <c r="AK6" i="10"/>
  <c r="AL6" i="10" s="1"/>
  <c r="AK92" i="10"/>
  <c r="AL92" i="10" s="1"/>
  <c r="AK44" i="10"/>
  <c r="AL44" i="10" s="1"/>
  <c r="V19" i="3"/>
  <c r="U19" i="3"/>
  <c r="U9" i="3"/>
  <c r="V9" i="3" s="1"/>
  <c r="U10" i="3"/>
  <c r="V10" i="3" s="1"/>
  <c r="U27" i="3"/>
  <c r="V27" i="3"/>
  <c r="U24" i="3"/>
  <c r="V24" i="3"/>
  <c r="U30" i="3"/>
  <c r="V30" i="3"/>
  <c r="V38" i="3"/>
  <c r="U38" i="3"/>
  <c r="V46" i="3"/>
  <c r="U46" i="3"/>
  <c r="V36" i="3"/>
  <c r="U36" i="3"/>
  <c r="U29" i="3"/>
  <c r="V29" i="3"/>
  <c r="U14" i="3"/>
  <c r="V14" i="3" s="1"/>
  <c r="U16" i="3"/>
  <c r="V16" i="3" s="1"/>
  <c r="V22" i="3"/>
  <c r="U22" i="3"/>
  <c r="V40" i="3"/>
  <c r="U40" i="3"/>
  <c r="U31" i="3"/>
  <c r="V31" i="3"/>
  <c r="V28" i="3"/>
  <c r="U28" i="3"/>
  <c r="V20" i="3"/>
  <c r="U20" i="3"/>
  <c r="V26" i="3"/>
  <c r="U26" i="3"/>
  <c r="U11" i="3"/>
  <c r="V11" i="3" s="1"/>
  <c r="U47" i="3"/>
  <c r="V47" i="3"/>
  <c r="Z121" i="3"/>
  <c r="Y121" i="3"/>
  <c r="Y21" i="3"/>
  <c r="Z21" i="3" s="1"/>
  <c r="Y16" i="3"/>
  <c r="Z16" i="3" s="1"/>
  <c r="Y28" i="3"/>
  <c r="Z28" i="3" s="1"/>
  <c r="Y12" i="3"/>
  <c r="Z12" i="3" s="1"/>
  <c r="Z34" i="3"/>
  <c r="Y34" i="3"/>
  <c r="Y41" i="3"/>
  <c r="Z41" i="3"/>
  <c r="Z48" i="3"/>
  <c r="Y48" i="3"/>
  <c r="Z54" i="3"/>
  <c r="Y54" i="3"/>
  <c r="Z61" i="3"/>
  <c r="Y61" i="3"/>
  <c r="Z67" i="3"/>
  <c r="Y67" i="3"/>
  <c r="Z73" i="3"/>
  <c r="Y73" i="3"/>
  <c r="Z82" i="3"/>
  <c r="Y82" i="3"/>
  <c r="Z87" i="3"/>
  <c r="Y87" i="3"/>
  <c r="Z100" i="3"/>
  <c r="Y100" i="3"/>
  <c r="Z107" i="3"/>
  <c r="Y107" i="3"/>
  <c r="Z114" i="3"/>
  <c r="Y114" i="3"/>
  <c r="Z119" i="3"/>
  <c r="Y119" i="3"/>
  <c r="Z126" i="3"/>
  <c r="Y126" i="3"/>
  <c r="Y97" i="3"/>
  <c r="Z97" i="3"/>
  <c r="Z105" i="3"/>
  <c r="Y105" i="3"/>
  <c r="Y18" i="3"/>
  <c r="Z18" i="3" s="1"/>
  <c r="Z122" i="3"/>
  <c r="Y122" i="3"/>
  <c r="Y9" i="3"/>
  <c r="Z9" i="3" s="1"/>
  <c r="Y44" i="3"/>
  <c r="Z44" i="3"/>
  <c r="Y52" i="3"/>
  <c r="Z52" i="3"/>
  <c r="Y58" i="3"/>
  <c r="Z58" i="3"/>
  <c r="Y66" i="3"/>
  <c r="Z66" i="3"/>
  <c r="Z71" i="3"/>
  <c r="Y71" i="3"/>
  <c r="Y79" i="3"/>
  <c r="Z79" i="3"/>
  <c r="Y89" i="3"/>
  <c r="Z89" i="3"/>
  <c r="Y95" i="3"/>
  <c r="Z95" i="3"/>
  <c r="Z104" i="3"/>
  <c r="Y104" i="3"/>
  <c r="Y111" i="3"/>
  <c r="Z111" i="3"/>
  <c r="Z120" i="3"/>
  <c r="Y120" i="3"/>
  <c r="Y35" i="3"/>
  <c r="Z35" i="3"/>
  <c r="Y15" i="3"/>
  <c r="Z15" i="3" s="1"/>
  <c r="Z29" i="3"/>
  <c r="Y29" i="3"/>
  <c r="Y31" i="3"/>
  <c r="Z31" i="3"/>
  <c r="Z38" i="3"/>
  <c r="Y38" i="3"/>
  <c r="Y43" i="3"/>
  <c r="Z43" i="3"/>
  <c r="Z51" i="3"/>
  <c r="Y51" i="3"/>
  <c r="Z59" i="3"/>
  <c r="Y59" i="3"/>
  <c r="Y19" i="3"/>
  <c r="Z19" i="3" s="1"/>
  <c r="Y14" i="3"/>
  <c r="Z14" i="3" s="1"/>
  <c r="Y20" i="3"/>
  <c r="Z20" i="3" s="1"/>
  <c r="Y36" i="3"/>
  <c r="Z36" i="3"/>
  <c r="Z42" i="3"/>
  <c r="Y42" i="3"/>
  <c r="Y49" i="3"/>
  <c r="Z49" i="3"/>
  <c r="Z57" i="3"/>
  <c r="Y57" i="3"/>
  <c r="Z65" i="3"/>
  <c r="Y65" i="3"/>
  <c r="Z74" i="3"/>
  <c r="Y74" i="3"/>
  <c r="Y84" i="3"/>
  <c r="Z84" i="3"/>
  <c r="Y11" i="3"/>
  <c r="Z11" i="3" s="1"/>
  <c r="Y10" i="3"/>
  <c r="Z10" i="3" s="1"/>
  <c r="Y27" i="3"/>
  <c r="Z27" i="3" s="1"/>
  <c r="Y37" i="3"/>
  <c r="Z37" i="3"/>
  <c r="Z45" i="3"/>
  <c r="Y45" i="3"/>
  <c r="Z53" i="3"/>
  <c r="Y53" i="3"/>
  <c r="Y62" i="3"/>
  <c r="Z62" i="3"/>
  <c r="Y70" i="3"/>
  <c r="Z70" i="3"/>
  <c r="Y81" i="3"/>
  <c r="Z81" i="3"/>
  <c r="Y88" i="3"/>
  <c r="Z88" i="3"/>
  <c r="Z93" i="3"/>
  <c r="Y93" i="3"/>
  <c r="Y102" i="3"/>
  <c r="Z102" i="3"/>
  <c r="Y109" i="3"/>
  <c r="Z109" i="3"/>
  <c r="Z116" i="3"/>
  <c r="Y116" i="3"/>
  <c r="Z123" i="3"/>
  <c r="Y123" i="3"/>
  <c r="Z69" i="3"/>
  <c r="Y69" i="3"/>
  <c r="Z77" i="3"/>
  <c r="Y77" i="3"/>
  <c r="Z85" i="3"/>
  <c r="Y85" i="3"/>
  <c r="Y91" i="3"/>
  <c r="Z91" i="3"/>
  <c r="Z96" i="3"/>
  <c r="Y96" i="3"/>
  <c r="Z106" i="3"/>
  <c r="Y106" i="3"/>
  <c r="Z115" i="3"/>
  <c r="Y115" i="3"/>
  <c r="Y127" i="3"/>
  <c r="Z127" i="3"/>
  <c r="Y25" i="3"/>
  <c r="Z25" i="3" s="1"/>
  <c r="Y24" i="3"/>
  <c r="Z24" i="3" s="1"/>
  <c r="Y13" i="3"/>
  <c r="Z13" i="3" s="1"/>
  <c r="Z90" i="3"/>
  <c r="Y90" i="3"/>
  <c r="Z98" i="3"/>
  <c r="Y98" i="3"/>
  <c r="Y103" i="3"/>
  <c r="Z103" i="3"/>
  <c r="Y110" i="3"/>
  <c r="Z110" i="3"/>
  <c r="Y118" i="3"/>
  <c r="Z118" i="3"/>
  <c r="Y125" i="3"/>
  <c r="Z125" i="3"/>
  <c r="Z47" i="3"/>
  <c r="Y47" i="3"/>
  <c r="Z55" i="3"/>
  <c r="Y55" i="3"/>
  <c r="Y23" i="3"/>
  <c r="Z23" i="3" s="1"/>
  <c r="Y17" i="3"/>
  <c r="Z17" i="3" s="1"/>
  <c r="Y33" i="3"/>
  <c r="Z33" i="3"/>
  <c r="Z40" i="3"/>
  <c r="Y40" i="3"/>
  <c r="Y50" i="3"/>
  <c r="Z50" i="3"/>
  <c r="Y60" i="3"/>
  <c r="Z60" i="3"/>
  <c r="Z68" i="3"/>
  <c r="Y68" i="3"/>
  <c r="Y112" i="3"/>
  <c r="Z112" i="3"/>
  <c r="Z78" i="3"/>
  <c r="Y78" i="3"/>
  <c r="Z32" i="3"/>
  <c r="Y32" i="3"/>
  <c r="Z39" i="3"/>
  <c r="Y39" i="3"/>
  <c r="Y46" i="3"/>
  <c r="Z46" i="3"/>
  <c r="Z56" i="3"/>
  <c r="Y56" i="3"/>
  <c r="Z64" i="3"/>
  <c r="Y64" i="3"/>
  <c r="Z75" i="3"/>
  <c r="Y75" i="3"/>
  <c r="Y80" i="3"/>
  <c r="Z80" i="3"/>
  <c r="Z86" i="3"/>
  <c r="Y86" i="3"/>
  <c r="Z92" i="3"/>
  <c r="Y92" i="3"/>
  <c r="Z99" i="3"/>
  <c r="Y99" i="3"/>
  <c r="Z108" i="3"/>
  <c r="Y108" i="3"/>
  <c r="Z117" i="3"/>
  <c r="Y117" i="3"/>
  <c r="Z124" i="3"/>
  <c r="Y124" i="3"/>
  <c r="Z63" i="3"/>
  <c r="Y63" i="3"/>
  <c r="Y76" i="3"/>
  <c r="Z76" i="3"/>
  <c r="Y83" i="3"/>
  <c r="Z83" i="3"/>
  <c r="Z94" i="3"/>
  <c r="Y94" i="3"/>
  <c r="Y101" i="3"/>
  <c r="Z101" i="3"/>
  <c r="Z113" i="3"/>
  <c r="Y113" i="3"/>
  <c r="Z72" i="3"/>
  <c r="Y72" i="3"/>
  <c r="AM37" i="10"/>
  <c r="AE37" i="10"/>
  <c r="AG37" i="10" s="1"/>
  <c r="AF37" i="10"/>
  <c r="AH37" i="10" s="1"/>
  <c r="AF56" i="10"/>
  <c r="AH56" i="10" s="1"/>
  <c r="AE56" i="10"/>
  <c r="AG56" i="10" s="1"/>
  <c r="AM56" i="10"/>
  <c r="AE1201" i="10"/>
  <c r="AG1201" i="10" s="1"/>
  <c r="AF1201" i="10"/>
  <c r="AH1201" i="10" s="1"/>
  <c r="AM1201" i="10"/>
  <c r="AE1200" i="10"/>
  <c r="AG1200" i="10" s="1"/>
  <c r="AF1200" i="10"/>
  <c r="AH1200" i="10" s="1"/>
  <c r="AM1200" i="10"/>
  <c r="AE1199" i="10"/>
  <c r="AG1199" i="10" s="1"/>
  <c r="AF1199" i="10"/>
  <c r="AH1199" i="10" s="1"/>
  <c r="AM1199" i="10"/>
  <c r="AE1198" i="10"/>
  <c r="AG1198" i="10" s="1"/>
  <c r="AF1198" i="10"/>
  <c r="AH1198" i="10" s="1"/>
  <c r="AM1198" i="10"/>
  <c r="AE1197" i="10"/>
  <c r="AG1197" i="10" s="1"/>
  <c r="AF1197" i="10"/>
  <c r="AH1197" i="10" s="1"/>
  <c r="AM1197" i="10"/>
  <c r="AE1196" i="10"/>
  <c r="AG1196" i="10" s="1"/>
  <c r="AF1196" i="10"/>
  <c r="AH1196" i="10" s="1"/>
  <c r="AM1196" i="10"/>
  <c r="AE1195" i="10"/>
  <c r="AG1195" i="10" s="1"/>
  <c r="AF1195" i="10"/>
  <c r="AH1195" i="10" s="1"/>
  <c r="AM1195" i="10"/>
  <c r="AE1194" i="10"/>
  <c r="AG1194" i="10" s="1"/>
  <c r="AF1194" i="10"/>
  <c r="AH1194" i="10" s="1"/>
  <c r="AM1194" i="10"/>
  <c r="AE1193" i="10"/>
  <c r="AG1193" i="10" s="1"/>
  <c r="AF1193" i="10"/>
  <c r="AH1193" i="10" s="1"/>
  <c r="AM1193" i="10"/>
  <c r="AE1192" i="10"/>
  <c r="AG1192" i="10" s="1"/>
  <c r="AF1192" i="10"/>
  <c r="AH1192" i="10" s="1"/>
  <c r="AM1192" i="10"/>
  <c r="AE1191" i="10"/>
  <c r="AG1191" i="10" s="1"/>
  <c r="AF1191" i="10"/>
  <c r="AH1191" i="10" s="1"/>
  <c r="AM1191" i="10"/>
  <c r="AE1190" i="10"/>
  <c r="AG1190" i="10" s="1"/>
  <c r="AF1190" i="10"/>
  <c r="AH1190" i="10" s="1"/>
  <c r="AM1190" i="10"/>
  <c r="AE1189" i="10"/>
  <c r="AG1189" i="10" s="1"/>
  <c r="AF1189" i="10"/>
  <c r="AH1189" i="10" s="1"/>
  <c r="AM1189" i="10"/>
  <c r="AE1188" i="10"/>
  <c r="AG1188" i="10" s="1"/>
  <c r="AF1188" i="10"/>
  <c r="AH1188" i="10" s="1"/>
  <c r="AM1188" i="10"/>
  <c r="AE1187" i="10"/>
  <c r="AG1187" i="10" s="1"/>
  <c r="AF1187" i="10"/>
  <c r="AH1187" i="10" s="1"/>
  <c r="AM1187" i="10"/>
  <c r="AE1186" i="10"/>
  <c r="AG1186" i="10" s="1"/>
  <c r="AF1186" i="10"/>
  <c r="AH1186" i="10" s="1"/>
  <c r="AM1186" i="10"/>
  <c r="AE1185" i="10"/>
  <c r="AG1185" i="10" s="1"/>
  <c r="AF1185" i="10"/>
  <c r="AH1185" i="10" s="1"/>
  <c r="AM1185" i="10"/>
  <c r="AE1184" i="10"/>
  <c r="AG1184" i="10" s="1"/>
  <c r="AF1184" i="10"/>
  <c r="AH1184" i="10" s="1"/>
  <c r="AM1184" i="10"/>
  <c r="AE1183" i="10"/>
  <c r="AG1183" i="10" s="1"/>
  <c r="AF1183" i="10"/>
  <c r="AH1183" i="10" s="1"/>
  <c r="AM1183" i="10"/>
  <c r="AE1182" i="10"/>
  <c r="AG1182" i="10" s="1"/>
  <c r="AF1182" i="10"/>
  <c r="AH1182" i="10" s="1"/>
  <c r="AM1182" i="10"/>
  <c r="AE1181" i="10"/>
  <c r="AG1181" i="10" s="1"/>
  <c r="AF1181" i="10"/>
  <c r="AH1181" i="10" s="1"/>
  <c r="AM1181" i="10"/>
  <c r="AE1180" i="10"/>
  <c r="AG1180" i="10" s="1"/>
  <c r="AF1180" i="10"/>
  <c r="AH1180" i="10" s="1"/>
  <c r="AM1180" i="10"/>
  <c r="AE1179" i="10"/>
  <c r="AG1179" i="10" s="1"/>
  <c r="AF1179" i="10"/>
  <c r="AH1179" i="10" s="1"/>
  <c r="AM1179" i="10"/>
  <c r="AE1178" i="10"/>
  <c r="AG1178" i="10" s="1"/>
  <c r="AF1178" i="10"/>
  <c r="AH1178" i="10" s="1"/>
  <c r="AM1178" i="10"/>
  <c r="AE1177" i="10"/>
  <c r="AG1177" i="10" s="1"/>
  <c r="AF1177" i="10"/>
  <c r="AH1177" i="10" s="1"/>
  <c r="AM1177" i="10"/>
  <c r="AE1176" i="10"/>
  <c r="AG1176" i="10" s="1"/>
  <c r="AF1176" i="10"/>
  <c r="AH1176" i="10" s="1"/>
  <c r="AM1176" i="10"/>
  <c r="AE1175" i="10"/>
  <c r="AG1175" i="10" s="1"/>
  <c r="AF1175" i="10"/>
  <c r="AH1175" i="10" s="1"/>
  <c r="AM1175" i="10"/>
  <c r="AE1174" i="10"/>
  <c r="AG1174" i="10" s="1"/>
  <c r="AF1174" i="10"/>
  <c r="AH1174" i="10" s="1"/>
  <c r="AM1174" i="10"/>
  <c r="AE1173" i="10"/>
  <c r="AG1173" i="10" s="1"/>
  <c r="AF1173" i="10"/>
  <c r="AH1173" i="10" s="1"/>
  <c r="AM1173" i="10"/>
  <c r="AE1172" i="10"/>
  <c r="AG1172" i="10" s="1"/>
  <c r="AF1172" i="10"/>
  <c r="AH1172" i="10" s="1"/>
  <c r="AM1172" i="10"/>
  <c r="AE1171" i="10"/>
  <c r="AG1171" i="10" s="1"/>
  <c r="AF1171" i="10"/>
  <c r="AH1171" i="10" s="1"/>
  <c r="AM1171" i="10"/>
  <c r="AE1170" i="10"/>
  <c r="AG1170" i="10" s="1"/>
  <c r="AF1170" i="10"/>
  <c r="AH1170" i="10" s="1"/>
  <c r="AM1170" i="10"/>
  <c r="AE1169" i="10"/>
  <c r="AG1169" i="10" s="1"/>
  <c r="AF1169" i="10"/>
  <c r="AH1169" i="10" s="1"/>
  <c r="AM1169" i="10"/>
  <c r="AE1168" i="10"/>
  <c r="AG1168" i="10" s="1"/>
  <c r="AF1168" i="10"/>
  <c r="AH1168" i="10" s="1"/>
  <c r="AM1168" i="10"/>
  <c r="AE1167" i="10"/>
  <c r="AG1167" i="10" s="1"/>
  <c r="AF1167" i="10"/>
  <c r="AH1167" i="10" s="1"/>
  <c r="AM1167" i="10"/>
  <c r="AE1166" i="10"/>
  <c r="AG1166" i="10" s="1"/>
  <c r="AF1166" i="10"/>
  <c r="AH1166" i="10" s="1"/>
  <c r="AM1166" i="10"/>
  <c r="AE1165" i="10"/>
  <c r="AG1165" i="10" s="1"/>
  <c r="AF1165" i="10"/>
  <c r="AH1165" i="10" s="1"/>
  <c r="AM1165" i="10"/>
  <c r="AE1164" i="10"/>
  <c r="AG1164" i="10" s="1"/>
  <c r="AF1164" i="10"/>
  <c r="AH1164" i="10" s="1"/>
  <c r="AM1164" i="10"/>
  <c r="AE1163" i="10"/>
  <c r="AG1163" i="10" s="1"/>
  <c r="AF1163" i="10"/>
  <c r="AH1163" i="10" s="1"/>
  <c r="AM1163" i="10"/>
  <c r="AE1162" i="10"/>
  <c r="AG1162" i="10" s="1"/>
  <c r="AF1162" i="10"/>
  <c r="AH1162" i="10" s="1"/>
  <c r="AM1162" i="10"/>
  <c r="AE1161" i="10"/>
  <c r="AG1161" i="10" s="1"/>
  <c r="AF1161" i="10"/>
  <c r="AH1161" i="10" s="1"/>
  <c r="AM1161" i="10"/>
  <c r="AE1160" i="10"/>
  <c r="AG1160" i="10" s="1"/>
  <c r="AF1160" i="10"/>
  <c r="AH1160" i="10" s="1"/>
  <c r="AM1160" i="10"/>
  <c r="AE1159" i="10"/>
  <c r="AG1159" i="10" s="1"/>
  <c r="AF1159" i="10"/>
  <c r="AH1159" i="10" s="1"/>
  <c r="AM1159" i="10"/>
  <c r="AE1158" i="10"/>
  <c r="AG1158" i="10" s="1"/>
  <c r="AF1158" i="10"/>
  <c r="AH1158" i="10" s="1"/>
  <c r="AM1158" i="10"/>
  <c r="AE1157" i="10"/>
  <c r="AG1157" i="10" s="1"/>
  <c r="AF1157" i="10"/>
  <c r="AH1157" i="10" s="1"/>
  <c r="AM1157" i="10"/>
  <c r="AE1156" i="10"/>
  <c r="AG1156" i="10" s="1"/>
  <c r="AF1156" i="10"/>
  <c r="AH1156" i="10" s="1"/>
  <c r="AM1156" i="10"/>
  <c r="AE1155" i="10"/>
  <c r="AG1155" i="10" s="1"/>
  <c r="AF1155" i="10"/>
  <c r="AH1155" i="10" s="1"/>
  <c r="AM1155" i="10"/>
  <c r="AE1154" i="10"/>
  <c r="AG1154" i="10" s="1"/>
  <c r="AF1154" i="10"/>
  <c r="AH1154" i="10" s="1"/>
  <c r="AM1154" i="10"/>
  <c r="AE1153" i="10"/>
  <c r="AG1153" i="10" s="1"/>
  <c r="AF1153" i="10"/>
  <c r="AH1153" i="10" s="1"/>
  <c r="AM1153" i="10"/>
  <c r="AE1152" i="10"/>
  <c r="AG1152" i="10" s="1"/>
  <c r="AF1152" i="10"/>
  <c r="AH1152" i="10" s="1"/>
  <c r="AM1152" i="10"/>
  <c r="AE1151" i="10"/>
  <c r="AG1151" i="10" s="1"/>
  <c r="AF1151" i="10"/>
  <c r="AH1151" i="10" s="1"/>
  <c r="AM1151" i="10"/>
  <c r="AE1150" i="10"/>
  <c r="AG1150" i="10" s="1"/>
  <c r="AF1150" i="10"/>
  <c r="AH1150" i="10" s="1"/>
  <c r="AM1150" i="10"/>
  <c r="AE1149" i="10"/>
  <c r="AG1149" i="10" s="1"/>
  <c r="AF1149" i="10"/>
  <c r="AH1149" i="10" s="1"/>
  <c r="AM1149" i="10"/>
  <c r="AE1148" i="10"/>
  <c r="AG1148" i="10" s="1"/>
  <c r="AF1148" i="10"/>
  <c r="AH1148" i="10" s="1"/>
  <c r="AM1148" i="10"/>
  <c r="AE1147" i="10"/>
  <c r="AG1147" i="10" s="1"/>
  <c r="AF1147" i="10"/>
  <c r="AH1147" i="10" s="1"/>
  <c r="AM1147" i="10"/>
  <c r="AE1146" i="10"/>
  <c r="AG1146" i="10" s="1"/>
  <c r="AF1146" i="10"/>
  <c r="AH1146" i="10" s="1"/>
  <c r="AM1146" i="10"/>
  <c r="AE1145" i="10"/>
  <c r="AG1145" i="10" s="1"/>
  <c r="AF1145" i="10"/>
  <c r="AH1145" i="10" s="1"/>
  <c r="AM1145" i="10"/>
  <c r="AE1144" i="10"/>
  <c r="AG1144" i="10" s="1"/>
  <c r="AF1144" i="10"/>
  <c r="AH1144" i="10" s="1"/>
  <c r="AM1144" i="10"/>
  <c r="AE1143" i="10"/>
  <c r="AG1143" i="10" s="1"/>
  <c r="AF1143" i="10"/>
  <c r="AH1143" i="10" s="1"/>
  <c r="AM1143" i="10"/>
  <c r="AE1142" i="10"/>
  <c r="AG1142" i="10" s="1"/>
  <c r="AF1142" i="10"/>
  <c r="AH1142" i="10" s="1"/>
  <c r="AM1142" i="10"/>
  <c r="AE1141" i="10"/>
  <c r="AG1141" i="10" s="1"/>
  <c r="AF1141" i="10"/>
  <c r="AH1141" i="10" s="1"/>
  <c r="AM1141" i="10"/>
  <c r="AE1140" i="10"/>
  <c r="AG1140" i="10" s="1"/>
  <c r="AF1140" i="10"/>
  <c r="AH1140" i="10" s="1"/>
  <c r="AM1140" i="10"/>
  <c r="AE1139" i="10"/>
  <c r="AG1139" i="10" s="1"/>
  <c r="AF1139" i="10"/>
  <c r="AH1139" i="10" s="1"/>
  <c r="AM1139" i="10"/>
  <c r="AE1138" i="10"/>
  <c r="AG1138" i="10" s="1"/>
  <c r="AF1138" i="10"/>
  <c r="AH1138" i="10" s="1"/>
  <c r="AM1138" i="10"/>
  <c r="AE1136" i="10"/>
  <c r="AG1136" i="10" s="1"/>
  <c r="AF1136" i="10"/>
  <c r="AH1136" i="10" s="1"/>
  <c r="AM1136" i="10"/>
  <c r="AE1135" i="10"/>
  <c r="AG1135" i="10" s="1"/>
  <c r="AF1135" i="10"/>
  <c r="AH1135" i="10" s="1"/>
  <c r="AM1135" i="10"/>
  <c r="AE1134" i="10"/>
  <c r="AG1134" i="10" s="1"/>
  <c r="AF1134" i="10"/>
  <c r="AH1134" i="10" s="1"/>
  <c r="AM1134" i="10"/>
  <c r="AM1133" i="10"/>
  <c r="AE1133" i="10"/>
  <c r="AG1133" i="10" s="1"/>
  <c r="AF1133" i="10"/>
  <c r="AH1133" i="10" s="1"/>
  <c r="AF1132" i="10"/>
  <c r="AH1132" i="10" s="1"/>
  <c r="AE1132" i="10"/>
  <c r="AG1132" i="10" s="1"/>
  <c r="AM1132" i="10"/>
  <c r="AF1131" i="10"/>
  <c r="AH1131" i="10" s="1"/>
  <c r="AM1131" i="10"/>
  <c r="AE1131" i="10"/>
  <c r="AG1131" i="10" s="1"/>
  <c r="AE1130" i="10"/>
  <c r="AG1130" i="10" s="1"/>
  <c r="AM1130" i="10"/>
  <c r="AF1130" i="10"/>
  <c r="AH1130" i="10" s="1"/>
  <c r="AF1129" i="10"/>
  <c r="AH1129" i="10" s="1"/>
  <c r="AE1129" i="10"/>
  <c r="AG1129" i="10" s="1"/>
  <c r="AM1129" i="10"/>
  <c r="AE1128" i="10"/>
  <c r="AG1128" i="10" s="1"/>
  <c r="AF1128" i="10"/>
  <c r="AH1128" i="10" s="1"/>
  <c r="AM1128" i="10"/>
  <c r="AE1127" i="10"/>
  <c r="AG1127" i="10" s="1"/>
  <c r="AF1127" i="10"/>
  <c r="AH1127" i="10" s="1"/>
  <c r="AM1127" i="10"/>
  <c r="AE1126" i="10"/>
  <c r="AG1126" i="10" s="1"/>
  <c r="AF1126" i="10"/>
  <c r="AH1126" i="10" s="1"/>
  <c r="AM1126" i="10"/>
  <c r="AM1125" i="10"/>
  <c r="AE1125" i="10"/>
  <c r="AG1125" i="10" s="1"/>
  <c r="AF1125" i="10"/>
  <c r="AH1125" i="10" s="1"/>
  <c r="AE1124" i="10"/>
  <c r="AG1124" i="10" s="1"/>
  <c r="AF1124" i="10"/>
  <c r="AH1124" i="10" s="1"/>
  <c r="AM1124" i="10"/>
  <c r="AF1123" i="10"/>
  <c r="AH1123" i="10" s="1"/>
  <c r="AE1123" i="10"/>
  <c r="AG1123" i="10" s="1"/>
  <c r="AM1123" i="10"/>
  <c r="AF1122" i="10"/>
  <c r="AH1122" i="10" s="1"/>
  <c r="AM1122" i="10"/>
  <c r="AE1122" i="10"/>
  <c r="AG1122" i="10" s="1"/>
  <c r="AM1121" i="10"/>
  <c r="AE1121" i="10"/>
  <c r="AG1121" i="10" s="1"/>
  <c r="AF1121" i="10"/>
  <c r="AH1121" i="10" s="1"/>
  <c r="AE1120" i="10"/>
  <c r="AG1120" i="10" s="1"/>
  <c r="AM1120" i="10"/>
  <c r="AF1120" i="10"/>
  <c r="AH1120" i="10" s="1"/>
  <c r="AE1119" i="10"/>
  <c r="AG1119" i="10" s="1"/>
  <c r="AF1119" i="10"/>
  <c r="AH1119" i="10" s="1"/>
  <c r="AM1119" i="10"/>
  <c r="AE1118" i="10"/>
  <c r="AG1118" i="10" s="1"/>
  <c r="AF1118" i="10"/>
  <c r="AH1118" i="10" s="1"/>
  <c r="AM1118" i="10"/>
  <c r="AF1117" i="10"/>
  <c r="AH1117" i="10" s="1"/>
  <c r="AE1117" i="10"/>
  <c r="AG1117" i="10" s="1"/>
  <c r="AM1117" i="10"/>
  <c r="AF1116" i="10"/>
  <c r="AH1116" i="10" s="1"/>
  <c r="AM1116" i="10"/>
  <c r="AE1116" i="10"/>
  <c r="AG1116" i="10" s="1"/>
  <c r="AM1115" i="10"/>
  <c r="AE1115" i="10"/>
  <c r="AG1115" i="10" s="1"/>
  <c r="AF1115" i="10"/>
  <c r="AH1115" i="10" s="1"/>
  <c r="AF1114" i="10"/>
  <c r="AH1114" i="10" s="1"/>
  <c r="AM1114" i="10"/>
  <c r="AE1114" i="10"/>
  <c r="AG1114" i="10" s="1"/>
  <c r="AE1113" i="10"/>
  <c r="AG1113" i="10" s="1"/>
  <c r="AM1113" i="10"/>
  <c r="AF1113" i="10"/>
  <c r="AH1113" i="10" s="1"/>
  <c r="AF1112" i="10"/>
  <c r="AH1112" i="10" s="1"/>
  <c r="AM1112" i="10"/>
  <c r="AE1112" i="10"/>
  <c r="AG1112" i="10" s="1"/>
  <c r="AF1111" i="10"/>
  <c r="AH1111" i="10" s="1"/>
  <c r="AE1111" i="10"/>
  <c r="AG1111" i="10" s="1"/>
  <c r="AM1111" i="10"/>
  <c r="AM1110" i="10"/>
  <c r="AE1110" i="10"/>
  <c r="AG1110" i="10" s="1"/>
  <c r="AF1110" i="10"/>
  <c r="AH1110" i="10" s="1"/>
  <c r="AE1109" i="10"/>
  <c r="AG1109" i="10" s="1"/>
  <c r="AF1109" i="10"/>
  <c r="AH1109" i="10" s="1"/>
  <c r="AM1109" i="10"/>
  <c r="AE1108" i="10"/>
  <c r="AG1108" i="10" s="1"/>
  <c r="AF1108" i="10"/>
  <c r="AH1108" i="10" s="1"/>
  <c r="AM1108" i="10"/>
  <c r="AF1107" i="10"/>
  <c r="AH1107" i="10" s="1"/>
  <c r="AM1107" i="10"/>
  <c r="AE1107" i="10"/>
  <c r="AG1107" i="10" s="1"/>
  <c r="AE1106" i="10"/>
  <c r="AG1106" i="10" s="1"/>
  <c r="AF1106" i="10"/>
  <c r="AH1106" i="10" s="1"/>
  <c r="AM1106" i="10"/>
  <c r="AE1105" i="10"/>
  <c r="AG1105" i="10" s="1"/>
  <c r="AM1105" i="10"/>
  <c r="AF1105" i="10"/>
  <c r="AH1105" i="10" s="1"/>
  <c r="AF1104" i="10"/>
  <c r="AH1104" i="10" s="1"/>
  <c r="AM1104" i="10"/>
  <c r="AE1104" i="10"/>
  <c r="AG1104" i="10" s="1"/>
  <c r="AE1103" i="10"/>
  <c r="AG1103" i="10" s="1"/>
  <c r="AF1103" i="10"/>
  <c r="AH1103" i="10" s="1"/>
  <c r="AM1103" i="10"/>
  <c r="AE1102" i="10"/>
  <c r="AG1102" i="10" s="1"/>
  <c r="AF1102" i="10"/>
  <c r="AH1102" i="10" s="1"/>
  <c r="AM1102" i="10"/>
  <c r="AF1101" i="10"/>
  <c r="AH1101" i="10" s="1"/>
  <c r="AE1101" i="10"/>
  <c r="AG1101" i="10" s="1"/>
  <c r="AM1101" i="10"/>
  <c r="AF1100" i="10"/>
  <c r="AH1100" i="10" s="1"/>
  <c r="AE1100" i="10"/>
  <c r="AG1100" i="10" s="1"/>
  <c r="AM1100" i="10"/>
  <c r="AF1099" i="10"/>
  <c r="AH1099" i="10" s="1"/>
  <c r="AE1099" i="10"/>
  <c r="AG1099" i="10" s="1"/>
  <c r="AM1099" i="10"/>
  <c r="AM1098" i="10"/>
  <c r="AE1098" i="10"/>
  <c r="AG1098" i="10" s="1"/>
  <c r="AF1098" i="10"/>
  <c r="AH1098" i="10" s="1"/>
  <c r="AF1097" i="10"/>
  <c r="AH1097" i="10" s="1"/>
  <c r="AE1097" i="10"/>
  <c r="AG1097" i="10" s="1"/>
  <c r="AM1097" i="10"/>
  <c r="AE1096" i="10"/>
  <c r="AG1096" i="10" s="1"/>
  <c r="AM1096" i="10"/>
  <c r="AF1096" i="10"/>
  <c r="AH1096" i="10" s="1"/>
  <c r="AF1095" i="10"/>
  <c r="AH1095" i="10" s="1"/>
  <c r="AM1095" i="10"/>
  <c r="AE1095" i="10"/>
  <c r="AG1095" i="10" s="1"/>
  <c r="AF1094" i="10"/>
  <c r="AH1094" i="10" s="1"/>
  <c r="AM1094" i="10"/>
  <c r="AE1094" i="10"/>
  <c r="AG1094" i="10" s="1"/>
  <c r="AM1093" i="10"/>
  <c r="AE1093" i="10"/>
  <c r="AG1093" i="10" s="1"/>
  <c r="AF1093" i="10"/>
  <c r="AH1093" i="10" s="1"/>
  <c r="AF1092" i="10"/>
  <c r="AH1092" i="10" s="1"/>
  <c r="AE1092" i="10"/>
  <c r="AG1092" i="10" s="1"/>
  <c r="AM1092" i="10"/>
  <c r="AF1091" i="10"/>
  <c r="AH1091" i="10" s="1"/>
  <c r="AE1091" i="10"/>
  <c r="AG1091" i="10" s="1"/>
  <c r="AM1091" i="10"/>
  <c r="AE1090" i="10"/>
  <c r="AG1090" i="10" s="1"/>
  <c r="AF1090" i="10"/>
  <c r="AH1090" i="10" s="1"/>
  <c r="AM1090" i="10"/>
  <c r="AF1089" i="10"/>
  <c r="AH1089" i="10" s="1"/>
  <c r="AM1089" i="10"/>
  <c r="AE1089" i="10"/>
  <c r="AG1089" i="10" s="1"/>
  <c r="AF1088" i="10"/>
  <c r="AH1088" i="10" s="1"/>
  <c r="AM1088" i="10"/>
  <c r="AE1088" i="10"/>
  <c r="AG1088" i="10" s="1"/>
  <c r="AF1087" i="10"/>
  <c r="AH1087" i="10" s="1"/>
  <c r="AM1087" i="10"/>
  <c r="AE1087" i="10"/>
  <c r="AG1087" i="10" s="1"/>
  <c r="AE1086" i="10"/>
  <c r="AG1086" i="10" s="1"/>
  <c r="AF1086" i="10"/>
  <c r="AH1086" i="10" s="1"/>
  <c r="AM1086" i="10"/>
  <c r="AF1085" i="10"/>
  <c r="AH1085" i="10" s="1"/>
  <c r="AM1085" i="10"/>
  <c r="AE1085" i="10"/>
  <c r="AG1085" i="10" s="1"/>
  <c r="AF1084" i="10"/>
  <c r="AH1084" i="10" s="1"/>
  <c r="AE1084" i="10"/>
  <c r="AG1084" i="10" s="1"/>
  <c r="AM1084" i="10"/>
  <c r="AF1083" i="10"/>
  <c r="AH1083" i="10" s="1"/>
  <c r="AE1083" i="10"/>
  <c r="AG1083" i="10" s="1"/>
  <c r="AM1083" i="10"/>
  <c r="AF1082" i="10"/>
  <c r="AH1082" i="10" s="1"/>
  <c r="AM1082" i="10"/>
  <c r="AE1082" i="10"/>
  <c r="AG1082" i="10" s="1"/>
  <c r="AE1081" i="10"/>
  <c r="AG1081" i="10" s="1"/>
  <c r="AF1081" i="10"/>
  <c r="AH1081" i="10" s="1"/>
  <c r="AM1081" i="10"/>
  <c r="AE1080" i="10"/>
  <c r="AG1080" i="10" s="1"/>
  <c r="AM1080" i="10"/>
  <c r="AF1080" i="10"/>
  <c r="AH1080" i="10" s="1"/>
  <c r="AE1079" i="10"/>
  <c r="AG1079" i="10" s="1"/>
  <c r="AF1079" i="10"/>
  <c r="AH1079" i="10" s="1"/>
  <c r="AM1079" i="10"/>
  <c r="AF1078" i="10"/>
  <c r="AH1078" i="10" s="1"/>
  <c r="AM1078" i="10"/>
  <c r="AE1078" i="10"/>
  <c r="AG1078" i="10" s="1"/>
  <c r="AF1077" i="10"/>
  <c r="AH1077" i="10" s="1"/>
  <c r="AM1077" i="10"/>
  <c r="AE1077" i="10"/>
  <c r="AG1077" i="10" s="1"/>
  <c r="AF1076" i="10"/>
  <c r="AH1076" i="10" s="1"/>
  <c r="AE1076" i="10"/>
  <c r="AG1076" i="10" s="1"/>
  <c r="AM1076" i="10"/>
  <c r="AE1075" i="10"/>
  <c r="AG1075" i="10" s="1"/>
  <c r="AF1075" i="10"/>
  <c r="AH1075" i="10" s="1"/>
  <c r="AM1075" i="10"/>
  <c r="AF1074" i="10"/>
  <c r="AH1074" i="10" s="1"/>
  <c r="AE1074" i="10"/>
  <c r="AG1074" i="10" s="1"/>
  <c r="AM1074" i="10"/>
  <c r="AF1073" i="10"/>
  <c r="AH1073" i="10" s="1"/>
  <c r="AM1073" i="10"/>
  <c r="AE1073" i="10"/>
  <c r="AG1073" i="10" s="1"/>
  <c r="AE1072" i="10"/>
  <c r="AG1072" i="10" s="1"/>
  <c r="AM1072" i="10"/>
  <c r="AF1072" i="10"/>
  <c r="AH1072" i="10" s="1"/>
  <c r="AE1071" i="10"/>
  <c r="AG1071" i="10" s="1"/>
  <c r="AF1071" i="10"/>
  <c r="AH1071" i="10" s="1"/>
  <c r="AM1071" i="10"/>
  <c r="AE1070" i="10"/>
  <c r="AG1070" i="10" s="1"/>
  <c r="AF1070" i="10"/>
  <c r="AH1070" i="10" s="1"/>
  <c r="AM1070" i="10"/>
  <c r="AE1069" i="10"/>
  <c r="AG1069" i="10" s="1"/>
  <c r="AF1069" i="10"/>
  <c r="AH1069" i="10" s="1"/>
  <c r="AM1069" i="10"/>
  <c r="AE1068" i="10"/>
  <c r="AG1068" i="10" s="1"/>
  <c r="AF1068" i="10"/>
  <c r="AH1068" i="10" s="1"/>
  <c r="AM1068" i="10"/>
  <c r="AE1067" i="10"/>
  <c r="AG1067" i="10" s="1"/>
  <c r="AF1067" i="10"/>
  <c r="AH1067" i="10" s="1"/>
  <c r="AM1067" i="10"/>
  <c r="AE1066" i="10"/>
  <c r="AG1066" i="10" s="1"/>
  <c r="AF1066" i="10"/>
  <c r="AH1066" i="10" s="1"/>
  <c r="AM1066" i="10"/>
  <c r="AE1065" i="10"/>
  <c r="AG1065" i="10" s="1"/>
  <c r="AF1065" i="10"/>
  <c r="AH1065" i="10" s="1"/>
  <c r="AM1065" i="10"/>
  <c r="AE1064" i="10"/>
  <c r="AG1064" i="10" s="1"/>
  <c r="AF1064" i="10"/>
  <c r="AH1064" i="10" s="1"/>
  <c r="AM1064" i="10"/>
  <c r="AE1063" i="10"/>
  <c r="AG1063" i="10" s="1"/>
  <c r="AF1063" i="10"/>
  <c r="AH1063" i="10" s="1"/>
  <c r="AM1063" i="10"/>
  <c r="AE1062" i="10"/>
  <c r="AG1062" i="10" s="1"/>
  <c r="AF1062" i="10"/>
  <c r="AH1062" i="10" s="1"/>
  <c r="AM1062" i="10"/>
  <c r="AE1061" i="10"/>
  <c r="AG1061" i="10" s="1"/>
  <c r="AF1061" i="10"/>
  <c r="AH1061" i="10" s="1"/>
  <c r="AM1061" i="10"/>
  <c r="AE1060" i="10"/>
  <c r="AG1060" i="10" s="1"/>
  <c r="AF1060" i="10"/>
  <c r="AH1060" i="10" s="1"/>
  <c r="AM1060" i="10"/>
  <c r="AE1059" i="10"/>
  <c r="AG1059" i="10" s="1"/>
  <c r="AF1059" i="10"/>
  <c r="AH1059" i="10" s="1"/>
  <c r="AM1059" i="10"/>
  <c r="AE1058" i="10"/>
  <c r="AG1058" i="10" s="1"/>
  <c r="AF1058" i="10"/>
  <c r="AH1058" i="10" s="1"/>
  <c r="AM1058" i="10"/>
  <c r="AE1057" i="10"/>
  <c r="AG1057" i="10" s="1"/>
  <c r="AF1057" i="10"/>
  <c r="AH1057" i="10" s="1"/>
  <c r="AM1057" i="10"/>
  <c r="AE1056" i="10"/>
  <c r="AG1056" i="10" s="1"/>
  <c r="AF1056" i="10"/>
  <c r="AH1056" i="10" s="1"/>
  <c r="AM1056" i="10"/>
  <c r="AE1055" i="10"/>
  <c r="AG1055" i="10" s="1"/>
  <c r="AF1055" i="10"/>
  <c r="AH1055" i="10" s="1"/>
  <c r="AM1055" i="10"/>
  <c r="AE1054" i="10"/>
  <c r="AG1054" i="10" s="1"/>
  <c r="AF1054" i="10"/>
  <c r="AH1054" i="10" s="1"/>
  <c r="AM1054" i="10"/>
  <c r="AE1053" i="10"/>
  <c r="AG1053" i="10" s="1"/>
  <c r="AF1053" i="10"/>
  <c r="AH1053" i="10" s="1"/>
  <c r="AM1053" i="10"/>
  <c r="AE1052" i="10"/>
  <c r="AG1052" i="10" s="1"/>
  <c r="AF1052" i="10"/>
  <c r="AH1052" i="10" s="1"/>
  <c r="AM1052" i="10"/>
  <c r="AE1051" i="10"/>
  <c r="AG1051" i="10" s="1"/>
  <c r="AF1051" i="10"/>
  <c r="AH1051" i="10" s="1"/>
  <c r="AM1051" i="10"/>
  <c r="AE1050" i="10"/>
  <c r="AG1050" i="10" s="1"/>
  <c r="AF1050" i="10"/>
  <c r="AH1050" i="10" s="1"/>
  <c r="AM1050" i="10"/>
  <c r="AE1049" i="10"/>
  <c r="AG1049" i="10" s="1"/>
  <c r="AF1049" i="10"/>
  <c r="AH1049" i="10" s="1"/>
  <c r="AM1049" i="10"/>
  <c r="AE1048" i="10"/>
  <c r="AG1048" i="10" s="1"/>
  <c r="AF1048" i="10"/>
  <c r="AH1048" i="10" s="1"/>
  <c r="AM1048" i="10"/>
  <c r="AE1047" i="10"/>
  <c r="AG1047" i="10" s="1"/>
  <c r="AF1047" i="10"/>
  <c r="AH1047" i="10" s="1"/>
  <c r="AM1047" i="10"/>
  <c r="AE1046" i="10"/>
  <c r="AG1046" i="10" s="1"/>
  <c r="AF1046" i="10"/>
  <c r="AH1046" i="10" s="1"/>
  <c r="AM1046" i="10"/>
  <c r="AE1045" i="10"/>
  <c r="AG1045" i="10" s="1"/>
  <c r="AF1045" i="10"/>
  <c r="AH1045" i="10" s="1"/>
  <c r="AM1045" i="10"/>
  <c r="AE1044" i="10"/>
  <c r="AG1044" i="10" s="1"/>
  <c r="AF1044" i="10"/>
  <c r="AH1044" i="10" s="1"/>
  <c r="AM1044" i="10"/>
  <c r="AE1043" i="10"/>
  <c r="AG1043" i="10" s="1"/>
  <c r="AF1043" i="10"/>
  <c r="AH1043" i="10" s="1"/>
  <c r="AM1043" i="10"/>
  <c r="AE1042" i="10"/>
  <c r="AG1042" i="10" s="1"/>
  <c r="AF1042" i="10"/>
  <c r="AH1042" i="10" s="1"/>
  <c r="AM1042" i="10"/>
  <c r="AE1041" i="10"/>
  <c r="AG1041" i="10" s="1"/>
  <c r="AF1041" i="10"/>
  <c r="AH1041" i="10" s="1"/>
  <c r="AM1041" i="10"/>
  <c r="AE1040" i="10"/>
  <c r="AG1040" i="10" s="1"/>
  <c r="AF1040" i="10"/>
  <c r="AH1040" i="10" s="1"/>
  <c r="AM1040" i="10"/>
  <c r="AE1039" i="10"/>
  <c r="AG1039" i="10" s="1"/>
  <c r="AF1039" i="10"/>
  <c r="AH1039" i="10" s="1"/>
  <c r="AM1039" i="10"/>
  <c r="AE1038" i="10"/>
  <c r="AG1038" i="10" s="1"/>
  <c r="AF1038" i="10"/>
  <c r="AH1038" i="10" s="1"/>
  <c r="AM1038" i="10"/>
  <c r="AE1037" i="10"/>
  <c r="AG1037" i="10" s="1"/>
  <c r="AF1037" i="10"/>
  <c r="AH1037" i="10" s="1"/>
  <c r="AM1037" i="10"/>
  <c r="AE1036" i="10"/>
  <c r="AG1036" i="10" s="1"/>
  <c r="AF1036" i="10"/>
  <c r="AH1036" i="10" s="1"/>
  <c r="AM1036" i="10"/>
  <c r="AE1035" i="10"/>
  <c r="AG1035" i="10" s="1"/>
  <c r="AF1035" i="10"/>
  <c r="AH1035" i="10" s="1"/>
  <c r="AM1035" i="10"/>
  <c r="AE1034" i="10"/>
  <c r="AG1034" i="10" s="1"/>
  <c r="AF1034" i="10"/>
  <c r="AH1034" i="10" s="1"/>
  <c r="AM1034" i="10"/>
  <c r="AE1033" i="10"/>
  <c r="AG1033" i="10" s="1"/>
  <c r="AF1033" i="10"/>
  <c r="AH1033" i="10" s="1"/>
  <c r="AM1033" i="10"/>
  <c r="AE1032" i="10"/>
  <c r="AG1032" i="10" s="1"/>
  <c r="AF1032" i="10"/>
  <c r="AH1032" i="10" s="1"/>
  <c r="AM1032" i="10"/>
  <c r="AE1031" i="10"/>
  <c r="AG1031" i="10" s="1"/>
  <c r="AF1031" i="10"/>
  <c r="AH1031" i="10" s="1"/>
  <c r="AM1031" i="10"/>
  <c r="AE1030" i="10"/>
  <c r="AG1030" i="10" s="1"/>
  <c r="AF1030" i="10"/>
  <c r="AH1030" i="10" s="1"/>
  <c r="AM1030" i="10"/>
  <c r="AE1029" i="10"/>
  <c r="AG1029" i="10" s="1"/>
  <c r="AF1029" i="10"/>
  <c r="AH1029" i="10" s="1"/>
  <c r="AM1029" i="10"/>
  <c r="AE1028" i="10"/>
  <c r="AG1028" i="10" s="1"/>
  <c r="AF1028" i="10"/>
  <c r="AH1028" i="10" s="1"/>
  <c r="AM1028" i="10"/>
  <c r="AE1027" i="10"/>
  <c r="AG1027" i="10" s="1"/>
  <c r="AF1027" i="10"/>
  <c r="AH1027" i="10" s="1"/>
  <c r="AM1027" i="10"/>
  <c r="AE1026" i="10"/>
  <c r="AG1026" i="10" s="1"/>
  <c r="AF1026" i="10"/>
  <c r="AH1026" i="10" s="1"/>
  <c r="AM1026" i="10"/>
  <c r="AE1025" i="10"/>
  <c r="AG1025" i="10" s="1"/>
  <c r="AF1025" i="10"/>
  <c r="AH1025" i="10" s="1"/>
  <c r="AM1025" i="10"/>
  <c r="AE1024" i="10"/>
  <c r="AG1024" i="10" s="1"/>
  <c r="AF1024" i="10"/>
  <c r="AH1024" i="10" s="1"/>
  <c r="AM1024" i="10"/>
  <c r="AE1023" i="10"/>
  <c r="AG1023" i="10" s="1"/>
  <c r="AF1023" i="10"/>
  <c r="AH1023" i="10" s="1"/>
  <c r="AM1023" i="10"/>
  <c r="AE1022" i="10"/>
  <c r="AG1022" i="10" s="1"/>
  <c r="AF1022" i="10"/>
  <c r="AH1022" i="10" s="1"/>
  <c r="AM1022" i="10"/>
  <c r="AE1021" i="10"/>
  <c r="AG1021" i="10" s="1"/>
  <c r="AF1021" i="10"/>
  <c r="AH1021" i="10" s="1"/>
  <c r="AM1021" i="10"/>
  <c r="AE1020" i="10"/>
  <c r="AG1020" i="10" s="1"/>
  <c r="AF1020" i="10"/>
  <c r="AH1020" i="10" s="1"/>
  <c r="AM1020" i="10"/>
  <c r="AE1019" i="10"/>
  <c r="AG1019" i="10" s="1"/>
  <c r="AF1019" i="10"/>
  <c r="AH1019" i="10" s="1"/>
  <c r="AM1019" i="10"/>
  <c r="AE1018" i="10"/>
  <c r="AG1018" i="10" s="1"/>
  <c r="AF1018" i="10"/>
  <c r="AH1018" i="10" s="1"/>
  <c r="AM1018" i="10"/>
  <c r="AE1017" i="10"/>
  <c r="AG1017" i="10" s="1"/>
  <c r="AF1017" i="10"/>
  <c r="AH1017" i="10" s="1"/>
  <c r="AM1017" i="10"/>
  <c r="AE1016" i="10"/>
  <c r="AG1016" i="10" s="1"/>
  <c r="AF1016" i="10"/>
  <c r="AH1016" i="10" s="1"/>
  <c r="AM1016" i="10"/>
  <c r="AE1015" i="10"/>
  <c r="AG1015" i="10" s="1"/>
  <c r="AF1015" i="10"/>
  <c r="AH1015" i="10" s="1"/>
  <c r="AM1015" i="10"/>
  <c r="AE1014" i="10"/>
  <c r="AG1014" i="10" s="1"/>
  <c r="AF1014" i="10"/>
  <c r="AH1014" i="10" s="1"/>
  <c r="AM1014" i="10"/>
  <c r="AE1013" i="10"/>
  <c r="AG1013" i="10" s="1"/>
  <c r="AF1013" i="10"/>
  <c r="AH1013" i="10" s="1"/>
  <c r="AM1013" i="10"/>
  <c r="AE1012" i="10"/>
  <c r="AG1012" i="10" s="1"/>
  <c r="AF1012" i="10"/>
  <c r="AH1012" i="10" s="1"/>
  <c r="AM1012" i="10"/>
  <c r="AE1011" i="10"/>
  <c r="AG1011" i="10" s="1"/>
  <c r="AF1011" i="10"/>
  <c r="AH1011" i="10" s="1"/>
  <c r="AM1011" i="10"/>
  <c r="AE1010" i="10"/>
  <c r="AG1010" i="10" s="1"/>
  <c r="AF1010" i="10"/>
  <c r="AH1010" i="10" s="1"/>
  <c r="AM1010" i="10"/>
  <c r="AE1009" i="10"/>
  <c r="AG1009" i="10" s="1"/>
  <c r="AF1009" i="10"/>
  <c r="AH1009" i="10" s="1"/>
  <c r="AM1009" i="10"/>
  <c r="AE1008" i="10"/>
  <c r="AG1008" i="10" s="1"/>
  <c r="AF1008" i="10"/>
  <c r="AH1008" i="10" s="1"/>
  <c r="AM1008" i="10"/>
  <c r="AE1007" i="10"/>
  <c r="AG1007" i="10" s="1"/>
  <c r="AF1007" i="10"/>
  <c r="AH1007" i="10" s="1"/>
  <c r="AM1007" i="10"/>
  <c r="AE1006" i="10"/>
  <c r="AG1006" i="10" s="1"/>
  <c r="AF1006" i="10"/>
  <c r="AH1006" i="10" s="1"/>
  <c r="AM1006" i="10"/>
  <c r="AE1005" i="10"/>
  <c r="AG1005" i="10" s="1"/>
  <c r="AF1005" i="10"/>
  <c r="AH1005" i="10" s="1"/>
  <c r="AM1005" i="10"/>
  <c r="AE1004" i="10"/>
  <c r="AG1004" i="10" s="1"/>
  <c r="AF1004" i="10"/>
  <c r="AH1004" i="10" s="1"/>
  <c r="AM1004" i="10"/>
  <c r="AE1003" i="10"/>
  <c r="AG1003" i="10" s="1"/>
  <c r="AF1003" i="10"/>
  <c r="AH1003" i="10" s="1"/>
  <c r="AM1003" i="10"/>
  <c r="AE1002" i="10"/>
  <c r="AG1002" i="10" s="1"/>
  <c r="AF1002" i="10"/>
  <c r="AH1002" i="10" s="1"/>
  <c r="AM1002" i="10"/>
  <c r="AE1001" i="10"/>
  <c r="AG1001" i="10" s="1"/>
  <c r="AF1001" i="10"/>
  <c r="AH1001" i="10" s="1"/>
  <c r="AM1001" i="10"/>
  <c r="AE1000" i="10"/>
  <c r="AG1000" i="10" s="1"/>
  <c r="AF1000" i="10"/>
  <c r="AH1000" i="10" s="1"/>
  <c r="AM1000" i="10"/>
  <c r="AE999" i="10"/>
  <c r="AG999" i="10" s="1"/>
  <c r="AF999" i="10"/>
  <c r="AH999" i="10" s="1"/>
  <c r="AM999" i="10"/>
  <c r="AE998" i="10"/>
  <c r="AG998" i="10" s="1"/>
  <c r="AF998" i="10"/>
  <c r="AH998" i="10" s="1"/>
  <c r="AM998" i="10"/>
  <c r="AE997" i="10"/>
  <c r="AG997" i="10" s="1"/>
  <c r="AF997" i="10"/>
  <c r="AH997" i="10" s="1"/>
  <c r="AM997" i="10"/>
  <c r="AE996" i="10"/>
  <c r="AG996" i="10" s="1"/>
  <c r="AF996" i="10"/>
  <c r="AH996" i="10" s="1"/>
  <c r="AM996" i="10"/>
  <c r="AE995" i="10"/>
  <c r="AG995" i="10" s="1"/>
  <c r="AF995" i="10"/>
  <c r="AH995" i="10" s="1"/>
  <c r="AM995" i="10"/>
  <c r="AE994" i="10"/>
  <c r="AG994" i="10" s="1"/>
  <c r="AF994" i="10"/>
  <c r="AH994" i="10" s="1"/>
  <c r="AM994" i="10"/>
  <c r="AE993" i="10"/>
  <c r="AG993" i="10" s="1"/>
  <c r="AF993" i="10"/>
  <c r="AH993" i="10" s="1"/>
  <c r="AM993" i="10"/>
  <c r="AE992" i="10"/>
  <c r="AG992" i="10" s="1"/>
  <c r="AF992" i="10"/>
  <c r="AH992" i="10" s="1"/>
  <c r="AM992" i="10"/>
  <c r="AE991" i="10"/>
  <c r="AG991" i="10" s="1"/>
  <c r="AF991" i="10"/>
  <c r="AH991" i="10" s="1"/>
  <c r="AM991" i="10"/>
  <c r="AE990" i="10"/>
  <c r="AG990" i="10" s="1"/>
  <c r="AF990" i="10"/>
  <c r="AH990" i="10" s="1"/>
  <c r="AM990" i="10"/>
  <c r="AE989" i="10"/>
  <c r="AG989" i="10" s="1"/>
  <c r="AF989" i="10"/>
  <c r="AH989" i="10" s="1"/>
  <c r="AM989" i="10"/>
  <c r="AE988" i="10"/>
  <c r="AG988" i="10" s="1"/>
  <c r="AF988" i="10"/>
  <c r="AH988" i="10" s="1"/>
  <c r="AM988" i="10"/>
  <c r="AE987" i="10"/>
  <c r="AG987" i="10" s="1"/>
  <c r="AF987" i="10"/>
  <c r="AH987" i="10" s="1"/>
  <c r="AM987" i="10"/>
  <c r="AE986" i="10"/>
  <c r="AG986" i="10" s="1"/>
  <c r="AF986" i="10"/>
  <c r="AH986" i="10" s="1"/>
  <c r="AM986" i="10"/>
  <c r="AE985" i="10"/>
  <c r="AG985" i="10" s="1"/>
  <c r="AF985" i="10"/>
  <c r="AH985" i="10" s="1"/>
  <c r="AM985" i="10"/>
  <c r="AE984" i="10"/>
  <c r="AG984" i="10" s="1"/>
  <c r="AF984" i="10"/>
  <c r="AH984" i="10" s="1"/>
  <c r="AM984" i="10"/>
  <c r="AE983" i="10"/>
  <c r="AG983" i="10" s="1"/>
  <c r="AF983" i="10"/>
  <c r="AH983" i="10" s="1"/>
  <c r="AM983" i="10"/>
  <c r="AE982" i="10"/>
  <c r="AG982" i="10" s="1"/>
  <c r="AF982" i="10"/>
  <c r="AH982" i="10" s="1"/>
  <c r="AM982" i="10"/>
  <c r="AE981" i="10"/>
  <c r="AG981" i="10" s="1"/>
  <c r="AF981" i="10"/>
  <c r="AH981" i="10" s="1"/>
  <c r="AM981" i="10"/>
  <c r="AE980" i="10"/>
  <c r="AG980" i="10" s="1"/>
  <c r="AF980" i="10"/>
  <c r="AH980" i="10" s="1"/>
  <c r="AM980" i="10"/>
  <c r="AE979" i="10"/>
  <c r="AG979" i="10" s="1"/>
  <c r="AF979" i="10"/>
  <c r="AH979" i="10" s="1"/>
  <c r="AM979" i="10"/>
  <c r="AE978" i="10"/>
  <c r="AG978" i="10" s="1"/>
  <c r="AF978" i="10"/>
  <c r="AH978" i="10" s="1"/>
  <c r="AM978" i="10"/>
  <c r="AE977" i="10"/>
  <c r="AG977" i="10" s="1"/>
  <c r="AF977" i="10"/>
  <c r="AH977" i="10" s="1"/>
  <c r="AM977" i="10"/>
  <c r="AE976" i="10"/>
  <c r="AG976" i="10" s="1"/>
  <c r="AF976" i="10"/>
  <c r="AH976" i="10" s="1"/>
  <c r="AM976" i="10"/>
  <c r="AE975" i="10"/>
  <c r="AG975" i="10" s="1"/>
  <c r="AF975" i="10"/>
  <c r="AH975" i="10" s="1"/>
  <c r="AM975" i="10"/>
  <c r="AE974" i="10"/>
  <c r="AG974" i="10" s="1"/>
  <c r="AF974" i="10"/>
  <c r="AH974" i="10" s="1"/>
  <c r="AM974" i="10"/>
  <c r="AE973" i="10"/>
  <c r="AG973" i="10" s="1"/>
  <c r="AF973" i="10"/>
  <c r="AH973" i="10" s="1"/>
  <c r="AM973" i="10"/>
  <c r="AE972" i="10"/>
  <c r="AG972" i="10" s="1"/>
  <c r="AF972" i="10"/>
  <c r="AH972" i="10" s="1"/>
  <c r="AM972" i="10"/>
  <c r="AE971" i="10"/>
  <c r="AG971" i="10" s="1"/>
  <c r="AF971" i="10"/>
  <c r="AH971" i="10" s="1"/>
  <c r="AM971" i="10"/>
  <c r="AE970" i="10"/>
  <c r="AG970" i="10" s="1"/>
  <c r="AF970" i="10"/>
  <c r="AH970" i="10" s="1"/>
  <c r="AM970" i="10"/>
  <c r="AE969" i="10"/>
  <c r="AG969" i="10" s="1"/>
  <c r="AF969" i="10"/>
  <c r="AH969" i="10" s="1"/>
  <c r="AM969" i="10"/>
  <c r="AE968" i="10"/>
  <c r="AG968" i="10" s="1"/>
  <c r="AF968" i="10"/>
  <c r="AH968" i="10" s="1"/>
  <c r="AM968" i="10"/>
  <c r="AE967" i="10"/>
  <c r="AG967" i="10" s="1"/>
  <c r="AF967" i="10"/>
  <c r="AH967" i="10" s="1"/>
  <c r="AM967" i="10"/>
  <c r="AF966" i="10"/>
  <c r="AH966" i="10" s="1"/>
  <c r="AM966" i="10"/>
  <c r="AE966" i="10"/>
  <c r="AG966" i="10" s="1"/>
  <c r="AM965" i="10"/>
  <c r="AE965" i="10"/>
  <c r="AG965" i="10" s="1"/>
  <c r="AF965" i="10"/>
  <c r="AH965" i="10" s="1"/>
  <c r="AE964" i="10"/>
  <c r="AG964" i="10" s="1"/>
  <c r="AF964" i="10"/>
  <c r="AH964" i="10" s="1"/>
  <c r="AM964" i="10"/>
  <c r="AM963" i="10"/>
  <c r="AE963" i="10"/>
  <c r="AG963" i="10" s="1"/>
  <c r="AF963" i="10"/>
  <c r="AH963" i="10" s="1"/>
  <c r="AF962" i="10"/>
  <c r="AH962" i="10" s="1"/>
  <c r="AE962" i="10"/>
  <c r="AG962" i="10" s="1"/>
  <c r="AM962" i="10"/>
  <c r="AF961" i="10"/>
  <c r="AH961" i="10" s="1"/>
  <c r="AM961" i="10"/>
  <c r="AE961" i="10"/>
  <c r="AG961" i="10" s="1"/>
  <c r="AE960" i="10"/>
  <c r="AG960" i="10" s="1"/>
  <c r="AM960" i="10"/>
  <c r="AF960" i="10"/>
  <c r="AH960" i="10" s="1"/>
  <c r="AE959" i="10"/>
  <c r="AG959" i="10" s="1"/>
  <c r="AF959" i="10"/>
  <c r="AH959" i="10" s="1"/>
  <c r="AM959" i="10"/>
  <c r="AF958" i="10"/>
  <c r="AH958" i="10" s="1"/>
  <c r="AE958" i="10"/>
  <c r="AG958" i="10" s="1"/>
  <c r="AM958" i="10"/>
  <c r="AM957" i="10"/>
  <c r="AF957" i="10"/>
  <c r="AH957" i="10" s="1"/>
  <c r="AE957" i="10"/>
  <c r="AG957" i="10" s="1"/>
  <c r="AE956" i="10"/>
  <c r="AG956" i="10" s="1"/>
  <c r="AM956" i="10"/>
  <c r="AF956" i="10"/>
  <c r="AH956" i="10" s="1"/>
  <c r="AE955" i="10"/>
  <c r="AG955" i="10" s="1"/>
  <c r="AF955" i="10"/>
  <c r="AH955" i="10" s="1"/>
  <c r="AM955" i="10"/>
  <c r="AE954" i="10"/>
  <c r="AG954" i="10" s="1"/>
  <c r="AF954" i="10"/>
  <c r="AH954" i="10" s="1"/>
  <c r="AM954" i="10"/>
  <c r="AF953" i="10"/>
  <c r="AH953" i="10" s="1"/>
  <c r="AM953" i="10"/>
  <c r="AE953" i="10"/>
  <c r="AG953" i="10" s="1"/>
  <c r="AF952" i="10"/>
  <c r="AH952" i="10" s="1"/>
  <c r="AE952" i="10"/>
  <c r="AG952" i="10" s="1"/>
  <c r="AM952" i="10"/>
  <c r="AM951" i="10"/>
  <c r="AF951" i="10"/>
  <c r="AH951" i="10" s="1"/>
  <c r="AE951" i="10"/>
  <c r="AG951" i="10" s="1"/>
  <c r="AM950" i="10"/>
  <c r="AF950" i="10"/>
  <c r="AH950" i="10" s="1"/>
  <c r="AE950" i="10"/>
  <c r="AG950" i="10" s="1"/>
  <c r="AF949" i="10"/>
  <c r="AH949" i="10" s="1"/>
  <c r="AE949" i="10"/>
  <c r="AG949" i="10" s="1"/>
  <c r="AM949" i="10"/>
  <c r="AF948" i="10"/>
  <c r="AH948" i="10" s="1"/>
  <c r="AE948" i="10"/>
  <c r="AG948" i="10" s="1"/>
  <c r="AM948" i="10"/>
  <c r="AF947" i="10"/>
  <c r="AH947" i="10" s="1"/>
  <c r="AM947" i="10"/>
  <c r="AE947" i="10"/>
  <c r="AG947" i="10" s="1"/>
  <c r="AF946" i="10"/>
  <c r="AH946" i="10" s="1"/>
  <c r="AE946" i="10"/>
  <c r="AG946" i="10" s="1"/>
  <c r="AM946" i="10"/>
  <c r="AE945" i="10"/>
  <c r="AG945" i="10" s="1"/>
  <c r="AM945" i="10"/>
  <c r="AF945" i="10"/>
  <c r="AH945" i="10" s="1"/>
  <c r="AF944" i="10"/>
  <c r="AH944" i="10" s="1"/>
  <c r="AE944" i="10"/>
  <c r="AG944" i="10" s="1"/>
  <c r="AM944" i="10"/>
  <c r="AE942" i="10"/>
  <c r="AG942" i="10" s="1"/>
  <c r="AF942" i="10"/>
  <c r="AH942" i="10" s="1"/>
  <c r="AM942" i="10"/>
  <c r="AE941" i="10"/>
  <c r="AG941" i="10" s="1"/>
  <c r="AF941" i="10"/>
  <c r="AH941" i="10" s="1"/>
  <c r="AM941" i="10"/>
  <c r="AE940" i="10"/>
  <c r="AG940" i="10" s="1"/>
  <c r="AF940" i="10"/>
  <c r="AH940" i="10" s="1"/>
  <c r="AM940" i="10"/>
  <c r="AE939" i="10"/>
  <c r="AG939" i="10" s="1"/>
  <c r="AF939" i="10"/>
  <c r="AH939" i="10" s="1"/>
  <c r="AM939" i="10"/>
  <c r="AE938" i="10"/>
  <c r="AG938" i="10" s="1"/>
  <c r="AF938" i="10"/>
  <c r="AH938" i="10" s="1"/>
  <c r="AM938" i="10"/>
  <c r="AE937" i="10"/>
  <c r="AG937" i="10" s="1"/>
  <c r="AF937" i="10"/>
  <c r="AH937" i="10" s="1"/>
  <c r="AM937" i="10"/>
  <c r="AE936" i="10"/>
  <c r="AG936" i="10" s="1"/>
  <c r="AF936" i="10"/>
  <c r="AH936" i="10" s="1"/>
  <c r="AM936" i="10"/>
  <c r="AE935" i="10"/>
  <c r="AG935" i="10" s="1"/>
  <c r="AF935" i="10"/>
  <c r="AH935" i="10" s="1"/>
  <c r="AM935" i="10"/>
  <c r="AE934" i="10"/>
  <c r="AG934" i="10" s="1"/>
  <c r="AF934" i="10"/>
  <c r="AH934" i="10" s="1"/>
  <c r="AM934" i="10"/>
  <c r="AE933" i="10"/>
  <c r="AG933" i="10" s="1"/>
  <c r="AF933" i="10"/>
  <c r="AH933" i="10" s="1"/>
  <c r="AM933" i="10"/>
  <c r="AE932" i="10"/>
  <c r="AG932" i="10" s="1"/>
  <c r="AF932" i="10"/>
  <c r="AH932" i="10" s="1"/>
  <c r="AM932" i="10"/>
  <c r="AE931" i="10"/>
  <c r="AG931" i="10" s="1"/>
  <c r="AF931" i="10"/>
  <c r="AH931" i="10" s="1"/>
  <c r="AM931" i="10"/>
  <c r="AE930" i="10"/>
  <c r="AG930" i="10" s="1"/>
  <c r="AF930" i="10"/>
  <c r="AH930" i="10" s="1"/>
  <c r="AM930" i="10"/>
  <c r="AE929" i="10"/>
  <c r="AG929" i="10" s="1"/>
  <c r="AF929" i="10"/>
  <c r="AH929" i="10" s="1"/>
  <c r="AM929" i="10"/>
  <c r="AE928" i="10"/>
  <c r="AG928" i="10" s="1"/>
  <c r="AF928" i="10"/>
  <c r="AH928" i="10" s="1"/>
  <c r="AM928" i="10"/>
  <c r="AE927" i="10"/>
  <c r="AG927" i="10" s="1"/>
  <c r="AF927" i="10"/>
  <c r="AH927" i="10" s="1"/>
  <c r="AM927" i="10"/>
  <c r="AE926" i="10"/>
  <c r="AG926" i="10" s="1"/>
  <c r="AF926" i="10"/>
  <c r="AH926" i="10" s="1"/>
  <c r="AM926" i="10"/>
  <c r="AE925" i="10"/>
  <c r="AG925" i="10" s="1"/>
  <c r="AF925" i="10"/>
  <c r="AH925" i="10" s="1"/>
  <c r="AM925" i="10"/>
  <c r="AE924" i="10"/>
  <c r="AG924" i="10" s="1"/>
  <c r="AF924" i="10"/>
  <c r="AH924" i="10" s="1"/>
  <c r="AM924" i="10"/>
  <c r="AE923" i="10"/>
  <c r="AG923" i="10" s="1"/>
  <c r="AF923" i="10"/>
  <c r="AH923" i="10" s="1"/>
  <c r="AM923" i="10"/>
  <c r="AE922" i="10"/>
  <c r="AG922" i="10" s="1"/>
  <c r="AF922" i="10"/>
  <c r="AH922" i="10" s="1"/>
  <c r="AM922" i="10"/>
  <c r="AE921" i="10"/>
  <c r="AG921" i="10" s="1"/>
  <c r="AF921" i="10"/>
  <c r="AH921" i="10" s="1"/>
  <c r="AM921" i="10"/>
  <c r="AE920" i="10"/>
  <c r="AG920" i="10" s="1"/>
  <c r="AF920" i="10"/>
  <c r="AH920" i="10" s="1"/>
  <c r="AM920" i="10"/>
  <c r="AE919" i="10"/>
  <c r="AG919" i="10" s="1"/>
  <c r="AF919" i="10"/>
  <c r="AH919" i="10" s="1"/>
  <c r="AM919" i="10"/>
  <c r="AE918" i="10"/>
  <c r="AG918" i="10" s="1"/>
  <c r="AF918" i="10"/>
  <c r="AH918" i="10" s="1"/>
  <c r="AM918" i="10"/>
  <c r="AE917" i="10"/>
  <c r="AG917" i="10" s="1"/>
  <c r="AF917" i="10"/>
  <c r="AH917" i="10" s="1"/>
  <c r="AM917" i="10"/>
  <c r="AE916" i="10"/>
  <c r="AG916" i="10" s="1"/>
  <c r="AF916" i="10"/>
  <c r="AH916" i="10" s="1"/>
  <c r="AM916" i="10"/>
  <c r="AE915" i="10"/>
  <c r="AG915" i="10" s="1"/>
  <c r="AF915" i="10"/>
  <c r="AH915" i="10" s="1"/>
  <c r="AM915" i="10"/>
  <c r="AE914" i="10"/>
  <c r="AG914" i="10" s="1"/>
  <c r="AF914" i="10"/>
  <c r="AH914" i="10" s="1"/>
  <c r="AM914" i="10"/>
  <c r="AE913" i="10"/>
  <c r="AG913" i="10" s="1"/>
  <c r="AF913" i="10"/>
  <c r="AH913" i="10" s="1"/>
  <c r="AM913" i="10"/>
  <c r="AE912" i="10"/>
  <c r="AG912" i="10" s="1"/>
  <c r="AF912" i="10"/>
  <c r="AH912" i="10" s="1"/>
  <c r="AM912" i="10"/>
  <c r="AE911" i="10"/>
  <c r="AG911" i="10" s="1"/>
  <c r="AF911" i="10"/>
  <c r="AH911" i="10" s="1"/>
  <c r="AM911" i="10"/>
  <c r="AE910" i="10"/>
  <c r="AG910" i="10" s="1"/>
  <c r="AF910" i="10"/>
  <c r="AH910" i="10" s="1"/>
  <c r="AM910" i="10"/>
  <c r="AE909" i="10"/>
  <c r="AG909" i="10" s="1"/>
  <c r="AF909" i="10"/>
  <c r="AH909" i="10" s="1"/>
  <c r="AM909" i="10"/>
  <c r="AE908" i="10"/>
  <c r="AG908" i="10" s="1"/>
  <c r="AF908" i="10"/>
  <c r="AH908" i="10" s="1"/>
  <c r="AM908" i="10"/>
  <c r="AE907" i="10"/>
  <c r="AG907" i="10" s="1"/>
  <c r="AF907" i="10"/>
  <c r="AH907" i="10" s="1"/>
  <c r="AM907" i="10"/>
  <c r="AE906" i="10"/>
  <c r="AG906" i="10" s="1"/>
  <c r="AF906" i="10"/>
  <c r="AH906" i="10" s="1"/>
  <c r="AM906" i="10"/>
  <c r="AE905" i="10"/>
  <c r="AG905" i="10" s="1"/>
  <c r="AF905" i="10"/>
  <c r="AH905" i="10" s="1"/>
  <c r="AM905" i="10"/>
  <c r="AE904" i="10"/>
  <c r="AG904" i="10" s="1"/>
  <c r="AF904" i="10"/>
  <c r="AH904" i="10" s="1"/>
  <c r="AM904" i="10"/>
  <c r="AE903" i="10"/>
  <c r="AG903" i="10" s="1"/>
  <c r="AF903" i="10"/>
  <c r="AH903" i="10" s="1"/>
  <c r="AM903" i="10"/>
  <c r="AE902" i="10"/>
  <c r="AG902" i="10" s="1"/>
  <c r="AF902" i="10"/>
  <c r="AH902" i="10" s="1"/>
  <c r="AM902" i="10"/>
  <c r="AE901" i="10"/>
  <c r="AG901" i="10" s="1"/>
  <c r="AF901" i="10"/>
  <c r="AH901" i="10" s="1"/>
  <c r="AM901" i="10"/>
  <c r="AE900" i="10"/>
  <c r="AG900" i="10" s="1"/>
  <c r="AF900" i="10"/>
  <c r="AH900" i="10" s="1"/>
  <c r="AM900" i="10"/>
  <c r="AE899" i="10"/>
  <c r="AG899" i="10" s="1"/>
  <c r="AF899" i="10"/>
  <c r="AH899" i="10" s="1"/>
  <c r="AM899" i="10"/>
  <c r="AE898" i="10"/>
  <c r="AG898" i="10" s="1"/>
  <c r="AF898" i="10"/>
  <c r="AH898" i="10" s="1"/>
  <c r="AM898" i="10"/>
  <c r="AE897" i="10"/>
  <c r="AG897" i="10" s="1"/>
  <c r="AF897" i="10"/>
  <c r="AH897" i="10" s="1"/>
  <c r="AM897" i="10"/>
  <c r="AE896" i="10"/>
  <c r="AG896" i="10" s="1"/>
  <c r="AF896" i="10"/>
  <c r="AH896" i="10" s="1"/>
  <c r="AM896" i="10"/>
  <c r="AE895" i="10"/>
  <c r="AG895" i="10" s="1"/>
  <c r="AF895" i="10"/>
  <c r="AH895" i="10" s="1"/>
  <c r="AM895" i="10"/>
  <c r="AE894" i="10"/>
  <c r="AG894" i="10" s="1"/>
  <c r="AF894" i="10"/>
  <c r="AH894" i="10" s="1"/>
  <c r="AM894" i="10"/>
  <c r="AE893" i="10"/>
  <c r="AG893" i="10" s="1"/>
  <c r="AF893" i="10"/>
  <c r="AH893" i="10" s="1"/>
  <c r="AM893" i="10"/>
  <c r="AE892" i="10"/>
  <c r="AG892" i="10" s="1"/>
  <c r="AF892" i="10"/>
  <c r="AH892" i="10" s="1"/>
  <c r="AM892" i="10"/>
  <c r="AE891" i="10"/>
  <c r="AG891" i="10" s="1"/>
  <c r="AF891" i="10"/>
  <c r="AH891" i="10" s="1"/>
  <c r="AM891" i="10"/>
  <c r="AE890" i="10"/>
  <c r="AG890" i="10" s="1"/>
  <c r="AF890" i="10"/>
  <c r="AH890" i="10" s="1"/>
  <c r="AM890" i="10"/>
  <c r="AE889" i="10"/>
  <c r="AG889" i="10" s="1"/>
  <c r="AF889" i="10"/>
  <c r="AH889" i="10" s="1"/>
  <c r="AM889" i="10"/>
  <c r="AE888" i="10"/>
  <c r="AG888" i="10" s="1"/>
  <c r="AF888" i="10"/>
  <c r="AH888" i="10" s="1"/>
  <c r="AM888" i="10"/>
  <c r="AE887" i="10"/>
  <c r="AG887" i="10" s="1"/>
  <c r="AF887" i="10"/>
  <c r="AH887" i="10" s="1"/>
  <c r="AM887" i="10"/>
  <c r="AE886" i="10"/>
  <c r="AG886" i="10" s="1"/>
  <c r="AF886" i="10"/>
  <c r="AH886" i="10" s="1"/>
  <c r="AM886" i="10"/>
  <c r="AE885" i="10"/>
  <c r="AG885" i="10" s="1"/>
  <c r="AF885" i="10"/>
  <c r="AH885" i="10" s="1"/>
  <c r="AM885" i="10"/>
  <c r="AE884" i="10"/>
  <c r="AG884" i="10" s="1"/>
  <c r="AF884" i="10"/>
  <c r="AH884" i="10" s="1"/>
  <c r="AM884" i="10"/>
  <c r="AE883" i="10"/>
  <c r="AG883" i="10" s="1"/>
  <c r="AF883" i="10"/>
  <c r="AH883" i="10" s="1"/>
  <c r="AM883" i="10"/>
  <c r="AE882" i="10"/>
  <c r="AG882" i="10" s="1"/>
  <c r="AF882" i="10"/>
  <c r="AH882" i="10" s="1"/>
  <c r="AM882" i="10"/>
  <c r="AE881" i="10"/>
  <c r="AG881" i="10" s="1"/>
  <c r="AF881" i="10"/>
  <c r="AH881" i="10" s="1"/>
  <c r="AM881" i="10"/>
  <c r="AE880" i="10"/>
  <c r="AG880" i="10" s="1"/>
  <c r="AF880" i="10"/>
  <c r="AH880" i="10" s="1"/>
  <c r="AM880" i="10"/>
  <c r="AE879" i="10"/>
  <c r="AG879" i="10" s="1"/>
  <c r="AF879" i="10"/>
  <c r="AH879" i="10" s="1"/>
  <c r="AM879" i="10"/>
  <c r="AE877" i="10"/>
  <c r="AG877" i="10" s="1"/>
  <c r="AF877" i="10"/>
  <c r="AH877" i="10" s="1"/>
  <c r="AM877" i="10"/>
  <c r="AE876" i="10"/>
  <c r="AG876" i="10" s="1"/>
  <c r="AF876" i="10"/>
  <c r="AH876" i="10" s="1"/>
  <c r="AM876" i="10"/>
  <c r="AE875" i="10"/>
  <c r="AG875" i="10" s="1"/>
  <c r="AF875" i="10"/>
  <c r="AH875" i="10" s="1"/>
  <c r="AM875" i="10"/>
  <c r="AE874" i="10"/>
  <c r="AG874" i="10" s="1"/>
  <c r="AF874" i="10"/>
  <c r="AH874" i="10" s="1"/>
  <c r="AM874" i="10"/>
  <c r="AE873" i="10"/>
  <c r="AG873" i="10" s="1"/>
  <c r="AF873" i="10"/>
  <c r="AH873" i="10" s="1"/>
  <c r="AM873" i="10"/>
  <c r="AE872" i="10"/>
  <c r="AG872" i="10" s="1"/>
  <c r="AF872" i="10"/>
  <c r="AH872" i="10" s="1"/>
  <c r="AM872" i="10"/>
  <c r="AE871" i="10"/>
  <c r="AG871" i="10" s="1"/>
  <c r="AF871" i="10"/>
  <c r="AH871" i="10" s="1"/>
  <c r="AM871" i="10"/>
  <c r="AE870" i="10"/>
  <c r="AG870" i="10" s="1"/>
  <c r="AF870" i="10"/>
  <c r="AH870" i="10" s="1"/>
  <c r="AM870" i="10"/>
  <c r="AE869" i="10"/>
  <c r="AG869" i="10" s="1"/>
  <c r="AF869" i="10"/>
  <c r="AH869" i="10" s="1"/>
  <c r="AM869" i="10"/>
  <c r="AE868" i="10"/>
  <c r="AG868" i="10" s="1"/>
  <c r="AF868" i="10"/>
  <c r="AH868" i="10" s="1"/>
  <c r="AM868" i="10"/>
  <c r="AE867" i="10"/>
  <c r="AG867" i="10" s="1"/>
  <c r="AF867" i="10"/>
  <c r="AH867" i="10" s="1"/>
  <c r="AM867" i="10"/>
  <c r="AE866" i="10"/>
  <c r="AG866" i="10" s="1"/>
  <c r="AF866" i="10"/>
  <c r="AH866" i="10" s="1"/>
  <c r="AM866" i="10"/>
  <c r="AE865" i="10"/>
  <c r="AG865" i="10" s="1"/>
  <c r="AF865" i="10"/>
  <c r="AH865" i="10" s="1"/>
  <c r="AM865" i="10"/>
  <c r="AE864" i="10"/>
  <c r="AG864" i="10" s="1"/>
  <c r="AF864" i="10"/>
  <c r="AH864" i="10" s="1"/>
  <c r="AM864" i="10"/>
  <c r="AE863" i="10"/>
  <c r="AG863" i="10" s="1"/>
  <c r="AF863" i="10"/>
  <c r="AH863" i="10" s="1"/>
  <c r="AM863" i="10"/>
  <c r="AE862" i="10"/>
  <c r="AG862" i="10" s="1"/>
  <c r="AF862" i="10"/>
  <c r="AH862" i="10" s="1"/>
  <c r="AM862" i="10"/>
  <c r="AE861" i="10"/>
  <c r="AG861" i="10" s="1"/>
  <c r="AF861" i="10"/>
  <c r="AH861" i="10" s="1"/>
  <c r="AM861" i="10"/>
  <c r="AE860" i="10"/>
  <c r="AG860" i="10" s="1"/>
  <c r="AF860" i="10"/>
  <c r="AH860" i="10" s="1"/>
  <c r="AM860" i="10"/>
  <c r="AE859" i="10"/>
  <c r="AG859" i="10" s="1"/>
  <c r="AF859" i="10"/>
  <c r="AH859" i="10" s="1"/>
  <c r="AM859" i="10"/>
  <c r="AE858" i="10"/>
  <c r="AG858" i="10" s="1"/>
  <c r="AF858" i="10"/>
  <c r="AH858" i="10" s="1"/>
  <c r="AM858" i="10"/>
  <c r="AE857" i="10"/>
  <c r="AG857" i="10" s="1"/>
  <c r="AF857" i="10"/>
  <c r="AH857" i="10" s="1"/>
  <c r="AM857" i="10"/>
  <c r="AE856" i="10"/>
  <c r="AG856" i="10" s="1"/>
  <c r="AF856" i="10"/>
  <c r="AH856" i="10" s="1"/>
  <c r="AM856" i="10"/>
  <c r="AE855" i="10"/>
  <c r="AG855" i="10" s="1"/>
  <c r="AF855" i="10"/>
  <c r="AH855" i="10" s="1"/>
  <c r="AM855" i="10"/>
  <c r="AE854" i="10"/>
  <c r="AG854" i="10" s="1"/>
  <c r="AF854" i="10"/>
  <c r="AH854" i="10" s="1"/>
  <c r="AM854" i="10"/>
  <c r="AE853" i="10"/>
  <c r="AG853" i="10" s="1"/>
  <c r="AF853" i="10"/>
  <c r="AH853" i="10" s="1"/>
  <c r="AM853" i="10"/>
  <c r="AE852" i="10"/>
  <c r="AG852" i="10" s="1"/>
  <c r="AF852" i="10"/>
  <c r="AH852" i="10" s="1"/>
  <c r="AM852" i="10"/>
  <c r="AE851" i="10"/>
  <c r="AG851" i="10" s="1"/>
  <c r="AF851" i="10"/>
  <c r="AH851" i="10" s="1"/>
  <c r="AM851" i="10"/>
  <c r="AE850" i="10"/>
  <c r="AG850" i="10" s="1"/>
  <c r="AF850" i="10"/>
  <c r="AH850" i="10" s="1"/>
  <c r="AM850" i="10"/>
  <c r="AE849" i="10"/>
  <c r="AG849" i="10" s="1"/>
  <c r="AF849" i="10"/>
  <c r="AH849" i="10" s="1"/>
  <c r="AM849" i="10"/>
  <c r="AE848" i="10"/>
  <c r="AG848" i="10" s="1"/>
  <c r="AF848" i="10"/>
  <c r="AH848" i="10" s="1"/>
  <c r="AM848" i="10"/>
  <c r="AE847" i="10"/>
  <c r="AG847" i="10" s="1"/>
  <c r="AF847" i="10"/>
  <c r="AH847" i="10" s="1"/>
  <c r="AM847" i="10"/>
  <c r="AE846" i="10"/>
  <c r="AG846" i="10" s="1"/>
  <c r="AF846" i="10"/>
  <c r="AH846" i="10" s="1"/>
  <c r="AM846" i="10"/>
  <c r="AE845" i="10"/>
  <c r="AG845" i="10" s="1"/>
  <c r="AF845" i="10"/>
  <c r="AH845" i="10" s="1"/>
  <c r="AM845" i="10"/>
  <c r="AE844" i="10"/>
  <c r="AG844" i="10" s="1"/>
  <c r="AF844" i="10"/>
  <c r="AH844" i="10" s="1"/>
  <c r="AM844" i="10"/>
  <c r="AE843" i="10"/>
  <c r="AG843" i="10" s="1"/>
  <c r="AF843" i="10"/>
  <c r="AH843" i="10" s="1"/>
  <c r="AM843" i="10"/>
  <c r="AE842" i="10"/>
  <c r="AG842" i="10" s="1"/>
  <c r="AF842" i="10"/>
  <c r="AH842" i="10" s="1"/>
  <c r="AM842" i="10"/>
  <c r="AE841" i="10"/>
  <c r="AG841" i="10" s="1"/>
  <c r="AF841" i="10"/>
  <c r="AH841" i="10" s="1"/>
  <c r="AM841" i="10"/>
  <c r="AF840" i="10"/>
  <c r="AH840" i="10" s="1"/>
  <c r="AM840" i="10"/>
  <c r="AE840" i="10"/>
  <c r="AG840" i="10" s="1"/>
  <c r="AF839" i="10"/>
  <c r="AH839" i="10" s="1"/>
  <c r="AE839" i="10"/>
  <c r="AG839" i="10" s="1"/>
  <c r="AM839" i="10"/>
  <c r="AF838" i="10"/>
  <c r="AH838" i="10" s="1"/>
  <c r="AM838" i="10"/>
  <c r="AE838" i="10"/>
  <c r="AG838" i="10" s="1"/>
  <c r="AE837" i="10"/>
  <c r="AG837" i="10" s="1"/>
  <c r="AF837" i="10"/>
  <c r="AH837" i="10" s="1"/>
  <c r="AM837" i="10"/>
  <c r="AF836" i="10"/>
  <c r="AH836" i="10" s="1"/>
  <c r="AM836" i="10"/>
  <c r="AE836" i="10"/>
  <c r="AG836" i="10" s="1"/>
  <c r="AM835" i="10"/>
  <c r="AF835" i="10"/>
  <c r="AH835" i="10" s="1"/>
  <c r="AE835" i="10"/>
  <c r="AG835" i="10" s="1"/>
  <c r="AF834" i="10"/>
  <c r="AH834" i="10" s="1"/>
  <c r="AE834" i="10"/>
  <c r="AG834" i="10" s="1"/>
  <c r="AM834" i="10"/>
  <c r="AE833" i="10"/>
  <c r="AG833" i="10" s="1"/>
  <c r="AF833" i="10"/>
  <c r="AH833" i="10" s="1"/>
  <c r="AM833" i="10"/>
  <c r="AF832" i="10"/>
  <c r="AH832" i="10" s="1"/>
  <c r="AM832" i="10"/>
  <c r="AE832" i="10"/>
  <c r="AG832" i="10" s="1"/>
  <c r="AM831" i="10"/>
  <c r="AF831" i="10"/>
  <c r="AH831" i="10" s="1"/>
  <c r="AE831" i="10"/>
  <c r="AG831" i="10" s="1"/>
  <c r="AF830" i="10"/>
  <c r="AH830" i="10" s="1"/>
  <c r="AM830" i="10"/>
  <c r="AE830" i="10"/>
  <c r="AG830" i="10" s="1"/>
  <c r="AF829" i="10"/>
  <c r="AH829" i="10" s="1"/>
  <c r="AM829" i="10"/>
  <c r="AE829" i="10"/>
  <c r="AG829" i="10" s="1"/>
  <c r="AM828" i="10"/>
  <c r="AF828" i="10"/>
  <c r="AH828" i="10" s="1"/>
  <c r="AE828" i="10"/>
  <c r="AG828" i="10" s="1"/>
  <c r="AF827" i="10"/>
  <c r="AH827" i="10" s="1"/>
  <c r="AE827" i="10"/>
  <c r="AG827" i="10" s="1"/>
  <c r="AM827" i="10"/>
  <c r="AF826" i="10"/>
  <c r="AH826" i="10" s="1"/>
  <c r="AM826" i="10"/>
  <c r="AE826" i="10"/>
  <c r="AG826" i="10" s="1"/>
  <c r="AF825" i="10"/>
  <c r="AH825" i="10" s="1"/>
  <c r="AE825" i="10"/>
  <c r="AG825" i="10" s="1"/>
  <c r="AM825" i="10"/>
  <c r="AM824" i="10"/>
  <c r="AF824" i="10"/>
  <c r="AH824" i="10" s="1"/>
  <c r="AE824" i="10"/>
  <c r="AG824" i="10" s="1"/>
  <c r="AM823" i="10"/>
  <c r="AF823" i="10"/>
  <c r="AH823" i="10" s="1"/>
  <c r="AE823" i="10"/>
  <c r="AG823" i="10" s="1"/>
  <c r="AF822" i="10"/>
  <c r="AH822" i="10" s="1"/>
  <c r="AM822" i="10"/>
  <c r="AE822" i="10"/>
  <c r="AG822" i="10" s="1"/>
  <c r="AF821" i="10"/>
  <c r="AH821" i="10" s="1"/>
  <c r="AE821" i="10"/>
  <c r="AG821" i="10" s="1"/>
  <c r="AM821" i="10"/>
  <c r="AM820" i="10"/>
  <c r="AE820" i="10"/>
  <c r="AG820" i="10" s="1"/>
  <c r="AF820" i="10"/>
  <c r="AH820" i="10" s="1"/>
  <c r="AE819" i="10"/>
  <c r="AG819" i="10" s="1"/>
  <c r="AF819" i="10"/>
  <c r="AH819" i="10" s="1"/>
  <c r="AM819" i="10"/>
  <c r="AF818" i="10"/>
  <c r="AH818" i="10" s="1"/>
  <c r="AM818" i="10"/>
  <c r="AE818" i="10"/>
  <c r="AG818" i="10" s="1"/>
  <c r="AF817" i="10"/>
  <c r="AH817" i="10" s="1"/>
  <c r="AM817" i="10"/>
  <c r="AE817" i="10"/>
  <c r="AG817" i="10" s="1"/>
  <c r="AF816" i="10"/>
  <c r="AH816" i="10" s="1"/>
  <c r="AE816" i="10"/>
  <c r="AG816" i="10" s="1"/>
  <c r="AM816" i="10"/>
  <c r="AF815" i="10"/>
  <c r="AH815" i="10" s="1"/>
  <c r="AM815" i="10"/>
  <c r="AE815" i="10"/>
  <c r="AG815" i="10" s="1"/>
  <c r="AM814" i="10"/>
  <c r="AE814" i="10"/>
  <c r="AG814" i="10" s="1"/>
  <c r="AF814" i="10"/>
  <c r="AH814" i="10" s="1"/>
  <c r="AE813" i="10"/>
  <c r="AG813" i="10" s="1"/>
  <c r="AF813" i="10"/>
  <c r="AH813" i="10" s="1"/>
  <c r="AM813" i="10"/>
  <c r="AE812" i="10"/>
  <c r="AG812" i="10" s="1"/>
  <c r="AF812" i="10"/>
  <c r="AH812" i="10" s="1"/>
  <c r="AM812" i="10"/>
  <c r="AE811" i="10"/>
  <c r="AG811" i="10" s="1"/>
  <c r="AF811" i="10"/>
  <c r="AH811" i="10" s="1"/>
  <c r="AM811" i="10"/>
  <c r="AE810" i="10"/>
  <c r="AG810" i="10" s="1"/>
  <c r="AF810" i="10"/>
  <c r="AH810" i="10" s="1"/>
  <c r="AM810" i="10"/>
  <c r="AE809" i="10"/>
  <c r="AG809" i="10" s="1"/>
  <c r="AF809" i="10"/>
  <c r="AH809" i="10" s="1"/>
  <c r="AM809" i="10"/>
  <c r="AE808" i="10"/>
  <c r="AG808" i="10" s="1"/>
  <c r="AF808" i="10"/>
  <c r="AH808" i="10" s="1"/>
  <c r="AM808" i="10"/>
  <c r="AE807" i="10"/>
  <c r="AG807" i="10" s="1"/>
  <c r="AF807" i="10"/>
  <c r="AH807" i="10" s="1"/>
  <c r="AM807" i="10"/>
  <c r="AE806" i="10"/>
  <c r="AG806" i="10" s="1"/>
  <c r="AF806" i="10"/>
  <c r="AH806" i="10" s="1"/>
  <c r="AM806" i="10"/>
  <c r="AE805" i="10"/>
  <c r="AG805" i="10" s="1"/>
  <c r="AF805" i="10"/>
  <c r="AH805" i="10" s="1"/>
  <c r="AM805" i="10"/>
  <c r="AE804" i="10"/>
  <c r="AG804" i="10" s="1"/>
  <c r="AF804" i="10"/>
  <c r="AH804" i="10" s="1"/>
  <c r="AM804" i="10"/>
  <c r="AE803" i="10"/>
  <c r="AG803" i="10" s="1"/>
  <c r="AF803" i="10"/>
  <c r="AH803" i="10" s="1"/>
  <c r="AM803" i="10"/>
  <c r="AE802" i="10"/>
  <c r="AG802" i="10" s="1"/>
  <c r="AF802" i="10"/>
  <c r="AH802" i="10" s="1"/>
  <c r="AM802" i="10"/>
  <c r="AE801" i="10"/>
  <c r="AG801" i="10" s="1"/>
  <c r="AF801" i="10"/>
  <c r="AH801" i="10" s="1"/>
  <c r="AM801" i="10"/>
  <c r="AE800" i="10"/>
  <c r="AG800" i="10" s="1"/>
  <c r="AF800" i="10"/>
  <c r="AH800" i="10" s="1"/>
  <c r="AM800" i="10"/>
  <c r="AE799" i="10"/>
  <c r="AG799" i="10" s="1"/>
  <c r="AF799" i="10"/>
  <c r="AH799" i="10" s="1"/>
  <c r="AM799" i="10"/>
  <c r="AE798" i="10"/>
  <c r="AG798" i="10" s="1"/>
  <c r="AF798" i="10"/>
  <c r="AH798" i="10" s="1"/>
  <c r="AM798" i="10"/>
  <c r="AE797" i="10"/>
  <c r="AG797" i="10" s="1"/>
  <c r="AF797" i="10"/>
  <c r="AH797" i="10" s="1"/>
  <c r="AM797" i="10"/>
  <c r="AE796" i="10"/>
  <c r="AG796" i="10" s="1"/>
  <c r="AF796" i="10"/>
  <c r="AH796" i="10" s="1"/>
  <c r="AM796" i="10"/>
  <c r="AE795" i="10"/>
  <c r="AG795" i="10" s="1"/>
  <c r="AF795" i="10"/>
  <c r="AH795" i="10" s="1"/>
  <c r="AM795" i="10"/>
  <c r="AE794" i="10"/>
  <c r="AG794" i="10" s="1"/>
  <c r="AF794" i="10"/>
  <c r="AH794" i="10" s="1"/>
  <c r="AM794" i="10"/>
  <c r="AE793" i="10"/>
  <c r="AG793" i="10" s="1"/>
  <c r="AF793" i="10"/>
  <c r="AH793" i="10" s="1"/>
  <c r="AM793" i="10"/>
  <c r="AE792" i="10"/>
  <c r="AG792" i="10" s="1"/>
  <c r="AF792" i="10"/>
  <c r="AH792" i="10" s="1"/>
  <c r="AM792" i="10"/>
  <c r="AE791" i="10"/>
  <c r="AG791" i="10" s="1"/>
  <c r="AF791" i="10"/>
  <c r="AH791" i="10" s="1"/>
  <c r="AM791" i="10"/>
  <c r="AE790" i="10"/>
  <c r="AG790" i="10" s="1"/>
  <c r="AF790" i="10"/>
  <c r="AH790" i="10" s="1"/>
  <c r="AM790" i="10"/>
  <c r="AE789" i="10"/>
  <c r="AG789" i="10" s="1"/>
  <c r="AF789" i="10"/>
  <c r="AH789" i="10" s="1"/>
  <c r="AM789" i="10"/>
  <c r="AE788" i="10"/>
  <c r="AG788" i="10" s="1"/>
  <c r="AF788" i="10"/>
  <c r="AH788" i="10" s="1"/>
  <c r="AM788" i="10"/>
  <c r="AE787" i="10"/>
  <c r="AG787" i="10" s="1"/>
  <c r="AF787" i="10"/>
  <c r="AH787" i="10" s="1"/>
  <c r="AM787" i="10"/>
  <c r="AE786" i="10"/>
  <c r="AG786" i="10" s="1"/>
  <c r="AF786" i="10"/>
  <c r="AH786" i="10" s="1"/>
  <c r="AM786" i="10"/>
  <c r="AE785" i="10"/>
  <c r="AG785" i="10" s="1"/>
  <c r="AF785" i="10"/>
  <c r="AH785" i="10" s="1"/>
  <c r="AM785" i="10"/>
  <c r="AE784" i="10"/>
  <c r="AG784" i="10" s="1"/>
  <c r="AF784" i="10"/>
  <c r="AH784" i="10" s="1"/>
  <c r="AM784" i="10"/>
  <c r="AE783" i="10"/>
  <c r="AG783" i="10" s="1"/>
  <c r="AF783" i="10"/>
  <c r="AH783" i="10" s="1"/>
  <c r="AM783" i="10"/>
  <c r="AE782" i="10"/>
  <c r="AG782" i="10" s="1"/>
  <c r="AF782" i="10"/>
  <c r="AH782" i="10" s="1"/>
  <c r="AM782" i="10"/>
  <c r="AE781" i="10"/>
  <c r="AG781" i="10" s="1"/>
  <c r="AF781" i="10"/>
  <c r="AH781" i="10" s="1"/>
  <c r="AM781" i="10"/>
  <c r="AE780" i="10"/>
  <c r="AG780" i="10" s="1"/>
  <c r="AF780" i="10"/>
  <c r="AH780" i="10" s="1"/>
  <c r="AM780" i="10"/>
  <c r="AE779" i="10"/>
  <c r="AG779" i="10" s="1"/>
  <c r="AF779" i="10"/>
  <c r="AH779" i="10" s="1"/>
  <c r="AM779" i="10"/>
  <c r="AE778" i="10"/>
  <c r="AG778" i="10" s="1"/>
  <c r="AF778" i="10"/>
  <c r="AH778" i="10" s="1"/>
  <c r="AM778" i="10"/>
  <c r="AE777" i="10"/>
  <c r="AG777" i="10" s="1"/>
  <c r="AF777" i="10"/>
  <c r="AH777" i="10" s="1"/>
  <c r="AM777" i="10"/>
  <c r="AE776" i="10"/>
  <c r="AG776" i="10" s="1"/>
  <c r="AF776" i="10"/>
  <c r="AH776" i="10" s="1"/>
  <c r="AM776" i="10"/>
  <c r="AE775" i="10"/>
  <c r="AG775" i="10" s="1"/>
  <c r="AF775" i="10"/>
  <c r="AH775" i="10" s="1"/>
  <c r="AM775" i="10"/>
  <c r="AE774" i="10"/>
  <c r="AG774" i="10" s="1"/>
  <c r="AF774" i="10"/>
  <c r="AH774" i="10" s="1"/>
  <c r="AM774" i="10"/>
  <c r="AE773" i="10"/>
  <c r="AG773" i="10" s="1"/>
  <c r="AF773" i="10"/>
  <c r="AH773" i="10" s="1"/>
  <c r="AM773" i="10"/>
  <c r="AE772" i="10"/>
  <c r="AG772" i="10" s="1"/>
  <c r="AF772" i="10"/>
  <c r="AH772" i="10" s="1"/>
  <c r="AM772" i="10"/>
  <c r="AE771" i="10"/>
  <c r="AG771" i="10" s="1"/>
  <c r="AF771" i="10"/>
  <c r="AH771" i="10" s="1"/>
  <c r="AM771" i="10"/>
  <c r="AE770" i="10"/>
  <c r="AG770" i="10" s="1"/>
  <c r="AF770" i="10"/>
  <c r="AH770" i="10" s="1"/>
  <c r="AM770" i="10"/>
  <c r="AE769" i="10"/>
  <c r="AG769" i="10" s="1"/>
  <c r="AF769" i="10"/>
  <c r="AH769" i="10" s="1"/>
  <c r="AM769" i="10"/>
  <c r="AE768" i="10"/>
  <c r="AG768" i="10" s="1"/>
  <c r="AF768" i="10"/>
  <c r="AH768" i="10" s="1"/>
  <c r="AM768" i="10"/>
  <c r="AE767" i="10"/>
  <c r="AG767" i="10" s="1"/>
  <c r="AF767" i="10"/>
  <c r="AH767" i="10" s="1"/>
  <c r="AM767" i="10"/>
  <c r="AE766" i="10"/>
  <c r="AG766" i="10" s="1"/>
  <c r="AF766" i="10"/>
  <c r="AH766" i="10" s="1"/>
  <c r="AM766" i="10"/>
  <c r="AE765" i="10"/>
  <c r="AG765" i="10" s="1"/>
  <c r="AF765" i="10"/>
  <c r="AH765" i="10" s="1"/>
  <c r="AM765" i="10"/>
  <c r="AE764" i="10"/>
  <c r="AG764" i="10" s="1"/>
  <c r="AF764" i="10"/>
  <c r="AH764" i="10" s="1"/>
  <c r="AM764" i="10"/>
  <c r="AE763" i="10"/>
  <c r="AG763" i="10" s="1"/>
  <c r="AF763" i="10"/>
  <c r="AH763" i="10" s="1"/>
  <c r="AM763" i="10"/>
  <c r="AE762" i="10"/>
  <c r="AG762" i="10" s="1"/>
  <c r="AF762" i="10"/>
  <c r="AH762" i="10" s="1"/>
  <c r="AM762" i="10"/>
  <c r="AE761" i="10"/>
  <c r="AG761" i="10" s="1"/>
  <c r="AF761" i="10"/>
  <c r="AH761" i="10" s="1"/>
  <c r="AM761" i="10"/>
  <c r="AE760" i="10"/>
  <c r="AG760" i="10" s="1"/>
  <c r="AF760" i="10"/>
  <c r="AH760" i="10" s="1"/>
  <c r="AM760" i="10"/>
  <c r="AE759" i="10"/>
  <c r="AG759" i="10" s="1"/>
  <c r="AF759" i="10"/>
  <c r="AH759" i="10" s="1"/>
  <c r="AM759" i="10"/>
  <c r="AE758" i="10"/>
  <c r="AG758" i="10" s="1"/>
  <c r="AF758" i="10"/>
  <c r="AH758" i="10" s="1"/>
  <c r="AM758" i="10"/>
  <c r="AE757" i="10"/>
  <c r="AG757" i="10" s="1"/>
  <c r="AF757" i="10"/>
  <c r="AH757" i="10" s="1"/>
  <c r="AM757" i="10"/>
  <c r="AE756" i="10"/>
  <c r="AG756" i="10" s="1"/>
  <c r="AF756" i="10"/>
  <c r="AH756" i="10" s="1"/>
  <c r="AM756" i="10"/>
  <c r="AE755" i="10"/>
  <c r="AG755" i="10" s="1"/>
  <c r="AF755" i="10"/>
  <c r="AH755" i="10" s="1"/>
  <c r="AM755" i="10"/>
  <c r="AE754" i="10"/>
  <c r="AG754" i="10" s="1"/>
  <c r="AF754" i="10"/>
  <c r="AH754" i="10" s="1"/>
  <c r="AM754" i="10"/>
  <c r="AE753" i="10"/>
  <c r="AG753" i="10" s="1"/>
  <c r="AF753" i="10"/>
  <c r="AH753" i="10" s="1"/>
  <c r="AM753" i="10"/>
  <c r="AE752" i="10"/>
  <c r="AG752" i="10" s="1"/>
  <c r="AF752" i="10"/>
  <c r="AH752" i="10" s="1"/>
  <c r="AM752" i="10"/>
  <c r="AE751" i="10"/>
  <c r="AG751" i="10" s="1"/>
  <c r="AF751" i="10"/>
  <c r="AH751" i="10" s="1"/>
  <c r="AM751" i="10"/>
  <c r="AE750" i="10"/>
  <c r="AG750" i="10" s="1"/>
  <c r="AF750" i="10"/>
  <c r="AH750" i="10" s="1"/>
  <c r="AM750" i="10"/>
  <c r="AE748" i="10"/>
  <c r="AG748" i="10" s="1"/>
  <c r="AF748" i="10"/>
  <c r="AH748" i="10" s="1"/>
  <c r="AM748" i="10"/>
  <c r="AE747" i="10"/>
  <c r="AG747" i="10" s="1"/>
  <c r="AF747" i="10"/>
  <c r="AH747" i="10" s="1"/>
  <c r="AM747" i="10"/>
  <c r="AE746" i="10"/>
  <c r="AG746" i="10" s="1"/>
  <c r="AF746" i="10"/>
  <c r="AH746" i="10" s="1"/>
  <c r="AM746" i="10"/>
  <c r="AE745" i="10"/>
  <c r="AG745" i="10" s="1"/>
  <c r="AF745" i="10"/>
  <c r="AH745" i="10" s="1"/>
  <c r="AM745" i="10"/>
  <c r="AE744" i="10"/>
  <c r="AG744" i="10" s="1"/>
  <c r="AF744" i="10"/>
  <c r="AH744" i="10" s="1"/>
  <c r="AM744" i="10"/>
  <c r="AE743" i="10"/>
  <c r="AG743" i="10" s="1"/>
  <c r="AF743" i="10"/>
  <c r="AH743" i="10" s="1"/>
  <c r="AM743" i="10"/>
  <c r="AE742" i="10"/>
  <c r="AG742" i="10" s="1"/>
  <c r="AF742" i="10"/>
  <c r="AH742" i="10" s="1"/>
  <c r="AM742" i="10"/>
  <c r="AE741" i="10"/>
  <c r="AG741" i="10" s="1"/>
  <c r="AF741" i="10"/>
  <c r="AH741" i="10" s="1"/>
  <c r="AM741" i="10"/>
  <c r="AE740" i="10"/>
  <c r="AG740" i="10" s="1"/>
  <c r="AF740" i="10"/>
  <c r="AH740" i="10" s="1"/>
  <c r="AM740" i="10"/>
  <c r="AE739" i="10"/>
  <c r="AG739" i="10" s="1"/>
  <c r="AF739" i="10"/>
  <c r="AH739" i="10" s="1"/>
  <c r="AM739" i="10"/>
  <c r="AE738" i="10"/>
  <c r="AG738" i="10" s="1"/>
  <c r="AF738" i="10"/>
  <c r="AH738" i="10" s="1"/>
  <c r="AM738" i="10"/>
  <c r="AE737" i="10"/>
  <c r="AG737" i="10" s="1"/>
  <c r="AF737" i="10"/>
  <c r="AH737" i="10" s="1"/>
  <c r="AM737" i="10"/>
  <c r="AE736" i="10"/>
  <c r="AG736" i="10" s="1"/>
  <c r="AF736" i="10"/>
  <c r="AH736" i="10" s="1"/>
  <c r="AM736" i="10"/>
  <c r="AE735" i="10"/>
  <c r="AG735" i="10" s="1"/>
  <c r="AF735" i="10"/>
  <c r="AH735" i="10" s="1"/>
  <c r="AM735" i="10"/>
  <c r="AE734" i="10"/>
  <c r="AG734" i="10" s="1"/>
  <c r="AF734" i="10"/>
  <c r="AH734" i="10" s="1"/>
  <c r="AM734" i="10"/>
  <c r="AE733" i="10"/>
  <c r="AG733" i="10" s="1"/>
  <c r="AF733" i="10"/>
  <c r="AH733" i="10" s="1"/>
  <c r="AM733" i="10"/>
  <c r="AE732" i="10"/>
  <c r="AG732" i="10" s="1"/>
  <c r="AF732" i="10"/>
  <c r="AH732" i="10" s="1"/>
  <c r="AM732" i="10"/>
  <c r="AE731" i="10"/>
  <c r="AG731" i="10" s="1"/>
  <c r="AF731" i="10"/>
  <c r="AH731" i="10" s="1"/>
  <c r="AM731" i="10"/>
  <c r="AE730" i="10"/>
  <c r="AG730" i="10" s="1"/>
  <c r="AF730" i="10"/>
  <c r="AH730" i="10" s="1"/>
  <c r="AM730" i="10"/>
  <c r="AE729" i="10"/>
  <c r="AG729" i="10" s="1"/>
  <c r="AF729" i="10"/>
  <c r="AH729" i="10" s="1"/>
  <c r="AM729" i="10"/>
  <c r="AE728" i="10"/>
  <c r="AG728" i="10" s="1"/>
  <c r="AF728" i="10"/>
  <c r="AH728" i="10" s="1"/>
  <c r="AM728" i="10"/>
  <c r="AE727" i="10"/>
  <c r="AG727" i="10" s="1"/>
  <c r="AF727" i="10"/>
  <c r="AH727" i="10" s="1"/>
  <c r="AM727" i="10"/>
  <c r="AE726" i="10"/>
  <c r="AG726" i="10" s="1"/>
  <c r="AF726" i="10"/>
  <c r="AH726" i="10" s="1"/>
  <c r="AM726" i="10"/>
  <c r="AE725" i="10"/>
  <c r="AG725" i="10" s="1"/>
  <c r="AF725" i="10"/>
  <c r="AH725" i="10" s="1"/>
  <c r="AM725" i="10"/>
  <c r="AE724" i="10"/>
  <c r="AG724" i="10" s="1"/>
  <c r="AF724" i="10"/>
  <c r="AH724" i="10" s="1"/>
  <c r="AM724" i="10"/>
  <c r="AE723" i="10"/>
  <c r="AG723" i="10" s="1"/>
  <c r="AF723" i="10"/>
  <c r="AH723" i="10" s="1"/>
  <c r="AM723" i="10"/>
  <c r="AE722" i="10"/>
  <c r="AG722" i="10" s="1"/>
  <c r="AF722" i="10"/>
  <c r="AH722" i="10" s="1"/>
  <c r="AM722" i="10"/>
  <c r="AE721" i="10"/>
  <c r="AG721" i="10" s="1"/>
  <c r="AF721" i="10"/>
  <c r="AH721" i="10" s="1"/>
  <c r="AM721" i="10"/>
  <c r="AE720" i="10"/>
  <c r="AG720" i="10" s="1"/>
  <c r="AF720" i="10"/>
  <c r="AH720" i="10" s="1"/>
  <c r="AM720" i="10"/>
  <c r="AE719" i="10"/>
  <c r="AG719" i="10" s="1"/>
  <c r="AF719" i="10"/>
  <c r="AH719" i="10" s="1"/>
  <c r="AM719" i="10"/>
  <c r="AE718" i="10"/>
  <c r="AG718" i="10" s="1"/>
  <c r="AF718" i="10"/>
  <c r="AH718" i="10" s="1"/>
  <c r="AM718" i="10"/>
  <c r="AE717" i="10"/>
  <c r="AG717" i="10" s="1"/>
  <c r="AF717" i="10"/>
  <c r="AH717" i="10" s="1"/>
  <c r="AM717" i="10"/>
  <c r="AE716" i="10"/>
  <c r="AG716" i="10" s="1"/>
  <c r="AF716" i="10"/>
  <c r="AH716" i="10" s="1"/>
  <c r="AM716" i="10"/>
  <c r="AE715" i="10"/>
  <c r="AG715" i="10" s="1"/>
  <c r="AF715" i="10"/>
  <c r="AH715" i="10" s="1"/>
  <c r="AM715" i="10"/>
  <c r="AE714" i="10"/>
  <c r="AG714" i="10" s="1"/>
  <c r="AF714" i="10"/>
  <c r="AH714" i="10" s="1"/>
  <c r="AM714" i="10"/>
  <c r="AE713" i="10"/>
  <c r="AG713" i="10" s="1"/>
  <c r="AF713" i="10"/>
  <c r="AH713" i="10" s="1"/>
  <c r="AM713" i="10"/>
  <c r="AE712" i="10"/>
  <c r="AG712" i="10" s="1"/>
  <c r="AF712" i="10"/>
  <c r="AH712" i="10" s="1"/>
  <c r="AM712" i="10"/>
  <c r="AE711" i="10"/>
  <c r="AG711" i="10" s="1"/>
  <c r="AF711" i="10"/>
  <c r="AH711" i="10" s="1"/>
  <c r="AM711" i="10"/>
  <c r="AE710" i="10"/>
  <c r="AG710" i="10" s="1"/>
  <c r="AF710" i="10"/>
  <c r="AH710" i="10" s="1"/>
  <c r="AM710" i="10"/>
  <c r="AE709" i="10"/>
  <c r="AG709" i="10" s="1"/>
  <c r="AF709" i="10"/>
  <c r="AH709" i="10" s="1"/>
  <c r="AM709" i="10"/>
  <c r="AE708" i="10"/>
  <c r="AG708" i="10" s="1"/>
  <c r="AF708" i="10"/>
  <c r="AH708" i="10" s="1"/>
  <c r="AM708" i="10"/>
  <c r="AE707" i="10"/>
  <c r="AG707" i="10" s="1"/>
  <c r="AF707" i="10"/>
  <c r="AH707" i="10" s="1"/>
  <c r="AM707" i="10"/>
  <c r="AE706" i="10"/>
  <c r="AG706" i="10" s="1"/>
  <c r="AF706" i="10"/>
  <c r="AH706" i="10" s="1"/>
  <c r="AM706" i="10"/>
  <c r="AE705" i="10"/>
  <c r="AG705" i="10" s="1"/>
  <c r="AF705" i="10"/>
  <c r="AH705" i="10" s="1"/>
  <c r="AM705" i="10"/>
  <c r="AE704" i="10"/>
  <c r="AG704" i="10" s="1"/>
  <c r="AF704" i="10"/>
  <c r="AH704" i="10" s="1"/>
  <c r="AM704" i="10"/>
  <c r="AE703" i="10"/>
  <c r="AG703" i="10" s="1"/>
  <c r="AF703" i="10"/>
  <c r="AH703" i="10" s="1"/>
  <c r="AM703" i="10"/>
  <c r="AE702" i="10"/>
  <c r="AG702" i="10" s="1"/>
  <c r="AF702" i="10"/>
  <c r="AH702" i="10" s="1"/>
  <c r="AM702" i="10"/>
  <c r="AE701" i="10"/>
  <c r="AG701" i="10" s="1"/>
  <c r="AF701" i="10"/>
  <c r="AH701" i="10" s="1"/>
  <c r="AM701" i="10"/>
  <c r="AE700" i="10"/>
  <c r="AG700" i="10" s="1"/>
  <c r="AF700" i="10"/>
  <c r="AH700" i="10" s="1"/>
  <c r="AM700" i="10"/>
  <c r="AE699" i="10"/>
  <c r="AG699" i="10" s="1"/>
  <c r="AF699" i="10"/>
  <c r="AH699" i="10" s="1"/>
  <c r="AM699" i="10"/>
  <c r="AE698" i="10"/>
  <c r="AG698" i="10" s="1"/>
  <c r="AF698" i="10"/>
  <c r="AH698" i="10" s="1"/>
  <c r="AM698" i="10"/>
  <c r="AE697" i="10"/>
  <c r="AG697" i="10" s="1"/>
  <c r="AF697" i="10"/>
  <c r="AH697" i="10" s="1"/>
  <c r="AM697" i="10"/>
  <c r="AE696" i="10"/>
  <c r="AG696" i="10" s="1"/>
  <c r="AF696" i="10"/>
  <c r="AH696" i="10" s="1"/>
  <c r="AM696" i="10"/>
  <c r="AE695" i="10"/>
  <c r="AG695" i="10" s="1"/>
  <c r="AF695" i="10"/>
  <c r="AH695" i="10" s="1"/>
  <c r="AM695" i="10"/>
  <c r="AE694" i="10"/>
  <c r="AG694" i="10" s="1"/>
  <c r="AF694" i="10"/>
  <c r="AH694" i="10" s="1"/>
  <c r="AM694" i="10"/>
  <c r="AE693" i="10"/>
  <c r="AG693" i="10" s="1"/>
  <c r="AF693" i="10"/>
  <c r="AH693" i="10" s="1"/>
  <c r="AM693" i="10"/>
  <c r="AE692" i="10"/>
  <c r="AG692" i="10" s="1"/>
  <c r="AF692" i="10"/>
  <c r="AH692" i="10" s="1"/>
  <c r="AM692" i="10"/>
  <c r="AE691" i="10"/>
  <c r="AG691" i="10" s="1"/>
  <c r="AF691" i="10"/>
  <c r="AH691" i="10" s="1"/>
  <c r="AM691" i="10"/>
  <c r="AE690" i="10"/>
  <c r="AG690" i="10" s="1"/>
  <c r="AF690" i="10"/>
  <c r="AH690" i="10" s="1"/>
  <c r="AM690" i="10"/>
  <c r="AE689" i="10"/>
  <c r="AG689" i="10" s="1"/>
  <c r="AF689" i="10"/>
  <c r="AH689" i="10" s="1"/>
  <c r="AM689" i="10"/>
  <c r="AF688" i="10"/>
  <c r="AH688" i="10" s="1"/>
  <c r="AM688" i="10"/>
  <c r="AE688" i="10"/>
  <c r="AG688" i="10" s="1"/>
  <c r="AF687" i="10"/>
  <c r="AH687" i="10" s="1"/>
  <c r="AM687" i="10"/>
  <c r="AE687" i="10"/>
  <c r="AG687" i="10" s="1"/>
  <c r="AF686" i="10"/>
  <c r="AH686" i="10" s="1"/>
  <c r="AE686" i="10"/>
  <c r="AG686" i="10" s="1"/>
  <c r="AM686" i="10"/>
  <c r="AF685" i="10"/>
  <c r="AH685" i="10" s="1"/>
  <c r="AE685" i="10"/>
  <c r="AG685" i="10" s="1"/>
  <c r="AM685" i="10"/>
  <c r="AE683" i="10"/>
  <c r="AG683" i="10" s="1"/>
  <c r="AF683" i="10"/>
  <c r="AH683" i="10" s="1"/>
  <c r="AM683" i="10"/>
  <c r="AE682" i="10"/>
  <c r="AG682" i="10" s="1"/>
  <c r="AF682" i="10"/>
  <c r="AH682" i="10" s="1"/>
  <c r="AM682" i="10"/>
  <c r="AE681" i="10"/>
  <c r="AG681" i="10" s="1"/>
  <c r="AF681" i="10"/>
  <c r="AH681" i="10" s="1"/>
  <c r="AM681" i="10"/>
  <c r="AE680" i="10"/>
  <c r="AG680" i="10" s="1"/>
  <c r="AF680" i="10"/>
  <c r="AH680" i="10" s="1"/>
  <c r="AM680" i="10"/>
  <c r="AE679" i="10"/>
  <c r="AG679" i="10" s="1"/>
  <c r="AF679" i="10"/>
  <c r="AH679" i="10" s="1"/>
  <c r="AM679" i="10"/>
  <c r="AE678" i="10"/>
  <c r="AG678" i="10" s="1"/>
  <c r="AF678" i="10"/>
  <c r="AH678" i="10" s="1"/>
  <c r="AM678" i="10"/>
  <c r="AE677" i="10"/>
  <c r="AG677" i="10" s="1"/>
  <c r="AF677" i="10"/>
  <c r="AH677" i="10" s="1"/>
  <c r="AM677" i="10"/>
  <c r="AE676" i="10"/>
  <c r="AG676" i="10" s="1"/>
  <c r="AF676" i="10"/>
  <c r="AH676" i="10" s="1"/>
  <c r="AM676" i="10"/>
  <c r="AE675" i="10"/>
  <c r="AG675" i="10" s="1"/>
  <c r="AF675" i="10"/>
  <c r="AH675" i="10" s="1"/>
  <c r="AM675" i="10"/>
  <c r="AE674" i="10"/>
  <c r="AG674" i="10" s="1"/>
  <c r="AF674" i="10"/>
  <c r="AH674" i="10" s="1"/>
  <c r="AM674" i="10"/>
  <c r="AE673" i="10"/>
  <c r="AG673" i="10" s="1"/>
  <c r="AF673" i="10"/>
  <c r="AH673" i="10" s="1"/>
  <c r="AM673" i="10"/>
  <c r="AE672" i="10"/>
  <c r="AG672" i="10" s="1"/>
  <c r="AF672" i="10"/>
  <c r="AH672" i="10" s="1"/>
  <c r="AM672" i="10"/>
  <c r="AE671" i="10"/>
  <c r="AG671" i="10" s="1"/>
  <c r="AF671" i="10"/>
  <c r="AH671" i="10" s="1"/>
  <c r="AM671" i="10"/>
  <c r="AE670" i="10"/>
  <c r="AG670" i="10" s="1"/>
  <c r="AF670" i="10"/>
  <c r="AH670" i="10" s="1"/>
  <c r="AM670" i="10"/>
  <c r="AE669" i="10"/>
  <c r="AG669" i="10" s="1"/>
  <c r="AF669" i="10"/>
  <c r="AH669" i="10" s="1"/>
  <c r="AM669" i="10"/>
  <c r="AE668" i="10"/>
  <c r="AG668" i="10" s="1"/>
  <c r="AF668" i="10"/>
  <c r="AH668" i="10" s="1"/>
  <c r="AM668" i="10"/>
  <c r="AE667" i="10"/>
  <c r="AG667" i="10" s="1"/>
  <c r="AF667" i="10"/>
  <c r="AH667" i="10" s="1"/>
  <c r="AM667" i="10"/>
  <c r="AE666" i="10"/>
  <c r="AG666" i="10" s="1"/>
  <c r="AF666" i="10"/>
  <c r="AH666" i="10" s="1"/>
  <c r="AM666" i="10"/>
  <c r="AE665" i="10"/>
  <c r="AG665" i="10" s="1"/>
  <c r="AF665" i="10"/>
  <c r="AH665" i="10" s="1"/>
  <c r="AM665" i="10"/>
  <c r="AE664" i="10"/>
  <c r="AG664" i="10" s="1"/>
  <c r="AF664" i="10"/>
  <c r="AH664" i="10" s="1"/>
  <c r="AM664" i="10"/>
  <c r="AE663" i="10"/>
  <c r="AG663" i="10" s="1"/>
  <c r="AF663" i="10"/>
  <c r="AH663" i="10" s="1"/>
  <c r="AM663" i="10"/>
  <c r="AE662" i="10"/>
  <c r="AG662" i="10" s="1"/>
  <c r="AF662" i="10"/>
  <c r="AH662" i="10" s="1"/>
  <c r="AM662" i="10"/>
  <c r="AE661" i="10"/>
  <c r="AG661" i="10" s="1"/>
  <c r="AF661" i="10"/>
  <c r="AH661" i="10" s="1"/>
  <c r="AM661" i="10"/>
  <c r="AE660" i="10"/>
  <c r="AG660" i="10" s="1"/>
  <c r="AF660" i="10"/>
  <c r="AH660" i="10" s="1"/>
  <c r="AM660" i="10"/>
  <c r="AE659" i="10"/>
  <c r="AG659" i="10" s="1"/>
  <c r="AF659" i="10"/>
  <c r="AH659" i="10" s="1"/>
  <c r="AM659" i="10"/>
  <c r="AE658" i="10"/>
  <c r="AG658" i="10" s="1"/>
  <c r="AF658" i="10"/>
  <c r="AH658" i="10" s="1"/>
  <c r="AM658" i="10"/>
  <c r="AE657" i="10"/>
  <c r="AG657" i="10" s="1"/>
  <c r="AF657" i="10"/>
  <c r="AH657" i="10" s="1"/>
  <c r="AM657" i="10"/>
  <c r="AE656" i="10"/>
  <c r="AG656" i="10" s="1"/>
  <c r="AF656" i="10"/>
  <c r="AH656" i="10" s="1"/>
  <c r="AM656" i="10"/>
  <c r="AE655" i="10"/>
  <c r="AG655" i="10" s="1"/>
  <c r="AF655" i="10"/>
  <c r="AH655" i="10" s="1"/>
  <c r="AM655" i="10"/>
  <c r="AE654" i="10"/>
  <c r="AG654" i="10" s="1"/>
  <c r="AF654" i="10"/>
  <c r="AH654" i="10" s="1"/>
  <c r="AM654" i="10"/>
  <c r="AE653" i="10"/>
  <c r="AG653" i="10" s="1"/>
  <c r="AF653" i="10"/>
  <c r="AH653" i="10" s="1"/>
  <c r="AM653" i="10"/>
  <c r="AE652" i="10"/>
  <c r="AG652" i="10" s="1"/>
  <c r="AF652" i="10"/>
  <c r="AH652" i="10" s="1"/>
  <c r="AM652" i="10"/>
  <c r="AE651" i="10"/>
  <c r="AG651" i="10" s="1"/>
  <c r="AF651" i="10"/>
  <c r="AH651" i="10" s="1"/>
  <c r="AM651" i="10"/>
  <c r="AE650" i="10"/>
  <c r="AG650" i="10" s="1"/>
  <c r="AF650" i="10"/>
  <c r="AH650" i="10" s="1"/>
  <c r="AM650" i="10"/>
  <c r="AE649" i="10"/>
  <c r="AG649" i="10" s="1"/>
  <c r="AF649" i="10"/>
  <c r="AH649" i="10" s="1"/>
  <c r="AM649" i="10"/>
  <c r="AE648" i="10"/>
  <c r="AG648" i="10" s="1"/>
  <c r="AF648" i="10"/>
  <c r="AH648" i="10" s="1"/>
  <c r="AM648" i="10"/>
  <c r="AE647" i="10"/>
  <c r="AG647" i="10" s="1"/>
  <c r="AF647" i="10"/>
  <c r="AH647" i="10" s="1"/>
  <c r="AM647" i="10"/>
  <c r="AE646" i="10"/>
  <c r="AG646" i="10" s="1"/>
  <c r="AF646" i="10"/>
  <c r="AH646" i="10" s="1"/>
  <c r="AM646" i="10"/>
  <c r="AE645" i="10"/>
  <c r="AG645" i="10" s="1"/>
  <c r="AF645" i="10"/>
  <c r="AH645" i="10" s="1"/>
  <c r="AM645" i="10"/>
  <c r="AE644" i="10"/>
  <c r="AG644" i="10" s="1"/>
  <c r="AF644" i="10"/>
  <c r="AH644" i="10" s="1"/>
  <c r="AM644" i="10"/>
  <c r="AE643" i="10"/>
  <c r="AG643" i="10" s="1"/>
  <c r="AF643" i="10"/>
  <c r="AH643" i="10" s="1"/>
  <c r="AM643" i="10"/>
  <c r="AE642" i="10"/>
  <c r="AG642" i="10" s="1"/>
  <c r="AF642" i="10"/>
  <c r="AH642" i="10" s="1"/>
  <c r="AM642" i="10"/>
  <c r="AE641" i="10"/>
  <c r="AG641" i="10" s="1"/>
  <c r="AF641" i="10"/>
  <c r="AH641" i="10" s="1"/>
  <c r="AM641" i="10"/>
  <c r="AE640" i="10"/>
  <c r="AG640" i="10" s="1"/>
  <c r="AF640" i="10"/>
  <c r="AH640" i="10" s="1"/>
  <c r="AM640" i="10"/>
  <c r="AE639" i="10"/>
  <c r="AG639" i="10" s="1"/>
  <c r="AF639" i="10"/>
  <c r="AH639" i="10" s="1"/>
  <c r="AM639" i="10"/>
  <c r="AE638" i="10"/>
  <c r="AG638" i="10" s="1"/>
  <c r="AF638" i="10"/>
  <c r="AH638" i="10" s="1"/>
  <c r="AM638" i="10"/>
  <c r="AE637" i="10"/>
  <c r="AG637" i="10" s="1"/>
  <c r="AF637" i="10"/>
  <c r="AH637" i="10" s="1"/>
  <c r="AM637" i="10"/>
  <c r="AE636" i="10"/>
  <c r="AG636" i="10" s="1"/>
  <c r="AF636" i="10"/>
  <c r="AH636" i="10" s="1"/>
  <c r="AM636" i="10"/>
  <c r="AE635" i="10"/>
  <c r="AG635" i="10" s="1"/>
  <c r="AF635" i="10"/>
  <c r="AH635" i="10" s="1"/>
  <c r="AM635" i="10"/>
  <c r="AE634" i="10"/>
  <c r="AG634" i="10" s="1"/>
  <c r="AF634" i="10"/>
  <c r="AH634" i="10" s="1"/>
  <c r="AM634" i="10"/>
  <c r="AE633" i="10"/>
  <c r="AG633" i="10" s="1"/>
  <c r="AF633" i="10"/>
  <c r="AH633" i="10" s="1"/>
  <c r="AM633" i="10"/>
  <c r="AE632" i="10"/>
  <c r="AG632" i="10" s="1"/>
  <c r="AF632" i="10"/>
  <c r="AH632" i="10" s="1"/>
  <c r="AM632" i="10"/>
  <c r="AE631" i="10"/>
  <c r="AG631" i="10" s="1"/>
  <c r="AF631" i="10"/>
  <c r="AH631" i="10" s="1"/>
  <c r="AM631" i="10"/>
  <c r="AE630" i="10"/>
  <c r="AG630" i="10" s="1"/>
  <c r="AF630" i="10"/>
  <c r="AH630" i="10" s="1"/>
  <c r="AM630" i="10"/>
  <c r="AE629" i="10"/>
  <c r="AG629" i="10" s="1"/>
  <c r="AF629" i="10"/>
  <c r="AH629" i="10" s="1"/>
  <c r="AM629" i="10"/>
  <c r="AE628" i="10"/>
  <c r="AG628" i="10" s="1"/>
  <c r="AF628" i="10"/>
  <c r="AH628" i="10" s="1"/>
  <c r="AM628" i="10"/>
  <c r="AE627" i="10"/>
  <c r="AG627" i="10" s="1"/>
  <c r="AF627" i="10"/>
  <c r="AH627" i="10" s="1"/>
  <c r="AM627" i="10"/>
  <c r="AE626" i="10"/>
  <c r="AG626" i="10" s="1"/>
  <c r="AF626" i="10"/>
  <c r="AH626" i="10" s="1"/>
  <c r="AM626" i="10"/>
  <c r="AE625" i="10"/>
  <c r="AG625" i="10" s="1"/>
  <c r="AF625" i="10"/>
  <c r="AH625" i="10" s="1"/>
  <c r="AM625" i="10"/>
  <c r="AE624" i="10"/>
  <c r="AG624" i="10" s="1"/>
  <c r="AF624" i="10"/>
  <c r="AH624" i="10" s="1"/>
  <c r="AM624" i="10"/>
  <c r="AE623" i="10"/>
  <c r="AG623" i="10" s="1"/>
  <c r="AF623" i="10"/>
  <c r="AH623" i="10" s="1"/>
  <c r="AM623" i="10"/>
  <c r="AE622" i="10"/>
  <c r="AG622" i="10" s="1"/>
  <c r="AF622" i="10"/>
  <c r="AH622" i="10" s="1"/>
  <c r="AM622" i="10"/>
  <c r="AE621" i="10"/>
  <c r="AG621" i="10" s="1"/>
  <c r="AF621" i="10"/>
  <c r="AH621" i="10" s="1"/>
  <c r="AM621" i="10"/>
  <c r="AE620" i="10"/>
  <c r="AG620" i="10" s="1"/>
  <c r="AF620" i="10"/>
  <c r="AH620" i="10" s="1"/>
  <c r="AM620" i="10"/>
  <c r="AE619" i="10"/>
  <c r="AG619" i="10" s="1"/>
  <c r="AF619" i="10"/>
  <c r="AH619" i="10" s="1"/>
  <c r="AM619" i="10"/>
  <c r="AE618" i="10"/>
  <c r="AG618" i="10" s="1"/>
  <c r="AF618" i="10"/>
  <c r="AH618" i="10" s="1"/>
  <c r="AM618" i="10"/>
  <c r="AE617" i="10"/>
  <c r="AG617" i="10" s="1"/>
  <c r="AF617" i="10"/>
  <c r="AH617" i="10" s="1"/>
  <c r="AM617" i="10"/>
  <c r="AE616" i="10"/>
  <c r="AG616" i="10" s="1"/>
  <c r="AF616" i="10"/>
  <c r="AH616" i="10" s="1"/>
  <c r="AM616" i="10"/>
  <c r="AE615" i="10"/>
  <c r="AG615" i="10" s="1"/>
  <c r="AF615" i="10"/>
  <c r="AH615" i="10" s="1"/>
  <c r="AM615" i="10"/>
  <c r="AE614" i="10"/>
  <c r="AG614" i="10" s="1"/>
  <c r="AF614" i="10"/>
  <c r="AH614" i="10" s="1"/>
  <c r="AM614" i="10"/>
  <c r="AE613" i="10"/>
  <c r="AG613" i="10" s="1"/>
  <c r="AF613" i="10"/>
  <c r="AH613" i="10" s="1"/>
  <c r="AM613" i="10"/>
  <c r="AE612" i="10"/>
  <c r="AG612" i="10" s="1"/>
  <c r="AF612" i="10"/>
  <c r="AH612" i="10" s="1"/>
  <c r="AM612" i="10"/>
  <c r="AE611" i="10"/>
  <c r="AG611" i="10" s="1"/>
  <c r="AF611" i="10"/>
  <c r="AH611" i="10" s="1"/>
  <c r="AM611" i="10"/>
  <c r="AE610" i="10"/>
  <c r="AG610" i="10" s="1"/>
  <c r="AF610" i="10"/>
  <c r="AH610" i="10" s="1"/>
  <c r="AM610" i="10"/>
  <c r="AE609" i="10"/>
  <c r="AG609" i="10" s="1"/>
  <c r="AF609" i="10"/>
  <c r="AH609" i="10" s="1"/>
  <c r="AM609" i="10"/>
  <c r="AE608" i="10"/>
  <c r="AG608" i="10" s="1"/>
  <c r="AF608" i="10"/>
  <c r="AH608" i="10" s="1"/>
  <c r="AM608" i="10"/>
  <c r="AE607" i="10"/>
  <c r="AG607" i="10" s="1"/>
  <c r="AF607" i="10"/>
  <c r="AH607" i="10" s="1"/>
  <c r="AM607" i="10"/>
  <c r="AE606" i="10"/>
  <c r="AG606" i="10" s="1"/>
  <c r="AF606" i="10"/>
  <c r="AH606" i="10" s="1"/>
  <c r="AM606" i="10"/>
  <c r="AE605" i="10"/>
  <c r="AG605" i="10" s="1"/>
  <c r="AF605" i="10"/>
  <c r="AH605" i="10" s="1"/>
  <c r="AM605" i="10"/>
  <c r="AE604" i="10"/>
  <c r="AG604" i="10" s="1"/>
  <c r="AF604" i="10"/>
  <c r="AH604" i="10" s="1"/>
  <c r="AM604" i="10"/>
  <c r="AE603" i="10"/>
  <c r="AG603" i="10" s="1"/>
  <c r="AF603" i="10"/>
  <c r="AH603" i="10" s="1"/>
  <c r="AM603" i="10"/>
  <c r="AE602" i="10"/>
  <c r="AG602" i="10" s="1"/>
  <c r="AF602" i="10"/>
  <c r="AH602" i="10" s="1"/>
  <c r="AM602" i="10"/>
  <c r="AE601" i="10"/>
  <c r="AG601" i="10" s="1"/>
  <c r="AF601" i="10"/>
  <c r="AH601" i="10" s="1"/>
  <c r="AM601" i="10"/>
  <c r="AE600" i="10"/>
  <c r="AG600" i="10" s="1"/>
  <c r="AF600" i="10"/>
  <c r="AH600" i="10" s="1"/>
  <c r="AM600" i="10"/>
  <c r="AE599" i="10"/>
  <c r="AG599" i="10" s="1"/>
  <c r="AF599" i="10"/>
  <c r="AH599" i="10" s="1"/>
  <c r="AM599" i="10"/>
  <c r="AE598" i="10"/>
  <c r="AG598" i="10" s="1"/>
  <c r="AF598" i="10"/>
  <c r="AH598" i="10" s="1"/>
  <c r="AM598" i="10"/>
  <c r="AE597" i="10"/>
  <c r="AG597" i="10" s="1"/>
  <c r="AF597" i="10"/>
  <c r="AH597" i="10" s="1"/>
  <c r="AM597" i="10"/>
  <c r="AE596" i="10"/>
  <c r="AG596" i="10" s="1"/>
  <c r="AF596" i="10"/>
  <c r="AH596" i="10" s="1"/>
  <c r="AM596" i="10"/>
  <c r="AE595" i="10"/>
  <c r="AG595" i="10" s="1"/>
  <c r="AF595" i="10"/>
  <c r="AH595" i="10" s="1"/>
  <c r="AM595" i="10"/>
  <c r="AE594" i="10"/>
  <c r="AG594" i="10" s="1"/>
  <c r="AF594" i="10"/>
  <c r="AH594" i="10" s="1"/>
  <c r="AM594" i="10"/>
  <c r="AE593" i="10"/>
  <c r="AG593" i="10" s="1"/>
  <c r="AF593" i="10"/>
  <c r="AH593" i="10" s="1"/>
  <c r="AM593" i="10"/>
  <c r="AE592" i="10"/>
  <c r="AG592" i="10" s="1"/>
  <c r="AF592" i="10"/>
  <c r="AH592" i="10" s="1"/>
  <c r="AM592" i="10"/>
  <c r="AE591" i="10"/>
  <c r="AG591" i="10" s="1"/>
  <c r="AF591" i="10"/>
  <c r="AH591" i="10" s="1"/>
  <c r="AM591" i="10"/>
  <c r="AE590" i="10"/>
  <c r="AG590" i="10" s="1"/>
  <c r="AF590" i="10"/>
  <c r="AH590" i="10" s="1"/>
  <c r="AM590" i="10"/>
  <c r="AE589" i="10"/>
  <c r="AG589" i="10" s="1"/>
  <c r="AF589" i="10"/>
  <c r="AH589" i="10" s="1"/>
  <c r="AM589" i="10"/>
  <c r="AE588" i="10"/>
  <c r="AG588" i="10" s="1"/>
  <c r="AF588" i="10"/>
  <c r="AH588" i="10" s="1"/>
  <c r="AM588" i="10"/>
  <c r="AE587" i="10"/>
  <c r="AG587" i="10" s="1"/>
  <c r="AF587" i="10"/>
  <c r="AH587" i="10" s="1"/>
  <c r="AM587" i="10"/>
  <c r="AE586" i="10"/>
  <c r="AG586" i="10" s="1"/>
  <c r="AF586" i="10"/>
  <c r="AH586" i="10" s="1"/>
  <c r="AM586" i="10"/>
  <c r="AE585" i="10"/>
  <c r="AG585" i="10" s="1"/>
  <c r="AF585" i="10"/>
  <c r="AH585" i="10" s="1"/>
  <c r="AM585" i="10"/>
  <c r="AE584" i="10"/>
  <c r="AG584" i="10" s="1"/>
  <c r="AF584" i="10"/>
  <c r="AH584" i="10" s="1"/>
  <c r="AM584" i="10"/>
  <c r="AE583" i="10"/>
  <c r="AG583" i="10" s="1"/>
  <c r="AF583" i="10"/>
  <c r="AH583" i="10" s="1"/>
  <c r="AM583" i="10"/>
  <c r="AE582" i="10"/>
  <c r="AG582" i="10" s="1"/>
  <c r="AF582" i="10"/>
  <c r="AH582" i="10" s="1"/>
  <c r="AM582" i="10"/>
  <c r="AE581" i="10"/>
  <c r="AG581" i="10" s="1"/>
  <c r="AF581" i="10"/>
  <c r="AH581" i="10" s="1"/>
  <c r="AM581" i="10"/>
  <c r="AE580" i="10"/>
  <c r="AG580" i="10" s="1"/>
  <c r="AF580" i="10"/>
  <c r="AH580" i="10" s="1"/>
  <c r="AM580" i="10"/>
  <c r="AE579" i="10"/>
  <c r="AG579" i="10" s="1"/>
  <c r="AF579" i="10"/>
  <c r="AH579" i="10" s="1"/>
  <c r="AM579" i="10"/>
  <c r="AE578" i="10"/>
  <c r="AG578" i="10" s="1"/>
  <c r="AF578" i="10"/>
  <c r="AH578" i="10" s="1"/>
  <c r="AM578" i="10"/>
  <c r="AE577" i="10"/>
  <c r="AG577" i="10" s="1"/>
  <c r="AF577" i="10"/>
  <c r="AH577" i="10" s="1"/>
  <c r="AM577" i="10"/>
  <c r="AE576" i="10"/>
  <c r="AG576" i="10" s="1"/>
  <c r="AF576" i="10"/>
  <c r="AH576" i="10" s="1"/>
  <c r="AM576" i="10"/>
  <c r="AE575" i="10"/>
  <c r="AG575" i="10" s="1"/>
  <c r="AF575" i="10"/>
  <c r="AH575" i="10" s="1"/>
  <c r="AM575" i="10"/>
  <c r="AE574" i="10"/>
  <c r="AG574" i="10" s="1"/>
  <c r="AF574" i="10"/>
  <c r="AH574" i="10" s="1"/>
  <c r="AM574" i="10"/>
  <c r="AE573" i="10"/>
  <c r="AG573" i="10" s="1"/>
  <c r="AF573" i="10"/>
  <c r="AH573" i="10" s="1"/>
  <c r="AM573" i="10"/>
  <c r="AE572" i="10"/>
  <c r="AG572" i="10" s="1"/>
  <c r="AF572" i="10"/>
  <c r="AH572" i="10" s="1"/>
  <c r="AM572" i="10"/>
  <c r="AE571" i="10"/>
  <c r="AG571" i="10" s="1"/>
  <c r="AF571" i="10"/>
  <c r="AH571" i="10" s="1"/>
  <c r="AM571" i="10"/>
  <c r="AE570" i="10"/>
  <c r="AG570" i="10" s="1"/>
  <c r="AF570" i="10"/>
  <c r="AH570" i="10" s="1"/>
  <c r="AM570" i="10"/>
  <c r="AE569" i="10"/>
  <c r="AG569" i="10" s="1"/>
  <c r="AF569" i="10"/>
  <c r="AH569" i="10" s="1"/>
  <c r="AM569" i="10"/>
  <c r="AF568" i="10"/>
  <c r="AH568" i="10" s="1"/>
  <c r="AE568" i="10"/>
  <c r="AG568" i="10" s="1"/>
  <c r="AM568" i="10"/>
  <c r="AM567" i="10"/>
  <c r="AF567" i="10"/>
  <c r="AH567" i="10" s="1"/>
  <c r="AE567" i="10"/>
  <c r="AG567" i="10" s="1"/>
  <c r="AF566" i="10"/>
  <c r="AH566" i="10" s="1"/>
  <c r="AE566" i="10"/>
  <c r="AG566" i="10" s="1"/>
  <c r="AM566" i="10"/>
  <c r="AF565" i="10"/>
  <c r="AH565" i="10" s="1"/>
  <c r="AE565" i="10"/>
  <c r="AG565" i="10" s="1"/>
  <c r="AM565" i="10"/>
  <c r="AF564" i="10"/>
  <c r="AH564" i="10" s="1"/>
  <c r="AM564" i="10"/>
  <c r="AE564" i="10"/>
  <c r="AG564" i="10" s="1"/>
  <c r="AE563" i="10"/>
  <c r="AG563" i="10" s="1"/>
  <c r="AM563" i="10"/>
  <c r="AF563" i="10"/>
  <c r="AH563" i="10" s="1"/>
  <c r="AM562" i="10"/>
  <c r="AE562" i="10"/>
  <c r="AG562" i="10" s="1"/>
  <c r="AF562" i="10"/>
  <c r="AH562" i="10" s="1"/>
  <c r="AE561" i="10"/>
  <c r="AG561" i="10" s="1"/>
  <c r="AM561" i="10"/>
  <c r="AF561" i="10"/>
  <c r="AH561" i="10" s="1"/>
  <c r="AM560" i="10"/>
  <c r="AE560" i="10"/>
  <c r="AG560" i="10" s="1"/>
  <c r="AF560" i="10"/>
  <c r="AH560" i="10" s="1"/>
  <c r="AM559" i="10"/>
  <c r="AE559" i="10"/>
  <c r="AG559" i="10" s="1"/>
  <c r="AF559" i="10"/>
  <c r="AH559" i="10" s="1"/>
  <c r="AE558" i="10"/>
  <c r="AG558" i="10" s="1"/>
  <c r="AM558" i="10"/>
  <c r="AF558" i="10"/>
  <c r="AH558" i="10" s="1"/>
  <c r="AM557" i="10"/>
  <c r="AE557" i="10"/>
  <c r="AG557" i="10" s="1"/>
  <c r="AF557" i="10"/>
  <c r="AH557" i="10" s="1"/>
  <c r="AF556" i="10"/>
  <c r="AH556" i="10" s="1"/>
  <c r="AE556" i="10"/>
  <c r="AG556" i="10" s="1"/>
  <c r="AM556" i="10"/>
  <c r="AM555" i="10"/>
  <c r="AE555" i="10"/>
  <c r="AG555" i="10" s="1"/>
  <c r="AF555" i="10"/>
  <c r="AH555" i="10" s="1"/>
  <c r="AE554" i="10"/>
  <c r="AG554" i="10" s="1"/>
  <c r="AF554" i="10"/>
  <c r="AH554" i="10" s="1"/>
  <c r="AM554" i="10"/>
  <c r="AE553" i="10"/>
  <c r="AG553" i="10" s="1"/>
  <c r="AF553" i="10"/>
  <c r="AH553" i="10" s="1"/>
  <c r="AM553" i="10"/>
  <c r="AE552" i="10"/>
  <c r="AG552" i="10" s="1"/>
  <c r="AF552" i="10"/>
  <c r="AH552" i="10" s="1"/>
  <c r="AM552" i="10"/>
  <c r="AE551" i="10"/>
  <c r="AG551" i="10" s="1"/>
  <c r="AF551" i="10"/>
  <c r="AH551" i="10" s="1"/>
  <c r="AM551" i="10"/>
  <c r="AE550" i="10"/>
  <c r="AG550" i="10" s="1"/>
  <c r="AF550" i="10"/>
  <c r="AH550" i="10" s="1"/>
  <c r="AM550" i="10"/>
  <c r="AE549" i="10"/>
  <c r="AG549" i="10" s="1"/>
  <c r="AF549" i="10"/>
  <c r="AH549" i="10" s="1"/>
  <c r="AM549" i="10"/>
  <c r="AE548" i="10"/>
  <c r="AG548" i="10" s="1"/>
  <c r="AF548" i="10"/>
  <c r="AH548" i="10" s="1"/>
  <c r="AM548" i="10"/>
  <c r="AE547" i="10"/>
  <c r="AG547" i="10" s="1"/>
  <c r="AF547" i="10"/>
  <c r="AH547" i="10" s="1"/>
  <c r="AM547" i="10"/>
  <c r="AE546" i="10"/>
  <c r="AG546" i="10" s="1"/>
  <c r="AF546" i="10"/>
  <c r="AH546" i="10" s="1"/>
  <c r="AM546" i="10"/>
  <c r="AE545" i="10"/>
  <c r="AG545" i="10" s="1"/>
  <c r="AF545" i="10"/>
  <c r="AH545" i="10" s="1"/>
  <c r="AM545" i="10"/>
  <c r="AE544" i="10"/>
  <c r="AG544" i="10" s="1"/>
  <c r="AF544" i="10"/>
  <c r="AH544" i="10" s="1"/>
  <c r="AM544" i="10"/>
  <c r="AE543" i="10"/>
  <c r="AG543" i="10" s="1"/>
  <c r="AF543" i="10"/>
  <c r="AH543" i="10" s="1"/>
  <c r="AM543" i="10"/>
  <c r="AE542" i="10"/>
  <c r="AG542" i="10" s="1"/>
  <c r="AF542" i="10"/>
  <c r="AH542" i="10" s="1"/>
  <c r="AM542" i="10"/>
  <c r="AE541" i="10"/>
  <c r="AG541" i="10" s="1"/>
  <c r="AF541" i="10"/>
  <c r="AH541" i="10" s="1"/>
  <c r="AM541" i="10"/>
  <c r="AE540" i="10"/>
  <c r="AG540" i="10" s="1"/>
  <c r="AF540" i="10"/>
  <c r="AH540" i="10" s="1"/>
  <c r="AM540" i="10"/>
  <c r="AE539" i="10"/>
  <c r="AG539" i="10" s="1"/>
  <c r="AF539" i="10"/>
  <c r="AH539" i="10" s="1"/>
  <c r="AM539" i="10"/>
  <c r="AE538" i="10"/>
  <c r="AG538" i="10" s="1"/>
  <c r="AF538" i="10"/>
  <c r="AH538" i="10" s="1"/>
  <c r="AM538" i="10"/>
  <c r="AE537" i="10"/>
  <c r="AG537" i="10" s="1"/>
  <c r="AF537" i="10"/>
  <c r="AH537" i="10" s="1"/>
  <c r="AM537" i="10"/>
  <c r="AE536" i="10"/>
  <c r="AG536" i="10" s="1"/>
  <c r="AF536" i="10"/>
  <c r="AH536" i="10" s="1"/>
  <c r="AM536" i="10"/>
  <c r="AE535" i="10"/>
  <c r="AG535" i="10" s="1"/>
  <c r="AF535" i="10"/>
  <c r="AH535" i="10" s="1"/>
  <c r="AM535" i="10"/>
  <c r="AE534" i="10"/>
  <c r="AG534" i="10" s="1"/>
  <c r="AF534" i="10"/>
  <c r="AH534" i="10" s="1"/>
  <c r="AM534" i="10"/>
  <c r="AE533" i="10"/>
  <c r="AG533" i="10" s="1"/>
  <c r="AF533" i="10"/>
  <c r="AH533" i="10" s="1"/>
  <c r="AM533" i="10"/>
  <c r="AE532" i="10"/>
  <c r="AG532" i="10" s="1"/>
  <c r="AF532" i="10"/>
  <c r="AH532" i="10" s="1"/>
  <c r="AM532" i="10"/>
  <c r="AE531" i="10"/>
  <c r="AG531" i="10" s="1"/>
  <c r="AF531" i="10"/>
  <c r="AH531" i="10" s="1"/>
  <c r="AM531" i="10"/>
  <c r="AE530" i="10"/>
  <c r="AG530" i="10" s="1"/>
  <c r="AF530" i="10"/>
  <c r="AH530" i="10" s="1"/>
  <c r="AM530" i="10"/>
  <c r="AE529" i="10"/>
  <c r="AG529" i="10" s="1"/>
  <c r="AF529" i="10"/>
  <c r="AH529" i="10" s="1"/>
  <c r="AM529" i="10"/>
  <c r="AE528" i="10"/>
  <c r="AG528" i="10" s="1"/>
  <c r="AF528" i="10"/>
  <c r="AH528" i="10" s="1"/>
  <c r="AM528" i="10"/>
  <c r="AE527" i="10"/>
  <c r="AG527" i="10" s="1"/>
  <c r="AF527" i="10"/>
  <c r="AH527" i="10" s="1"/>
  <c r="AM527" i="10"/>
  <c r="AE526" i="10"/>
  <c r="AG526" i="10" s="1"/>
  <c r="AF526" i="10"/>
  <c r="AH526" i="10" s="1"/>
  <c r="AM526" i="10"/>
  <c r="AE525" i="10"/>
  <c r="AG525" i="10" s="1"/>
  <c r="AF525" i="10"/>
  <c r="AH525" i="10" s="1"/>
  <c r="AM525" i="10"/>
  <c r="AE524" i="10"/>
  <c r="AG524" i="10" s="1"/>
  <c r="AF524" i="10"/>
  <c r="AH524" i="10" s="1"/>
  <c r="AM524" i="10"/>
  <c r="AE523" i="10"/>
  <c r="AG523" i="10" s="1"/>
  <c r="AF523" i="10"/>
  <c r="AH523" i="10" s="1"/>
  <c r="AM523" i="10"/>
  <c r="AE522" i="10"/>
  <c r="AG522" i="10" s="1"/>
  <c r="AF522" i="10"/>
  <c r="AH522" i="10" s="1"/>
  <c r="AM522" i="10"/>
  <c r="AE521" i="10"/>
  <c r="AG521" i="10" s="1"/>
  <c r="AF521" i="10"/>
  <c r="AH521" i="10" s="1"/>
  <c r="AM521" i="10"/>
  <c r="AE520" i="10"/>
  <c r="AG520" i="10" s="1"/>
  <c r="AF520" i="10"/>
  <c r="AH520" i="10" s="1"/>
  <c r="AM520" i="10"/>
  <c r="AE519" i="10"/>
  <c r="AG519" i="10" s="1"/>
  <c r="AF519" i="10"/>
  <c r="AH519" i="10" s="1"/>
  <c r="AM519" i="10"/>
  <c r="AE518" i="10"/>
  <c r="AG518" i="10" s="1"/>
  <c r="AF518" i="10"/>
  <c r="AH518" i="10" s="1"/>
  <c r="AM518" i="10"/>
  <c r="AE517" i="10"/>
  <c r="AG517" i="10" s="1"/>
  <c r="AF517" i="10"/>
  <c r="AH517" i="10" s="1"/>
  <c r="AM517" i="10"/>
  <c r="AE516" i="10"/>
  <c r="AG516" i="10" s="1"/>
  <c r="AF516" i="10"/>
  <c r="AH516" i="10" s="1"/>
  <c r="AM516" i="10"/>
  <c r="AE515" i="10"/>
  <c r="AG515" i="10" s="1"/>
  <c r="AF515" i="10"/>
  <c r="AH515" i="10" s="1"/>
  <c r="AM515" i="10"/>
  <c r="AE514" i="10"/>
  <c r="AG514" i="10" s="1"/>
  <c r="AF514" i="10"/>
  <c r="AH514" i="10" s="1"/>
  <c r="AM514" i="10"/>
  <c r="AE513" i="10"/>
  <c r="AG513" i="10" s="1"/>
  <c r="AF513" i="10"/>
  <c r="AH513" i="10" s="1"/>
  <c r="AM513" i="10"/>
  <c r="AF512" i="10"/>
  <c r="AH512" i="10" s="1"/>
  <c r="AM512" i="10"/>
  <c r="AE512" i="10"/>
  <c r="AG512" i="10" s="1"/>
  <c r="AF511" i="10"/>
  <c r="AH511" i="10" s="1"/>
  <c r="AE511" i="10"/>
  <c r="AG511" i="10" s="1"/>
  <c r="AM511" i="10"/>
  <c r="AF510" i="10"/>
  <c r="AH510" i="10" s="1"/>
  <c r="AM510" i="10"/>
  <c r="AE510" i="10"/>
  <c r="AG510" i="10" s="1"/>
  <c r="AF509" i="10"/>
  <c r="AH509" i="10" s="1"/>
  <c r="AM509" i="10"/>
  <c r="AE509" i="10"/>
  <c r="AG509" i="10" s="1"/>
  <c r="AE508" i="10"/>
  <c r="AG508" i="10" s="1"/>
  <c r="AM508" i="10"/>
  <c r="AF508" i="10"/>
  <c r="AH508" i="10" s="1"/>
  <c r="AF507" i="10"/>
  <c r="AH507" i="10" s="1"/>
  <c r="AE507" i="10"/>
  <c r="AG507" i="10" s="1"/>
  <c r="AM507" i="10"/>
  <c r="AM506" i="10"/>
  <c r="AF506" i="10"/>
  <c r="AH506" i="10" s="1"/>
  <c r="AE506" i="10"/>
  <c r="AG506" i="10" s="1"/>
  <c r="AE505" i="10"/>
  <c r="AG505" i="10" s="1"/>
  <c r="AM505" i="10"/>
  <c r="AF505" i="10"/>
  <c r="AH505" i="10" s="1"/>
  <c r="AF504" i="10"/>
  <c r="AH504" i="10" s="1"/>
  <c r="AE504" i="10"/>
  <c r="AG504" i="10" s="1"/>
  <c r="AM504" i="10"/>
  <c r="AE503" i="10"/>
  <c r="AG503" i="10" s="1"/>
  <c r="AF503" i="10"/>
  <c r="AH503" i="10" s="1"/>
  <c r="AM503" i="10"/>
  <c r="AF502" i="10"/>
  <c r="AH502" i="10" s="1"/>
  <c r="AM502" i="10"/>
  <c r="AE502" i="10"/>
  <c r="AG502" i="10" s="1"/>
  <c r="AF501" i="10"/>
  <c r="AH501" i="10" s="1"/>
  <c r="AM501" i="10"/>
  <c r="AE501" i="10"/>
  <c r="AG501" i="10" s="1"/>
  <c r="AF500" i="10"/>
  <c r="AH500" i="10" s="1"/>
  <c r="AM500" i="10"/>
  <c r="AE500" i="10"/>
  <c r="AG500" i="10" s="1"/>
  <c r="AM499" i="10"/>
  <c r="AE499" i="10"/>
  <c r="AG499" i="10" s="1"/>
  <c r="AF499" i="10"/>
  <c r="AH499" i="10" s="1"/>
  <c r="AE498" i="10"/>
  <c r="AG498" i="10" s="1"/>
  <c r="AF498" i="10"/>
  <c r="AH498" i="10" s="1"/>
  <c r="AM498" i="10"/>
  <c r="AF497" i="10"/>
  <c r="AH497" i="10" s="1"/>
  <c r="AE497" i="10"/>
  <c r="AG497" i="10" s="1"/>
  <c r="AM497" i="10"/>
  <c r="AM496" i="10"/>
  <c r="AE496" i="10"/>
  <c r="AG496" i="10" s="1"/>
  <c r="AF496" i="10"/>
  <c r="AH496" i="10" s="1"/>
  <c r="AF495" i="10"/>
  <c r="AH495" i="10" s="1"/>
  <c r="AE495" i="10"/>
  <c r="AG495" i="10" s="1"/>
  <c r="AM495" i="10"/>
  <c r="AE494" i="10"/>
  <c r="AG494" i="10" s="1"/>
  <c r="AM494" i="10"/>
  <c r="AF494" i="10"/>
  <c r="AH494" i="10" s="1"/>
  <c r="AM493" i="10"/>
  <c r="AF493" i="10"/>
  <c r="AH493" i="10" s="1"/>
  <c r="AE493" i="10"/>
  <c r="AG493" i="10" s="1"/>
  <c r="AM492" i="10"/>
  <c r="AE492" i="10"/>
  <c r="AG492" i="10" s="1"/>
  <c r="AF492" i="10"/>
  <c r="AH492" i="10" s="1"/>
  <c r="AF491" i="10"/>
  <c r="AH491" i="10" s="1"/>
  <c r="AE491" i="10"/>
  <c r="AG491" i="10" s="1"/>
  <c r="AM491" i="10"/>
  <c r="AE489" i="10"/>
  <c r="AG489" i="10" s="1"/>
  <c r="AF489" i="10"/>
  <c r="AH489" i="10" s="1"/>
  <c r="AM489" i="10"/>
  <c r="AE488" i="10"/>
  <c r="AG488" i="10" s="1"/>
  <c r="AF488" i="10"/>
  <c r="AH488" i="10" s="1"/>
  <c r="AM488" i="10"/>
  <c r="AE487" i="10"/>
  <c r="AG487" i="10" s="1"/>
  <c r="AF487" i="10"/>
  <c r="AH487" i="10" s="1"/>
  <c r="AM487" i="10"/>
  <c r="AE486" i="10"/>
  <c r="AG486" i="10" s="1"/>
  <c r="AF486" i="10"/>
  <c r="AH486" i="10" s="1"/>
  <c r="AM486" i="10"/>
  <c r="AE485" i="10"/>
  <c r="AG485" i="10" s="1"/>
  <c r="AF485" i="10"/>
  <c r="AH485" i="10" s="1"/>
  <c r="AM485" i="10"/>
  <c r="AE484" i="10"/>
  <c r="AG484" i="10" s="1"/>
  <c r="AF484" i="10"/>
  <c r="AH484" i="10" s="1"/>
  <c r="AM484" i="10"/>
  <c r="AE483" i="10"/>
  <c r="AG483" i="10" s="1"/>
  <c r="AF483" i="10"/>
  <c r="AH483" i="10" s="1"/>
  <c r="AM483" i="10"/>
  <c r="AE482" i="10"/>
  <c r="AG482" i="10" s="1"/>
  <c r="AF482" i="10"/>
  <c r="AH482" i="10" s="1"/>
  <c r="AM482" i="10"/>
  <c r="AE481" i="10"/>
  <c r="AG481" i="10" s="1"/>
  <c r="AF481" i="10"/>
  <c r="AH481" i="10" s="1"/>
  <c r="AM481" i="10"/>
  <c r="AE480" i="10"/>
  <c r="AG480" i="10" s="1"/>
  <c r="AF480" i="10"/>
  <c r="AH480" i="10" s="1"/>
  <c r="AM480" i="10"/>
  <c r="AE479" i="10"/>
  <c r="AG479" i="10" s="1"/>
  <c r="AF479" i="10"/>
  <c r="AH479" i="10" s="1"/>
  <c r="AM479" i="10"/>
  <c r="AE478" i="10"/>
  <c r="AG478" i="10" s="1"/>
  <c r="AF478" i="10"/>
  <c r="AH478" i="10" s="1"/>
  <c r="AM478" i="10"/>
  <c r="AE477" i="10"/>
  <c r="AG477" i="10" s="1"/>
  <c r="AF477" i="10"/>
  <c r="AH477" i="10" s="1"/>
  <c r="AM477" i="10"/>
  <c r="AE476" i="10"/>
  <c r="AG476" i="10" s="1"/>
  <c r="AF476" i="10"/>
  <c r="AH476" i="10" s="1"/>
  <c r="AM476" i="10"/>
  <c r="AE475" i="10"/>
  <c r="AG475" i="10" s="1"/>
  <c r="AF475" i="10"/>
  <c r="AH475" i="10" s="1"/>
  <c r="AM475" i="10"/>
  <c r="AE474" i="10"/>
  <c r="AG474" i="10" s="1"/>
  <c r="AF474" i="10"/>
  <c r="AH474" i="10" s="1"/>
  <c r="AM474" i="10"/>
  <c r="AE473" i="10"/>
  <c r="AG473" i="10" s="1"/>
  <c r="AF473" i="10"/>
  <c r="AH473" i="10" s="1"/>
  <c r="AM473" i="10"/>
  <c r="AF472" i="10"/>
  <c r="AH472" i="10" s="1"/>
  <c r="AM472" i="10"/>
  <c r="AE472" i="10"/>
  <c r="AG472" i="10" s="1"/>
  <c r="AE471" i="10"/>
  <c r="AG471" i="10" s="1"/>
  <c r="AF471" i="10"/>
  <c r="AH471" i="10" s="1"/>
  <c r="AM471" i="10"/>
  <c r="AE470" i="10"/>
  <c r="AG470" i="10" s="1"/>
  <c r="AF470" i="10"/>
  <c r="AH470" i="10" s="1"/>
  <c r="AM470" i="10"/>
  <c r="AF469" i="10"/>
  <c r="AH469" i="10" s="1"/>
  <c r="AE469" i="10"/>
  <c r="AG469" i="10" s="1"/>
  <c r="AM469" i="10"/>
  <c r="AF468" i="10"/>
  <c r="AH468" i="10" s="1"/>
  <c r="AE468" i="10"/>
  <c r="AG468" i="10" s="1"/>
  <c r="AM468" i="10"/>
  <c r="AM467" i="10"/>
  <c r="AE467" i="10"/>
  <c r="AG467" i="10" s="1"/>
  <c r="AF467" i="10"/>
  <c r="AH467" i="10" s="1"/>
  <c r="AE466" i="10"/>
  <c r="AG466" i="10" s="1"/>
  <c r="AM466" i="10"/>
  <c r="AF466" i="10"/>
  <c r="AH466" i="10" s="1"/>
  <c r="AE465" i="10"/>
  <c r="AG465" i="10" s="1"/>
  <c r="AM465" i="10"/>
  <c r="AF465" i="10"/>
  <c r="AH465" i="10" s="1"/>
  <c r="AM464" i="10"/>
  <c r="AF464" i="10"/>
  <c r="AH464" i="10" s="1"/>
  <c r="AE464" i="10"/>
  <c r="AG464" i="10" s="1"/>
  <c r="AE463" i="10"/>
  <c r="AG463" i="10" s="1"/>
  <c r="AM463" i="10"/>
  <c r="AF463" i="10"/>
  <c r="AH463" i="10" s="1"/>
  <c r="AM462" i="10"/>
  <c r="AF462" i="10"/>
  <c r="AH462" i="10" s="1"/>
  <c r="AE462" i="10"/>
  <c r="AG462" i="10" s="1"/>
  <c r="AM461" i="10"/>
  <c r="AF461" i="10"/>
  <c r="AH461" i="10" s="1"/>
  <c r="AE461" i="10"/>
  <c r="AG461" i="10" s="1"/>
  <c r="AM460" i="10"/>
  <c r="AE460" i="10"/>
  <c r="AG460" i="10" s="1"/>
  <c r="AF460" i="10"/>
  <c r="AH460" i="10" s="1"/>
  <c r="AE459" i="10"/>
  <c r="AG459" i="10" s="1"/>
  <c r="AF459" i="10"/>
  <c r="AH459" i="10" s="1"/>
  <c r="AM459" i="10"/>
  <c r="AF458" i="10"/>
  <c r="AH458" i="10" s="1"/>
  <c r="AM458" i="10"/>
  <c r="AE458" i="10"/>
  <c r="AG458" i="10" s="1"/>
  <c r="AM457" i="10"/>
  <c r="AF457" i="10"/>
  <c r="AH457" i="10" s="1"/>
  <c r="AE457" i="10"/>
  <c r="AG457" i="10" s="1"/>
  <c r="AF456" i="10"/>
  <c r="AH456" i="10" s="1"/>
  <c r="AE456" i="10"/>
  <c r="AG456" i="10" s="1"/>
  <c r="AM456" i="10"/>
  <c r="AM455" i="10"/>
  <c r="AF455" i="10"/>
  <c r="AH455" i="10" s="1"/>
  <c r="AE455" i="10"/>
  <c r="AG455" i="10" s="1"/>
  <c r="AF454" i="10"/>
  <c r="AH454" i="10" s="1"/>
  <c r="AM454" i="10"/>
  <c r="AE454" i="10"/>
  <c r="AG454" i="10" s="1"/>
  <c r="AF453" i="10"/>
  <c r="AH453" i="10" s="1"/>
  <c r="AE453" i="10"/>
  <c r="AG453" i="10" s="1"/>
  <c r="AM453" i="10"/>
  <c r="AE452" i="10"/>
  <c r="AG452" i="10" s="1"/>
  <c r="AM452" i="10"/>
  <c r="AF452" i="10"/>
  <c r="AH452" i="10" s="1"/>
  <c r="AM451" i="10"/>
  <c r="AE451" i="10"/>
  <c r="AG451" i="10" s="1"/>
  <c r="AF451" i="10"/>
  <c r="AH451" i="10" s="1"/>
  <c r="AE450" i="10"/>
  <c r="AG450" i="10" s="1"/>
  <c r="AF450" i="10"/>
  <c r="AH450" i="10" s="1"/>
  <c r="AM450" i="10"/>
  <c r="AE449" i="10"/>
  <c r="AG449" i="10" s="1"/>
  <c r="AM449" i="10"/>
  <c r="AF449" i="10"/>
  <c r="AH449" i="10" s="1"/>
  <c r="AM448" i="10"/>
  <c r="AF448" i="10"/>
  <c r="AH448" i="10" s="1"/>
  <c r="AE448" i="10"/>
  <c r="AG448" i="10" s="1"/>
  <c r="AF447" i="10"/>
  <c r="AH447" i="10" s="1"/>
  <c r="AE447" i="10"/>
  <c r="AG447" i="10" s="1"/>
  <c r="AM447" i="10"/>
  <c r="AE446" i="10"/>
  <c r="AG446" i="10" s="1"/>
  <c r="AM446" i="10"/>
  <c r="AF446" i="10"/>
  <c r="AH446" i="10" s="1"/>
  <c r="AF445" i="10"/>
  <c r="AH445" i="10" s="1"/>
  <c r="AE445" i="10"/>
  <c r="AG445" i="10" s="1"/>
  <c r="AM445" i="10"/>
  <c r="AM444" i="10"/>
  <c r="AE444" i="10"/>
  <c r="AG444" i="10" s="1"/>
  <c r="AF444" i="10"/>
  <c r="AH444" i="10" s="1"/>
  <c r="AM443" i="10"/>
  <c r="AE443" i="10"/>
  <c r="AG443" i="10" s="1"/>
  <c r="AF443" i="10"/>
  <c r="AH443" i="10" s="1"/>
  <c r="AM442" i="10"/>
  <c r="AE442" i="10"/>
  <c r="AG442" i="10" s="1"/>
  <c r="AF442" i="10"/>
  <c r="AH442" i="10" s="1"/>
  <c r="AF441" i="10"/>
  <c r="AH441" i="10" s="1"/>
  <c r="AE441" i="10"/>
  <c r="AG441" i="10" s="1"/>
  <c r="AM441" i="10"/>
  <c r="AE440" i="10"/>
  <c r="AG440" i="10" s="1"/>
  <c r="AF440" i="10"/>
  <c r="AH440" i="10" s="1"/>
  <c r="AM440" i="10"/>
  <c r="AF439" i="10"/>
  <c r="AH439" i="10" s="1"/>
  <c r="AE439" i="10"/>
  <c r="AG439" i="10" s="1"/>
  <c r="AM439" i="10"/>
  <c r="AE438" i="10"/>
  <c r="AG438" i="10" s="1"/>
  <c r="AF438" i="10"/>
  <c r="AH438" i="10" s="1"/>
  <c r="AM438" i="10"/>
  <c r="AM437" i="10"/>
  <c r="AF437" i="10"/>
  <c r="AH437" i="10" s="1"/>
  <c r="AE437" i="10"/>
  <c r="AG437" i="10" s="1"/>
  <c r="AF436" i="10"/>
  <c r="AH436" i="10" s="1"/>
  <c r="AM436" i="10"/>
  <c r="AE436" i="10"/>
  <c r="AG436" i="10" s="1"/>
  <c r="AM435" i="10"/>
  <c r="AF435" i="10"/>
  <c r="AH435" i="10" s="1"/>
  <c r="AE435" i="10"/>
  <c r="AG435" i="10" s="1"/>
  <c r="AM434" i="10"/>
  <c r="AE434" i="10"/>
  <c r="AG434" i="10" s="1"/>
  <c r="AF434" i="10"/>
  <c r="AH434" i="10" s="1"/>
  <c r="AF433" i="10"/>
  <c r="AH433" i="10" s="1"/>
  <c r="AM433" i="10"/>
  <c r="AE433" i="10"/>
  <c r="AG433" i="10" s="1"/>
  <c r="AF432" i="10"/>
  <c r="AH432" i="10" s="1"/>
  <c r="AE432" i="10"/>
  <c r="AG432" i="10" s="1"/>
  <c r="AM432" i="10"/>
  <c r="AF431" i="10"/>
  <c r="AH431" i="10" s="1"/>
  <c r="AE431" i="10"/>
  <c r="AG431" i="10" s="1"/>
  <c r="AM431" i="10"/>
  <c r="AF430" i="10"/>
  <c r="AH430" i="10" s="1"/>
  <c r="AE430" i="10"/>
  <c r="AG430" i="10" s="1"/>
  <c r="AM430" i="10"/>
  <c r="AE429" i="10"/>
  <c r="AG429" i="10" s="1"/>
  <c r="AF429" i="10"/>
  <c r="AH429" i="10" s="1"/>
  <c r="AM429" i="10"/>
  <c r="AM428" i="10"/>
  <c r="AF428" i="10"/>
  <c r="AH428" i="10" s="1"/>
  <c r="AE428" i="10"/>
  <c r="AG428" i="10" s="1"/>
  <c r="AM427" i="10"/>
  <c r="AE427" i="10"/>
  <c r="AG427" i="10" s="1"/>
  <c r="AF427" i="10"/>
  <c r="AH427" i="10" s="1"/>
  <c r="AE426" i="10"/>
  <c r="AG426" i="10" s="1"/>
  <c r="AF426" i="10"/>
  <c r="AH426" i="10" s="1"/>
  <c r="AM426" i="10"/>
  <c r="AE425" i="10"/>
  <c r="AG425" i="10" s="1"/>
  <c r="AM425" i="10"/>
  <c r="AF425" i="10"/>
  <c r="AH425" i="10" s="1"/>
  <c r="AE424" i="10"/>
  <c r="AG424" i="10" s="1"/>
  <c r="AF424" i="10"/>
  <c r="AH424" i="10" s="1"/>
  <c r="AM424" i="10"/>
  <c r="AE423" i="10"/>
  <c r="AG423" i="10" s="1"/>
  <c r="AF423" i="10"/>
  <c r="AH423" i="10" s="1"/>
  <c r="AM423" i="10"/>
  <c r="AE422" i="10"/>
  <c r="AG422" i="10" s="1"/>
  <c r="AF422" i="10"/>
  <c r="AH422" i="10" s="1"/>
  <c r="AM422" i="10"/>
  <c r="AE421" i="10"/>
  <c r="AG421" i="10" s="1"/>
  <c r="AF421" i="10"/>
  <c r="AH421" i="10" s="1"/>
  <c r="AM421" i="10"/>
  <c r="AE420" i="10"/>
  <c r="AG420" i="10" s="1"/>
  <c r="AF420" i="10"/>
  <c r="AH420" i="10" s="1"/>
  <c r="AM420" i="10"/>
  <c r="AE419" i="10"/>
  <c r="AG419" i="10" s="1"/>
  <c r="AF419" i="10"/>
  <c r="AH419" i="10" s="1"/>
  <c r="AM419" i="10"/>
  <c r="AE418" i="10"/>
  <c r="AG418" i="10" s="1"/>
  <c r="AF418" i="10"/>
  <c r="AH418" i="10" s="1"/>
  <c r="AM418" i="10"/>
  <c r="AE417" i="10"/>
  <c r="AG417" i="10" s="1"/>
  <c r="AF417" i="10"/>
  <c r="AH417" i="10" s="1"/>
  <c r="AM417" i="10"/>
  <c r="AE416" i="10"/>
  <c r="AG416" i="10" s="1"/>
  <c r="AF416" i="10"/>
  <c r="AH416" i="10" s="1"/>
  <c r="AM416" i="10"/>
  <c r="AE415" i="10"/>
  <c r="AG415" i="10" s="1"/>
  <c r="AF415" i="10"/>
  <c r="AH415" i="10" s="1"/>
  <c r="AM415" i="10"/>
  <c r="AE414" i="10"/>
  <c r="AG414" i="10" s="1"/>
  <c r="AF414" i="10"/>
  <c r="AH414" i="10" s="1"/>
  <c r="AM414" i="10"/>
  <c r="AE413" i="10"/>
  <c r="AG413" i="10" s="1"/>
  <c r="AF413" i="10"/>
  <c r="AH413" i="10" s="1"/>
  <c r="AM413" i="10"/>
  <c r="AE412" i="10"/>
  <c r="AG412" i="10" s="1"/>
  <c r="AF412" i="10"/>
  <c r="AH412" i="10" s="1"/>
  <c r="AM412" i="10"/>
  <c r="AE411" i="10"/>
  <c r="AG411" i="10" s="1"/>
  <c r="AF411" i="10"/>
  <c r="AH411" i="10" s="1"/>
  <c r="AM411" i="10"/>
  <c r="AE410" i="10"/>
  <c r="AG410" i="10" s="1"/>
  <c r="AF410" i="10"/>
  <c r="AH410" i="10" s="1"/>
  <c r="AM410" i="10"/>
  <c r="AE409" i="10"/>
  <c r="AG409" i="10" s="1"/>
  <c r="AF409" i="10"/>
  <c r="AH409" i="10" s="1"/>
  <c r="AM409" i="10"/>
  <c r="AE408" i="10"/>
  <c r="AG408" i="10" s="1"/>
  <c r="AF408" i="10"/>
  <c r="AH408" i="10" s="1"/>
  <c r="AM408" i="10"/>
  <c r="AE407" i="10"/>
  <c r="AG407" i="10" s="1"/>
  <c r="AF407" i="10"/>
  <c r="AH407" i="10" s="1"/>
  <c r="AM407" i="10"/>
  <c r="AE406" i="10"/>
  <c r="AG406" i="10" s="1"/>
  <c r="AF406" i="10"/>
  <c r="AH406" i="10" s="1"/>
  <c r="AM406" i="10"/>
  <c r="AE405" i="10"/>
  <c r="AG405" i="10" s="1"/>
  <c r="AF405" i="10"/>
  <c r="AH405" i="10" s="1"/>
  <c r="AM405" i="10"/>
  <c r="AE404" i="10"/>
  <c r="AG404" i="10" s="1"/>
  <c r="AF404" i="10"/>
  <c r="AH404" i="10" s="1"/>
  <c r="AM404" i="10"/>
  <c r="AE403" i="10"/>
  <c r="AG403" i="10" s="1"/>
  <c r="AF403" i="10"/>
  <c r="AH403" i="10" s="1"/>
  <c r="AM403" i="10"/>
  <c r="AE402" i="10"/>
  <c r="AG402" i="10" s="1"/>
  <c r="AF402" i="10"/>
  <c r="AH402" i="10" s="1"/>
  <c r="AM402" i="10"/>
  <c r="AE401" i="10"/>
  <c r="AG401" i="10" s="1"/>
  <c r="AF401" i="10"/>
  <c r="AH401" i="10" s="1"/>
  <c r="AM401" i="10"/>
  <c r="AE400" i="10"/>
  <c r="AG400" i="10" s="1"/>
  <c r="AF400" i="10"/>
  <c r="AH400" i="10" s="1"/>
  <c r="AM400" i="10"/>
  <c r="AE399" i="10"/>
  <c r="AG399" i="10" s="1"/>
  <c r="AF399" i="10"/>
  <c r="AH399" i="10" s="1"/>
  <c r="AM399" i="10"/>
  <c r="AE398" i="10"/>
  <c r="AG398" i="10" s="1"/>
  <c r="AF398" i="10"/>
  <c r="AH398" i="10" s="1"/>
  <c r="AM398" i="10"/>
  <c r="AE397" i="10"/>
  <c r="AG397" i="10" s="1"/>
  <c r="AF397" i="10"/>
  <c r="AH397" i="10" s="1"/>
  <c r="AM397" i="10"/>
  <c r="AE396" i="10"/>
  <c r="AG396" i="10" s="1"/>
  <c r="AF396" i="10"/>
  <c r="AH396" i="10" s="1"/>
  <c r="AM396" i="10"/>
  <c r="AE395" i="10"/>
  <c r="AG395" i="10" s="1"/>
  <c r="AF395" i="10"/>
  <c r="AH395" i="10" s="1"/>
  <c r="AM395" i="10"/>
  <c r="AE394" i="10"/>
  <c r="AG394" i="10" s="1"/>
  <c r="AF394" i="10"/>
  <c r="AH394" i="10" s="1"/>
  <c r="AM394" i="10"/>
  <c r="AE393" i="10"/>
  <c r="AG393" i="10" s="1"/>
  <c r="AF393" i="10"/>
  <c r="AH393" i="10" s="1"/>
  <c r="AM393" i="10"/>
  <c r="AE392" i="10"/>
  <c r="AG392" i="10" s="1"/>
  <c r="AF392" i="10"/>
  <c r="AH392" i="10" s="1"/>
  <c r="AM392" i="10"/>
  <c r="AF390" i="10"/>
  <c r="AH390" i="10" s="1"/>
  <c r="AM390" i="10"/>
  <c r="AE390" i="10"/>
  <c r="AG390" i="10" s="1"/>
  <c r="AE389" i="10"/>
  <c r="AG389" i="10" s="1"/>
  <c r="AF389" i="10"/>
  <c r="AH389" i="10" s="1"/>
  <c r="AM389" i="10"/>
  <c r="AE388" i="10"/>
  <c r="AG388" i="10" s="1"/>
  <c r="AF388" i="10"/>
  <c r="AH388" i="10" s="1"/>
  <c r="AM388" i="10"/>
  <c r="AF387" i="10"/>
  <c r="AH387" i="10" s="1"/>
  <c r="AM387" i="10"/>
  <c r="AE387" i="10"/>
  <c r="AG387" i="10" s="1"/>
  <c r="AF386" i="10"/>
  <c r="AH386" i="10" s="1"/>
  <c r="AM386" i="10"/>
  <c r="AE386" i="10"/>
  <c r="AG386" i="10" s="1"/>
  <c r="AM385" i="10"/>
  <c r="AE385" i="10"/>
  <c r="AG385" i="10" s="1"/>
  <c r="AF385" i="10"/>
  <c r="AH385" i="10" s="1"/>
  <c r="AM384" i="10"/>
  <c r="AF384" i="10"/>
  <c r="AH384" i="10" s="1"/>
  <c r="AE384" i="10"/>
  <c r="AG384" i="10" s="1"/>
  <c r="AF383" i="10"/>
  <c r="AH383" i="10" s="1"/>
  <c r="AE383" i="10"/>
  <c r="AG383" i="10" s="1"/>
  <c r="AM383" i="10"/>
  <c r="AF382" i="10"/>
  <c r="AH382" i="10" s="1"/>
  <c r="AM382" i="10"/>
  <c r="AE382" i="10"/>
  <c r="AG382" i="10" s="1"/>
  <c r="AF381" i="10"/>
  <c r="AH381" i="10" s="1"/>
  <c r="AM381" i="10"/>
  <c r="AE381" i="10"/>
  <c r="AG381" i="10" s="1"/>
  <c r="AE380" i="10"/>
  <c r="AG380" i="10" s="1"/>
  <c r="AF380" i="10"/>
  <c r="AH380" i="10" s="1"/>
  <c r="AM380" i="10"/>
  <c r="AE379" i="10"/>
  <c r="AG379" i="10" s="1"/>
  <c r="AM379" i="10"/>
  <c r="AF379" i="10"/>
  <c r="AH379" i="10" s="1"/>
  <c r="AF378" i="10"/>
  <c r="AH378" i="10" s="1"/>
  <c r="AE378" i="10"/>
  <c r="AG378" i="10" s="1"/>
  <c r="AM378" i="10"/>
  <c r="AM377" i="10"/>
  <c r="AE377" i="10"/>
  <c r="AG377" i="10" s="1"/>
  <c r="AF377" i="10"/>
  <c r="AH377" i="10" s="1"/>
  <c r="AM376" i="10"/>
  <c r="AF376" i="10"/>
  <c r="AH376" i="10" s="1"/>
  <c r="AE376" i="10"/>
  <c r="AG376" i="10" s="1"/>
  <c r="AM375" i="10"/>
  <c r="AE375" i="10"/>
  <c r="AG375" i="10" s="1"/>
  <c r="AF375" i="10"/>
  <c r="AH375" i="10" s="1"/>
  <c r="AM374" i="10"/>
  <c r="AF374" i="10"/>
  <c r="AH374" i="10" s="1"/>
  <c r="AE374" i="10"/>
  <c r="AG374" i="10" s="1"/>
  <c r="AF373" i="10"/>
  <c r="AH373" i="10" s="1"/>
  <c r="AM373" i="10"/>
  <c r="AE373" i="10"/>
  <c r="AG373" i="10" s="1"/>
  <c r="AF372" i="10"/>
  <c r="AH372" i="10" s="1"/>
  <c r="AM372" i="10"/>
  <c r="AE372" i="10"/>
  <c r="AG372" i="10" s="1"/>
  <c r="AE371" i="10"/>
  <c r="AG371" i="10" s="1"/>
  <c r="AF371" i="10"/>
  <c r="AH371" i="10" s="1"/>
  <c r="AM371" i="10"/>
  <c r="AM370" i="10"/>
  <c r="AF370" i="10"/>
  <c r="AH370" i="10" s="1"/>
  <c r="AE370" i="10"/>
  <c r="AG370" i="10" s="1"/>
  <c r="AE369" i="10"/>
  <c r="AG369" i="10" s="1"/>
  <c r="AF369" i="10"/>
  <c r="AH369" i="10" s="1"/>
  <c r="AM369" i="10"/>
  <c r="AF368" i="10"/>
  <c r="AH368" i="10" s="1"/>
  <c r="AM368" i="10"/>
  <c r="AE368" i="10"/>
  <c r="AG368" i="10" s="1"/>
  <c r="AM367" i="10"/>
  <c r="AF367" i="10"/>
  <c r="AH367" i="10" s="1"/>
  <c r="AE367" i="10"/>
  <c r="AG367" i="10" s="1"/>
  <c r="AM366" i="10"/>
  <c r="AF366" i="10"/>
  <c r="AH366" i="10" s="1"/>
  <c r="AE366" i="10"/>
  <c r="AG366" i="10" s="1"/>
  <c r="AF365" i="10"/>
  <c r="AH365" i="10" s="1"/>
  <c r="AE365" i="10"/>
  <c r="AG365" i="10" s="1"/>
  <c r="AM365" i="10"/>
  <c r="AE364" i="10"/>
  <c r="AG364" i="10" s="1"/>
  <c r="AM364" i="10"/>
  <c r="AF364" i="10"/>
  <c r="AH364" i="10" s="1"/>
  <c r="AF363" i="10"/>
  <c r="AH363" i="10" s="1"/>
  <c r="AE363" i="10"/>
  <c r="AG363" i="10" s="1"/>
  <c r="AM363" i="10"/>
  <c r="AE362" i="10"/>
  <c r="AG362" i="10" s="1"/>
  <c r="AF362" i="10"/>
  <c r="AH362" i="10" s="1"/>
  <c r="AM362" i="10"/>
  <c r="AE361" i="10"/>
  <c r="AG361" i="10" s="1"/>
  <c r="AM361" i="10"/>
  <c r="AF361" i="10"/>
  <c r="AH361" i="10" s="1"/>
  <c r="AE360" i="10"/>
  <c r="AG360" i="10" s="1"/>
  <c r="AF360" i="10"/>
  <c r="AH360" i="10" s="1"/>
  <c r="AM360" i="10"/>
  <c r="AE359" i="10"/>
  <c r="AG359" i="10" s="1"/>
  <c r="AF359" i="10"/>
  <c r="AH359" i="10" s="1"/>
  <c r="AM359" i="10"/>
  <c r="AE358" i="10"/>
  <c r="AG358" i="10" s="1"/>
  <c r="AF358" i="10"/>
  <c r="AH358" i="10" s="1"/>
  <c r="AM358" i="10"/>
  <c r="AE357" i="10"/>
  <c r="AG357" i="10" s="1"/>
  <c r="AF357" i="10"/>
  <c r="AH357" i="10" s="1"/>
  <c r="AM357" i="10"/>
  <c r="AE356" i="10"/>
  <c r="AG356" i="10" s="1"/>
  <c r="AF356" i="10"/>
  <c r="AH356" i="10" s="1"/>
  <c r="AM356" i="10"/>
  <c r="AE355" i="10"/>
  <c r="AG355" i="10" s="1"/>
  <c r="AF355" i="10"/>
  <c r="AH355" i="10" s="1"/>
  <c r="AM355" i="10"/>
  <c r="AE354" i="10"/>
  <c r="AG354" i="10" s="1"/>
  <c r="AF354" i="10"/>
  <c r="AH354" i="10" s="1"/>
  <c r="AM354" i="10"/>
  <c r="AE353" i="10"/>
  <c r="AG353" i="10" s="1"/>
  <c r="AF353" i="10"/>
  <c r="AH353" i="10" s="1"/>
  <c r="AM353" i="10"/>
  <c r="AE352" i="10"/>
  <c r="AG352" i="10" s="1"/>
  <c r="AF352" i="10"/>
  <c r="AH352" i="10" s="1"/>
  <c r="AM352" i="10"/>
  <c r="AE351" i="10"/>
  <c r="AG351" i="10" s="1"/>
  <c r="AF351" i="10"/>
  <c r="AH351" i="10" s="1"/>
  <c r="AM351" i="10"/>
  <c r="AE350" i="10"/>
  <c r="AG350" i="10" s="1"/>
  <c r="AF350" i="10"/>
  <c r="AH350" i="10" s="1"/>
  <c r="AM350" i="10"/>
  <c r="AE349" i="10"/>
  <c r="AG349" i="10" s="1"/>
  <c r="AF349" i="10"/>
  <c r="AH349" i="10" s="1"/>
  <c r="AM349" i="10"/>
  <c r="AE348" i="10"/>
  <c r="AG348" i="10" s="1"/>
  <c r="AF348" i="10"/>
  <c r="AH348" i="10" s="1"/>
  <c r="AM348" i="10"/>
  <c r="AE347" i="10"/>
  <c r="AG347" i="10" s="1"/>
  <c r="AF347" i="10"/>
  <c r="AH347" i="10" s="1"/>
  <c r="AM347" i="10"/>
  <c r="AE346" i="10"/>
  <c r="AG346" i="10" s="1"/>
  <c r="AF346" i="10"/>
  <c r="AH346" i="10" s="1"/>
  <c r="AM346" i="10"/>
  <c r="AE345" i="10"/>
  <c r="AG345" i="10" s="1"/>
  <c r="AF345" i="10"/>
  <c r="AH345" i="10" s="1"/>
  <c r="AM345" i="10"/>
  <c r="AE344" i="10"/>
  <c r="AG344" i="10" s="1"/>
  <c r="AF344" i="10"/>
  <c r="AH344" i="10" s="1"/>
  <c r="AM344" i="10"/>
  <c r="AE343" i="10"/>
  <c r="AG343" i="10" s="1"/>
  <c r="AF343" i="10"/>
  <c r="AH343" i="10" s="1"/>
  <c r="AM343" i="10"/>
  <c r="AE342" i="10"/>
  <c r="AG342" i="10" s="1"/>
  <c r="AF342" i="10"/>
  <c r="AH342" i="10" s="1"/>
  <c r="AM342" i="10"/>
  <c r="AE341" i="10"/>
  <c r="AG341" i="10" s="1"/>
  <c r="AF341" i="10"/>
  <c r="AH341" i="10" s="1"/>
  <c r="AM341" i="10"/>
  <c r="AE340" i="10"/>
  <c r="AG340" i="10" s="1"/>
  <c r="AF340" i="10"/>
  <c r="AH340" i="10" s="1"/>
  <c r="AM340" i="10"/>
  <c r="AE339" i="10"/>
  <c r="AG339" i="10" s="1"/>
  <c r="AF339" i="10"/>
  <c r="AH339" i="10" s="1"/>
  <c r="AM339" i="10"/>
  <c r="AE338" i="10"/>
  <c r="AG338" i="10" s="1"/>
  <c r="AF338" i="10"/>
  <c r="AH338" i="10" s="1"/>
  <c r="AM338" i="10"/>
  <c r="AE337" i="10"/>
  <c r="AG337" i="10" s="1"/>
  <c r="AF337" i="10"/>
  <c r="AH337" i="10" s="1"/>
  <c r="AM337" i="10"/>
  <c r="AE336" i="10"/>
  <c r="AG336" i="10" s="1"/>
  <c r="AF336" i="10"/>
  <c r="AH336" i="10" s="1"/>
  <c r="AM336" i="10"/>
  <c r="AE335" i="10"/>
  <c r="AG335" i="10" s="1"/>
  <c r="AF335" i="10"/>
  <c r="AH335" i="10" s="1"/>
  <c r="AM335" i="10"/>
  <c r="AE334" i="10"/>
  <c r="AG334" i="10" s="1"/>
  <c r="AF334" i="10"/>
  <c r="AH334" i="10" s="1"/>
  <c r="AM334" i="10"/>
  <c r="AE333" i="10"/>
  <c r="AG333" i="10" s="1"/>
  <c r="AF333" i="10"/>
  <c r="AH333" i="10" s="1"/>
  <c r="AM333" i="10"/>
  <c r="AE332" i="10"/>
  <c r="AG332" i="10" s="1"/>
  <c r="AF332" i="10"/>
  <c r="AH332" i="10" s="1"/>
  <c r="AM332" i="10"/>
  <c r="AE331" i="10"/>
  <c r="AG331" i="10" s="1"/>
  <c r="AF331" i="10"/>
  <c r="AH331" i="10" s="1"/>
  <c r="AM331" i="10"/>
  <c r="AE330" i="10"/>
  <c r="AG330" i="10" s="1"/>
  <c r="AF330" i="10"/>
  <c r="AH330" i="10" s="1"/>
  <c r="AM330" i="10"/>
  <c r="AE329" i="10"/>
  <c r="AG329" i="10" s="1"/>
  <c r="AF329" i="10"/>
  <c r="AH329" i="10" s="1"/>
  <c r="AM329" i="10"/>
  <c r="AE328" i="10"/>
  <c r="AG328" i="10" s="1"/>
  <c r="AF328" i="10"/>
  <c r="AH328" i="10" s="1"/>
  <c r="AM328" i="10"/>
  <c r="AE327" i="10"/>
  <c r="AG327" i="10" s="1"/>
  <c r="AF327" i="10"/>
  <c r="AH327" i="10" s="1"/>
  <c r="AM327" i="10"/>
  <c r="AE326" i="10"/>
  <c r="AG326" i="10" s="1"/>
  <c r="AF326" i="10"/>
  <c r="AH326" i="10" s="1"/>
  <c r="AM326" i="10"/>
  <c r="AE325" i="10"/>
  <c r="AG325" i="10" s="1"/>
  <c r="AF325" i="10"/>
  <c r="AH325" i="10" s="1"/>
  <c r="AM325" i="10"/>
  <c r="AE324" i="10"/>
  <c r="AG324" i="10" s="1"/>
  <c r="AF324" i="10"/>
  <c r="AH324" i="10" s="1"/>
  <c r="AM324" i="10"/>
  <c r="AE323" i="10"/>
  <c r="AG323" i="10" s="1"/>
  <c r="AF323" i="10"/>
  <c r="AH323" i="10" s="1"/>
  <c r="AM323" i="10"/>
  <c r="AE322" i="10"/>
  <c r="AG322" i="10" s="1"/>
  <c r="AF322" i="10"/>
  <c r="AH322" i="10" s="1"/>
  <c r="AM322" i="10"/>
  <c r="AE321" i="10"/>
  <c r="AG321" i="10" s="1"/>
  <c r="AF321" i="10"/>
  <c r="AH321" i="10" s="1"/>
  <c r="AM321" i="10"/>
  <c r="AE320" i="10"/>
  <c r="AG320" i="10" s="1"/>
  <c r="AF320" i="10"/>
  <c r="AH320" i="10" s="1"/>
  <c r="AM320" i="10"/>
  <c r="AE319" i="10"/>
  <c r="AG319" i="10" s="1"/>
  <c r="AF319" i="10"/>
  <c r="AH319" i="10" s="1"/>
  <c r="AM319" i="10"/>
  <c r="AE318" i="10"/>
  <c r="AG318" i="10" s="1"/>
  <c r="AF318" i="10"/>
  <c r="AH318" i="10" s="1"/>
  <c r="AM318" i="10"/>
  <c r="AE317" i="10"/>
  <c r="AG317" i="10" s="1"/>
  <c r="AF317" i="10"/>
  <c r="AH317" i="10" s="1"/>
  <c r="AM317" i="10"/>
  <c r="AE316" i="10"/>
  <c r="AG316" i="10" s="1"/>
  <c r="AF316" i="10"/>
  <c r="AH316" i="10" s="1"/>
  <c r="AM316" i="10"/>
  <c r="AE315" i="10"/>
  <c r="AG315" i="10" s="1"/>
  <c r="AF315" i="10"/>
  <c r="AH315" i="10" s="1"/>
  <c r="AM315" i="10"/>
  <c r="AE314" i="10"/>
  <c r="AG314" i="10" s="1"/>
  <c r="AF314" i="10"/>
  <c r="AH314" i="10" s="1"/>
  <c r="AM314" i="10"/>
  <c r="AE313" i="10"/>
  <c r="AG313" i="10" s="1"/>
  <c r="AF313" i="10"/>
  <c r="AH313" i="10" s="1"/>
  <c r="AM313" i="10"/>
  <c r="AE312" i="10"/>
  <c r="AG312" i="10" s="1"/>
  <c r="AF312" i="10"/>
  <c r="AH312" i="10" s="1"/>
  <c r="AM312" i="10"/>
  <c r="AE311" i="10"/>
  <c r="AG311" i="10" s="1"/>
  <c r="AF311" i="10"/>
  <c r="AH311" i="10" s="1"/>
  <c r="AM311" i="10"/>
  <c r="AE310" i="10"/>
  <c r="AG310" i="10" s="1"/>
  <c r="AF310" i="10"/>
  <c r="AH310" i="10" s="1"/>
  <c r="AM310" i="10"/>
  <c r="AE309" i="10"/>
  <c r="AG309" i="10" s="1"/>
  <c r="AF309" i="10"/>
  <c r="AH309" i="10" s="1"/>
  <c r="AM309" i="10"/>
  <c r="AE308" i="10"/>
  <c r="AG308" i="10" s="1"/>
  <c r="AF308" i="10"/>
  <c r="AH308" i="10" s="1"/>
  <c r="AM308" i="10"/>
  <c r="AE307" i="10"/>
  <c r="AG307" i="10" s="1"/>
  <c r="AF307" i="10"/>
  <c r="AH307" i="10" s="1"/>
  <c r="AM307" i="10"/>
  <c r="AE306" i="10"/>
  <c r="AG306" i="10" s="1"/>
  <c r="AF306" i="10"/>
  <c r="AH306" i="10" s="1"/>
  <c r="AM306" i="10"/>
  <c r="AE305" i="10"/>
  <c r="AG305" i="10" s="1"/>
  <c r="AF305" i="10"/>
  <c r="AH305" i="10" s="1"/>
  <c r="AM305" i="10"/>
  <c r="AE304" i="10"/>
  <c r="AG304" i="10" s="1"/>
  <c r="AF304" i="10"/>
  <c r="AH304" i="10" s="1"/>
  <c r="AM304" i="10"/>
  <c r="AE303" i="10"/>
  <c r="AG303" i="10" s="1"/>
  <c r="AF303" i="10"/>
  <c r="AH303" i="10" s="1"/>
  <c r="AM303" i="10"/>
  <c r="AE302" i="10"/>
  <c r="AG302" i="10" s="1"/>
  <c r="AF302" i="10"/>
  <c r="AH302" i="10" s="1"/>
  <c r="AM302" i="10"/>
  <c r="AE301" i="10"/>
  <c r="AG301" i="10" s="1"/>
  <c r="AF301" i="10"/>
  <c r="AH301" i="10" s="1"/>
  <c r="AM301" i="10"/>
  <c r="AE300" i="10"/>
  <c r="AG300" i="10" s="1"/>
  <c r="AF300" i="10"/>
  <c r="AH300" i="10" s="1"/>
  <c r="AM300" i="10"/>
  <c r="AE299" i="10"/>
  <c r="AG299" i="10" s="1"/>
  <c r="AF299" i="10"/>
  <c r="AH299" i="10" s="1"/>
  <c r="AM299" i="10"/>
  <c r="AE298" i="10"/>
  <c r="AG298" i="10" s="1"/>
  <c r="AF298" i="10"/>
  <c r="AH298" i="10" s="1"/>
  <c r="AM298" i="10"/>
  <c r="AE297" i="10"/>
  <c r="AG297" i="10" s="1"/>
  <c r="AF297" i="10"/>
  <c r="AH297" i="10" s="1"/>
  <c r="AM297" i="10"/>
  <c r="AE295" i="10"/>
  <c r="AG295" i="10" s="1"/>
  <c r="AF295" i="10"/>
  <c r="AH295" i="10" s="1"/>
  <c r="AM295" i="10"/>
  <c r="AE294" i="10"/>
  <c r="AG294" i="10" s="1"/>
  <c r="AF294" i="10"/>
  <c r="AH294" i="10" s="1"/>
  <c r="AM294" i="10"/>
  <c r="AE293" i="10"/>
  <c r="AG293" i="10" s="1"/>
  <c r="AF293" i="10"/>
  <c r="AH293" i="10" s="1"/>
  <c r="AM293" i="10"/>
  <c r="AE292" i="10"/>
  <c r="AG292" i="10" s="1"/>
  <c r="AF292" i="10"/>
  <c r="AH292" i="10" s="1"/>
  <c r="AM292" i="10"/>
  <c r="AE291" i="10"/>
  <c r="AG291" i="10" s="1"/>
  <c r="AF291" i="10"/>
  <c r="AH291" i="10" s="1"/>
  <c r="AM291" i="10"/>
  <c r="AE290" i="10"/>
  <c r="AG290" i="10" s="1"/>
  <c r="AF290" i="10"/>
  <c r="AH290" i="10" s="1"/>
  <c r="AM290" i="10"/>
  <c r="AE289" i="10"/>
  <c r="AG289" i="10" s="1"/>
  <c r="AF289" i="10"/>
  <c r="AH289" i="10" s="1"/>
  <c r="AM289" i="10"/>
  <c r="AE288" i="10"/>
  <c r="AG288" i="10" s="1"/>
  <c r="AF288" i="10"/>
  <c r="AH288" i="10" s="1"/>
  <c r="AM288" i="10"/>
  <c r="AE287" i="10"/>
  <c r="AG287" i="10" s="1"/>
  <c r="AF287" i="10"/>
  <c r="AH287" i="10" s="1"/>
  <c r="AM287" i="10"/>
  <c r="AE286" i="10"/>
  <c r="AG286" i="10" s="1"/>
  <c r="AF286" i="10"/>
  <c r="AH286" i="10" s="1"/>
  <c r="AM286" i="10"/>
  <c r="AE285" i="10"/>
  <c r="AG285" i="10" s="1"/>
  <c r="AF285" i="10"/>
  <c r="AH285" i="10" s="1"/>
  <c r="AM285" i="10"/>
  <c r="AE284" i="10"/>
  <c r="AG284" i="10" s="1"/>
  <c r="AF284" i="10"/>
  <c r="AH284" i="10" s="1"/>
  <c r="AM284" i="10"/>
  <c r="AE283" i="10"/>
  <c r="AG283" i="10" s="1"/>
  <c r="AF283" i="10"/>
  <c r="AH283" i="10" s="1"/>
  <c r="AM283" i="10"/>
  <c r="AE282" i="10"/>
  <c r="AG282" i="10" s="1"/>
  <c r="AF282" i="10"/>
  <c r="AH282" i="10" s="1"/>
  <c r="AM282" i="10"/>
  <c r="AE281" i="10"/>
  <c r="AG281" i="10" s="1"/>
  <c r="AF281" i="10"/>
  <c r="AH281" i="10" s="1"/>
  <c r="AM281" i="10"/>
  <c r="AE280" i="10"/>
  <c r="AG280" i="10" s="1"/>
  <c r="AF280" i="10"/>
  <c r="AH280" i="10" s="1"/>
  <c r="AM280" i="10"/>
  <c r="AE279" i="10"/>
  <c r="AG279" i="10" s="1"/>
  <c r="AF279" i="10"/>
  <c r="AH279" i="10" s="1"/>
  <c r="AM279" i="10"/>
  <c r="AE278" i="10"/>
  <c r="AG278" i="10" s="1"/>
  <c r="AF278" i="10"/>
  <c r="AH278" i="10" s="1"/>
  <c r="AM278" i="10"/>
  <c r="AE277" i="10"/>
  <c r="AG277" i="10" s="1"/>
  <c r="AF277" i="10"/>
  <c r="AH277" i="10" s="1"/>
  <c r="AM277" i="10"/>
  <c r="AE276" i="10"/>
  <c r="AG276" i="10" s="1"/>
  <c r="AF276" i="10"/>
  <c r="AH276" i="10" s="1"/>
  <c r="AM276" i="10"/>
  <c r="AE275" i="10"/>
  <c r="AG275" i="10" s="1"/>
  <c r="AF275" i="10"/>
  <c r="AH275" i="10" s="1"/>
  <c r="AM275" i="10"/>
  <c r="AE274" i="10"/>
  <c r="AG274" i="10" s="1"/>
  <c r="AF274" i="10"/>
  <c r="AH274" i="10" s="1"/>
  <c r="AM274" i="10"/>
  <c r="AE273" i="10"/>
  <c r="AG273" i="10" s="1"/>
  <c r="AF273" i="10"/>
  <c r="AH273" i="10" s="1"/>
  <c r="AM273" i="10"/>
  <c r="AE272" i="10"/>
  <c r="AG272" i="10" s="1"/>
  <c r="AF272" i="10"/>
  <c r="AH272" i="10" s="1"/>
  <c r="AM272" i="10"/>
  <c r="AE271" i="10"/>
  <c r="AG271" i="10" s="1"/>
  <c r="AF271" i="10"/>
  <c r="AH271" i="10" s="1"/>
  <c r="AM271" i="10"/>
  <c r="AE270" i="10"/>
  <c r="AG270" i="10" s="1"/>
  <c r="AF270" i="10"/>
  <c r="AH270" i="10" s="1"/>
  <c r="AM270" i="10"/>
  <c r="AE269" i="10"/>
  <c r="AG269" i="10" s="1"/>
  <c r="AF269" i="10"/>
  <c r="AH269" i="10" s="1"/>
  <c r="AM269" i="10"/>
  <c r="AE268" i="10"/>
  <c r="AG268" i="10" s="1"/>
  <c r="AF268" i="10"/>
  <c r="AH268" i="10" s="1"/>
  <c r="AM268" i="10"/>
  <c r="AE267" i="10"/>
  <c r="AG267" i="10" s="1"/>
  <c r="AF267" i="10"/>
  <c r="AH267" i="10" s="1"/>
  <c r="AM267" i="10"/>
  <c r="AE266" i="10"/>
  <c r="AG266" i="10" s="1"/>
  <c r="AF266" i="10"/>
  <c r="AH266" i="10" s="1"/>
  <c r="AM266" i="10"/>
  <c r="AE265" i="10"/>
  <c r="AG265" i="10" s="1"/>
  <c r="AF265" i="10"/>
  <c r="AH265" i="10" s="1"/>
  <c r="AM265" i="10"/>
  <c r="AE264" i="10"/>
  <c r="AG264" i="10" s="1"/>
  <c r="AF264" i="10"/>
  <c r="AH264" i="10" s="1"/>
  <c r="AM264" i="10"/>
  <c r="AE263" i="10"/>
  <c r="AG263" i="10" s="1"/>
  <c r="AF263" i="10"/>
  <c r="AH263" i="10" s="1"/>
  <c r="AM263" i="10"/>
  <c r="AE262" i="10"/>
  <c r="AG262" i="10" s="1"/>
  <c r="AF262" i="10"/>
  <c r="AH262" i="10" s="1"/>
  <c r="AM262" i="10"/>
  <c r="AE261" i="10"/>
  <c r="AG261" i="10" s="1"/>
  <c r="AF261" i="10"/>
  <c r="AH261" i="10" s="1"/>
  <c r="AM261" i="10"/>
  <c r="AE260" i="10"/>
  <c r="AG260" i="10" s="1"/>
  <c r="AF260" i="10"/>
  <c r="AH260" i="10" s="1"/>
  <c r="AM260" i="10"/>
  <c r="AE259" i="10"/>
  <c r="AG259" i="10" s="1"/>
  <c r="AF259" i="10"/>
  <c r="AH259" i="10" s="1"/>
  <c r="AM259" i="10"/>
  <c r="AE258" i="10"/>
  <c r="AG258" i="10" s="1"/>
  <c r="AF258" i="10"/>
  <c r="AH258" i="10" s="1"/>
  <c r="AM258" i="10"/>
  <c r="AE257" i="10"/>
  <c r="AG257" i="10" s="1"/>
  <c r="AF257" i="10"/>
  <c r="AH257" i="10" s="1"/>
  <c r="AM257" i="10"/>
  <c r="AE256" i="10"/>
  <c r="AG256" i="10" s="1"/>
  <c r="AF256" i="10"/>
  <c r="AH256" i="10" s="1"/>
  <c r="AM256" i="10"/>
  <c r="AE255" i="10"/>
  <c r="AG255" i="10" s="1"/>
  <c r="AF255" i="10"/>
  <c r="AH255" i="10" s="1"/>
  <c r="AM255" i="10"/>
  <c r="AE254" i="10"/>
  <c r="AG254" i="10" s="1"/>
  <c r="AF254" i="10"/>
  <c r="AH254" i="10" s="1"/>
  <c r="AM254" i="10"/>
  <c r="AE253" i="10"/>
  <c r="AG253" i="10" s="1"/>
  <c r="AF253" i="10"/>
  <c r="AH253" i="10" s="1"/>
  <c r="AM253" i="10"/>
  <c r="AE252" i="10"/>
  <c r="AG252" i="10" s="1"/>
  <c r="AF252" i="10"/>
  <c r="AH252" i="10" s="1"/>
  <c r="AM252" i="10"/>
  <c r="AE251" i="10"/>
  <c r="AG251" i="10" s="1"/>
  <c r="AF251" i="10"/>
  <c r="AH251" i="10" s="1"/>
  <c r="AM251" i="10"/>
  <c r="AE250" i="10"/>
  <c r="AG250" i="10" s="1"/>
  <c r="AF250" i="10"/>
  <c r="AH250" i="10" s="1"/>
  <c r="AM250" i="10"/>
  <c r="AE249" i="10"/>
  <c r="AG249" i="10" s="1"/>
  <c r="AF249" i="10"/>
  <c r="AH249" i="10" s="1"/>
  <c r="AM249" i="10"/>
  <c r="AE248" i="10"/>
  <c r="AG248" i="10" s="1"/>
  <c r="AF248" i="10"/>
  <c r="AH248" i="10" s="1"/>
  <c r="AM248" i="10"/>
  <c r="AE247" i="10"/>
  <c r="AG247" i="10" s="1"/>
  <c r="AF247" i="10"/>
  <c r="AH247" i="10" s="1"/>
  <c r="AM247" i="10"/>
  <c r="AE246" i="10"/>
  <c r="AG246" i="10" s="1"/>
  <c r="AF246" i="10"/>
  <c r="AH246" i="10" s="1"/>
  <c r="AM246" i="10"/>
  <c r="AE245" i="10"/>
  <c r="AG245" i="10" s="1"/>
  <c r="AF245" i="10"/>
  <c r="AH245" i="10" s="1"/>
  <c r="AM245" i="10"/>
  <c r="AE244" i="10"/>
  <c r="AG244" i="10" s="1"/>
  <c r="AF244" i="10"/>
  <c r="AH244" i="10" s="1"/>
  <c r="AM244" i="10"/>
  <c r="AE243" i="10"/>
  <c r="AG243" i="10" s="1"/>
  <c r="AF243" i="10"/>
  <c r="AH243" i="10" s="1"/>
  <c r="AM243" i="10"/>
  <c r="AE242" i="10"/>
  <c r="AG242" i="10" s="1"/>
  <c r="AF242" i="10"/>
  <c r="AH242" i="10" s="1"/>
  <c r="AM242" i="10"/>
  <c r="AE241" i="10"/>
  <c r="AG241" i="10" s="1"/>
  <c r="AF241" i="10"/>
  <c r="AH241" i="10" s="1"/>
  <c r="AM241" i="10"/>
  <c r="AE240" i="10"/>
  <c r="AG240" i="10" s="1"/>
  <c r="AF240" i="10"/>
  <c r="AH240" i="10" s="1"/>
  <c r="AM240" i="10"/>
  <c r="AE239" i="10"/>
  <c r="AG239" i="10" s="1"/>
  <c r="AF239" i="10"/>
  <c r="AH239" i="10" s="1"/>
  <c r="AM239" i="10"/>
  <c r="AE238" i="10"/>
  <c r="AG238" i="10" s="1"/>
  <c r="AF238" i="10"/>
  <c r="AH238" i="10" s="1"/>
  <c r="AM238" i="10"/>
  <c r="AE237" i="10"/>
  <c r="AG237" i="10" s="1"/>
  <c r="AF237" i="10"/>
  <c r="AH237" i="10" s="1"/>
  <c r="AM237" i="10"/>
  <c r="AE236" i="10"/>
  <c r="AG236" i="10" s="1"/>
  <c r="AF236" i="10"/>
  <c r="AH236" i="10" s="1"/>
  <c r="AM236" i="10"/>
  <c r="AE235" i="10"/>
  <c r="AG235" i="10" s="1"/>
  <c r="AF235" i="10"/>
  <c r="AH235" i="10" s="1"/>
  <c r="AM235" i="10"/>
  <c r="AE234" i="10"/>
  <c r="AG234" i="10" s="1"/>
  <c r="AF234" i="10"/>
  <c r="AH234" i="10" s="1"/>
  <c r="AM234" i="10"/>
  <c r="AE233" i="10"/>
  <c r="AG233" i="10" s="1"/>
  <c r="AF233" i="10"/>
  <c r="AH233" i="10" s="1"/>
  <c r="AM233" i="10"/>
  <c r="AE232" i="10"/>
  <c r="AG232" i="10" s="1"/>
  <c r="AF232" i="10"/>
  <c r="AH232" i="10" s="1"/>
  <c r="AM232" i="10"/>
  <c r="AE230" i="10"/>
  <c r="AG230" i="10" s="1"/>
  <c r="AF230" i="10"/>
  <c r="AH230" i="10" s="1"/>
  <c r="AM230" i="10"/>
  <c r="AE229" i="10"/>
  <c r="AG229" i="10" s="1"/>
  <c r="AF229" i="10"/>
  <c r="AH229" i="10" s="1"/>
  <c r="AM229" i="10"/>
  <c r="AE228" i="10"/>
  <c r="AG228" i="10" s="1"/>
  <c r="AF228" i="10"/>
  <c r="AH228" i="10" s="1"/>
  <c r="AM228" i="10"/>
  <c r="AE227" i="10"/>
  <c r="AG227" i="10" s="1"/>
  <c r="AF227" i="10"/>
  <c r="AH227" i="10" s="1"/>
  <c r="AM227" i="10"/>
  <c r="AE226" i="10"/>
  <c r="AG226" i="10" s="1"/>
  <c r="AF226" i="10"/>
  <c r="AH226" i="10" s="1"/>
  <c r="AM226" i="10"/>
  <c r="AE225" i="10"/>
  <c r="AG225" i="10" s="1"/>
  <c r="AF225" i="10"/>
  <c r="AH225" i="10" s="1"/>
  <c r="AM225" i="10"/>
  <c r="AE224" i="10"/>
  <c r="AG224" i="10" s="1"/>
  <c r="AF224" i="10"/>
  <c r="AH224" i="10" s="1"/>
  <c r="AM224" i="10"/>
  <c r="AE223" i="10"/>
  <c r="AG223" i="10" s="1"/>
  <c r="AF223" i="10"/>
  <c r="AH223" i="10" s="1"/>
  <c r="AM223" i="10"/>
  <c r="AE222" i="10"/>
  <c r="AG222" i="10" s="1"/>
  <c r="AF222" i="10"/>
  <c r="AH222" i="10" s="1"/>
  <c r="AM222" i="10"/>
  <c r="AE221" i="10"/>
  <c r="AG221" i="10" s="1"/>
  <c r="AF221" i="10"/>
  <c r="AH221" i="10" s="1"/>
  <c r="AM221" i="10"/>
  <c r="AE220" i="10"/>
  <c r="AG220" i="10" s="1"/>
  <c r="AF220" i="10"/>
  <c r="AH220" i="10" s="1"/>
  <c r="AM220" i="10"/>
  <c r="AE219" i="10"/>
  <c r="AG219" i="10" s="1"/>
  <c r="AF219" i="10"/>
  <c r="AH219" i="10" s="1"/>
  <c r="AM219" i="10"/>
  <c r="AE218" i="10"/>
  <c r="AG218" i="10" s="1"/>
  <c r="AF218" i="10"/>
  <c r="AH218" i="10" s="1"/>
  <c r="AM218" i="10"/>
  <c r="AE217" i="10"/>
  <c r="AG217" i="10" s="1"/>
  <c r="AF217" i="10"/>
  <c r="AH217" i="10" s="1"/>
  <c r="AM217" i="10"/>
  <c r="AE216" i="10"/>
  <c r="AG216" i="10" s="1"/>
  <c r="AF216" i="10"/>
  <c r="AH216" i="10" s="1"/>
  <c r="AM216" i="10"/>
  <c r="AE215" i="10"/>
  <c r="AG215" i="10" s="1"/>
  <c r="AF215" i="10"/>
  <c r="AH215" i="10" s="1"/>
  <c r="AM215" i="10"/>
  <c r="AE214" i="10"/>
  <c r="AG214" i="10" s="1"/>
  <c r="AF214" i="10"/>
  <c r="AH214" i="10" s="1"/>
  <c r="AM214" i="10"/>
  <c r="AE213" i="10"/>
  <c r="AG213" i="10" s="1"/>
  <c r="AF213" i="10"/>
  <c r="AH213" i="10" s="1"/>
  <c r="AM213" i="10"/>
  <c r="AE212" i="10"/>
  <c r="AG212" i="10" s="1"/>
  <c r="AF212" i="10"/>
  <c r="AH212" i="10" s="1"/>
  <c r="AM212" i="10"/>
  <c r="AE211" i="10"/>
  <c r="AG211" i="10" s="1"/>
  <c r="AF211" i="10"/>
  <c r="AH211" i="10" s="1"/>
  <c r="AM211" i="10"/>
  <c r="AE210" i="10"/>
  <c r="AG210" i="10" s="1"/>
  <c r="AF210" i="10"/>
  <c r="AH210" i="10" s="1"/>
  <c r="AM210" i="10"/>
  <c r="AE209" i="10"/>
  <c r="AG209" i="10" s="1"/>
  <c r="AF209" i="10"/>
  <c r="AH209" i="10" s="1"/>
  <c r="AM209" i="10"/>
  <c r="AE208" i="10"/>
  <c r="AG208" i="10" s="1"/>
  <c r="AF208" i="10"/>
  <c r="AH208" i="10" s="1"/>
  <c r="AM208" i="10"/>
  <c r="AE207" i="10"/>
  <c r="AG207" i="10" s="1"/>
  <c r="AF207" i="10"/>
  <c r="AH207" i="10" s="1"/>
  <c r="AM207" i="10"/>
  <c r="AE206" i="10"/>
  <c r="AG206" i="10" s="1"/>
  <c r="AF206" i="10"/>
  <c r="AH206" i="10" s="1"/>
  <c r="AM206" i="10"/>
  <c r="AE205" i="10"/>
  <c r="AG205" i="10" s="1"/>
  <c r="AF205" i="10"/>
  <c r="AH205" i="10" s="1"/>
  <c r="AM205" i="10"/>
  <c r="AE204" i="10"/>
  <c r="AG204" i="10" s="1"/>
  <c r="AF204" i="10"/>
  <c r="AH204" i="10" s="1"/>
  <c r="AM204" i="10"/>
  <c r="AE203" i="10"/>
  <c r="AG203" i="10" s="1"/>
  <c r="AF203" i="10"/>
  <c r="AH203" i="10" s="1"/>
  <c r="AM203" i="10"/>
  <c r="AE202" i="10"/>
  <c r="AG202" i="10" s="1"/>
  <c r="AF202" i="10"/>
  <c r="AH202" i="10" s="1"/>
  <c r="AM202" i="10"/>
  <c r="AE201" i="10"/>
  <c r="AG201" i="10" s="1"/>
  <c r="AF201" i="10"/>
  <c r="AH201" i="10" s="1"/>
  <c r="AM201" i="10"/>
  <c r="AE200" i="10"/>
  <c r="AG200" i="10" s="1"/>
  <c r="AF200" i="10"/>
  <c r="AH200" i="10" s="1"/>
  <c r="AM200" i="10"/>
  <c r="AE199" i="10"/>
  <c r="AG199" i="10" s="1"/>
  <c r="AF199" i="10"/>
  <c r="AH199" i="10" s="1"/>
  <c r="AM199" i="10"/>
  <c r="AE198" i="10"/>
  <c r="AG198" i="10" s="1"/>
  <c r="AF198" i="10"/>
  <c r="AH198" i="10" s="1"/>
  <c r="AM198" i="10"/>
  <c r="AE197" i="10"/>
  <c r="AG197" i="10" s="1"/>
  <c r="AF197" i="10"/>
  <c r="AH197" i="10" s="1"/>
  <c r="AM197" i="10"/>
  <c r="AE196" i="10"/>
  <c r="AG196" i="10" s="1"/>
  <c r="AF196" i="10"/>
  <c r="AH196" i="10" s="1"/>
  <c r="AM196" i="10"/>
  <c r="AE195" i="10"/>
  <c r="AG195" i="10" s="1"/>
  <c r="AF195" i="10"/>
  <c r="AH195" i="10" s="1"/>
  <c r="AM195" i="10"/>
  <c r="AE194" i="10"/>
  <c r="AG194" i="10" s="1"/>
  <c r="AF194" i="10"/>
  <c r="AH194" i="10" s="1"/>
  <c r="AM194" i="10"/>
  <c r="AE193" i="10"/>
  <c r="AG193" i="10" s="1"/>
  <c r="AF193" i="10"/>
  <c r="AH193" i="10" s="1"/>
  <c r="AM193" i="10"/>
  <c r="AE192" i="10"/>
  <c r="AG192" i="10" s="1"/>
  <c r="AF192" i="10"/>
  <c r="AH192" i="10" s="1"/>
  <c r="AM192" i="10"/>
  <c r="AE191" i="10"/>
  <c r="AG191" i="10" s="1"/>
  <c r="AF191" i="10"/>
  <c r="AH191" i="10" s="1"/>
  <c r="AM191" i="10"/>
  <c r="AE190" i="10"/>
  <c r="AG190" i="10" s="1"/>
  <c r="AF190" i="10"/>
  <c r="AH190" i="10" s="1"/>
  <c r="AM190" i="10"/>
  <c r="AE189" i="10"/>
  <c r="AG189" i="10" s="1"/>
  <c r="AF189" i="10"/>
  <c r="AH189" i="10" s="1"/>
  <c r="AM189" i="10"/>
  <c r="AE188" i="10"/>
  <c r="AG188" i="10" s="1"/>
  <c r="AF188" i="10"/>
  <c r="AH188" i="10" s="1"/>
  <c r="AM188" i="10"/>
  <c r="AE187" i="10"/>
  <c r="AG187" i="10" s="1"/>
  <c r="AF187" i="10"/>
  <c r="AH187" i="10" s="1"/>
  <c r="AM187" i="10"/>
  <c r="AE186" i="10"/>
  <c r="AG186" i="10" s="1"/>
  <c r="AF186" i="10"/>
  <c r="AH186" i="10" s="1"/>
  <c r="AM186" i="10"/>
  <c r="AE185" i="10"/>
  <c r="AG185" i="10" s="1"/>
  <c r="AF185" i="10"/>
  <c r="AH185" i="10" s="1"/>
  <c r="AM185" i="10"/>
  <c r="AE184" i="10"/>
  <c r="AG184" i="10" s="1"/>
  <c r="AF184" i="10"/>
  <c r="AH184" i="10" s="1"/>
  <c r="AM184" i="10"/>
  <c r="AE183" i="10"/>
  <c r="AG183" i="10" s="1"/>
  <c r="AF183" i="10"/>
  <c r="AH183" i="10" s="1"/>
  <c r="AM183" i="10"/>
  <c r="AE182" i="10"/>
  <c r="AG182" i="10" s="1"/>
  <c r="AF182" i="10"/>
  <c r="AH182" i="10" s="1"/>
  <c r="AM182" i="10"/>
  <c r="AE181" i="10"/>
  <c r="AG181" i="10" s="1"/>
  <c r="AF181" i="10"/>
  <c r="AH181" i="10" s="1"/>
  <c r="AM181" i="10"/>
  <c r="AE180" i="10"/>
  <c r="AG180" i="10" s="1"/>
  <c r="AF180" i="10"/>
  <c r="AH180" i="10" s="1"/>
  <c r="AM180" i="10"/>
  <c r="AE179" i="10"/>
  <c r="AG179" i="10" s="1"/>
  <c r="AF179" i="10"/>
  <c r="AH179" i="10" s="1"/>
  <c r="AM179" i="10"/>
  <c r="AE178" i="10"/>
  <c r="AG178" i="10" s="1"/>
  <c r="AF178" i="10"/>
  <c r="AH178" i="10" s="1"/>
  <c r="AM178" i="10"/>
  <c r="AE177" i="10"/>
  <c r="AG177" i="10" s="1"/>
  <c r="AF177" i="10"/>
  <c r="AH177" i="10" s="1"/>
  <c r="AM177" i="10"/>
  <c r="AE176" i="10"/>
  <c r="AG176" i="10" s="1"/>
  <c r="AF176" i="10"/>
  <c r="AH176" i="10" s="1"/>
  <c r="AM176" i="10"/>
  <c r="AE175" i="10"/>
  <c r="AG175" i="10" s="1"/>
  <c r="AF175" i="10"/>
  <c r="AH175" i="10" s="1"/>
  <c r="AM175" i="10"/>
  <c r="AE174" i="10"/>
  <c r="AG174" i="10" s="1"/>
  <c r="AF174" i="10"/>
  <c r="AH174" i="10" s="1"/>
  <c r="AM174" i="10"/>
  <c r="AE173" i="10"/>
  <c r="AG173" i="10" s="1"/>
  <c r="AF173" i="10"/>
  <c r="AH173" i="10" s="1"/>
  <c r="AM173" i="10"/>
  <c r="AE172" i="10"/>
  <c r="AG172" i="10" s="1"/>
  <c r="AF172" i="10"/>
  <c r="AH172" i="10" s="1"/>
  <c r="AM172" i="10"/>
  <c r="AE171" i="10"/>
  <c r="AG171" i="10" s="1"/>
  <c r="AF171" i="10"/>
  <c r="AH171" i="10" s="1"/>
  <c r="AM171" i="10"/>
  <c r="AE170" i="10"/>
  <c r="AG170" i="10" s="1"/>
  <c r="AF170" i="10"/>
  <c r="AH170" i="10" s="1"/>
  <c r="AM170" i="10"/>
  <c r="AE169" i="10"/>
  <c r="AG169" i="10" s="1"/>
  <c r="AF169" i="10"/>
  <c r="AH169" i="10" s="1"/>
  <c r="AM169" i="10"/>
  <c r="AE168" i="10"/>
  <c r="AG168" i="10" s="1"/>
  <c r="AF168" i="10"/>
  <c r="AH168" i="10" s="1"/>
  <c r="AM168" i="10"/>
  <c r="AE167" i="10"/>
  <c r="AG167" i="10" s="1"/>
  <c r="AF167" i="10"/>
  <c r="AH167" i="10" s="1"/>
  <c r="AM167" i="10"/>
  <c r="AE166" i="10"/>
  <c r="AG166" i="10" s="1"/>
  <c r="AF166" i="10"/>
  <c r="AH166" i="10" s="1"/>
  <c r="AM166" i="10"/>
  <c r="AE165" i="10"/>
  <c r="AG165" i="10" s="1"/>
  <c r="AF165" i="10"/>
  <c r="AH165" i="10" s="1"/>
  <c r="AM165" i="10"/>
  <c r="AE164" i="10"/>
  <c r="AG164" i="10" s="1"/>
  <c r="AF164" i="10"/>
  <c r="AH164" i="10" s="1"/>
  <c r="AM164" i="10"/>
  <c r="AE163" i="10"/>
  <c r="AG163" i="10" s="1"/>
  <c r="AF163" i="10"/>
  <c r="AH163" i="10" s="1"/>
  <c r="AM163" i="10"/>
  <c r="AE162" i="10"/>
  <c r="AG162" i="10" s="1"/>
  <c r="AF162" i="10"/>
  <c r="AH162" i="10" s="1"/>
  <c r="AM162" i="10"/>
  <c r="AE161" i="10"/>
  <c r="AG161" i="10" s="1"/>
  <c r="AF161" i="10"/>
  <c r="AH161" i="10" s="1"/>
  <c r="AM161" i="10"/>
  <c r="AE160" i="10"/>
  <c r="AG160" i="10" s="1"/>
  <c r="AF160" i="10"/>
  <c r="AH160" i="10" s="1"/>
  <c r="AM160" i="10"/>
  <c r="AE159" i="10"/>
  <c r="AG159" i="10" s="1"/>
  <c r="AF159" i="10"/>
  <c r="AH159" i="10" s="1"/>
  <c r="AM159" i="10"/>
  <c r="AE158" i="10"/>
  <c r="AG158" i="10" s="1"/>
  <c r="AF158" i="10"/>
  <c r="AH158" i="10" s="1"/>
  <c r="AM158" i="10"/>
  <c r="AE157" i="10"/>
  <c r="AG157" i="10" s="1"/>
  <c r="AF157" i="10"/>
  <c r="AH157" i="10" s="1"/>
  <c r="AM157" i="10"/>
  <c r="AE156" i="10"/>
  <c r="AG156" i="10" s="1"/>
  <c r="AF156" i="10"/>
  <c r="AH156" i="10" s="1"/>
  <c r="AM156" i="10"/>
  <c r="AE155" i="10"/>
  <c r="AG155" i="10" s="1"/>
  <c r="AF155" i="10"/>
  <c r="AH155" i="10" s="1"/>
  <c r="AM155" i="10"/>
  <c r="AE154" i="10"/>
  <c r="AG154" i="10" s="1"/>
  <c r="AF154" i="10"/>
  <c r="AH154" i="10" s="1"/>
  <c r="AM154" i="10"/>
  <c r="AE153" i="10"/>
  <c r="AG153" i="10" s="1"/>
  <c r="AF153" i="10"/>
  <c r="AH153" i="10" s="1"/>
  <c r="AM153" i="10"/>
  <c r="AE152" i="10"/>
  <c r="AG152" i="10" s="1"/>
  <c r="AF152" i="10"/>
  <c r="AH152" i="10" s="1"/>
  <c r="AM152" i="10"/>
  <c r="AE151" i="10"/>
  <c r="AG151" i="10" s="1"/>
  <c r="AF151" i="10"/>
  <c r="AH151" i="10" s="1"/>
  <c r="AM151" i="10"/>
  <c r="AE150" i="10"/>
  <c r="AG150" i="10" s="1"/>
  <c r="AF150" i="10"/>
  <c r="AH150" i="10" s="1"/>
  <c r="AM150" i="10"/>
  <c r="AE149" i="10"/>
  <c r="AG149" i="10" s="1"/>
  <c r="AF149" i="10"/>
  <c r="AH149" i="10" s="1"/>
  <c r="AM149" i="10"/>
  <c r="AE148" i="10"/>
  <c r="AG148" i="10" s="1"/>
  <c r="AF148" i="10"/>
  <c r="AH148" i="10" s="1"/>
  <c r="AM148" i="10"/>
  <c r="AE147" i="10"/>
  <c r="AG147" i="10" s="1"/>
  <c r="AF147" i="10"/>
  <c r="AH147" i="10" s="1"/>
  <c r="AM147" i="10"/>
  <c r="AE146" i="10"/>
  <c r="AG146" i="10" s="1"/>
  <c r="AF146" i="10"/>
  <c r="AH146" i="10" s="1"/>
  <c r="AM146" i="10"/>
  <c r="AE145" i="10"/>
  <c r="AG145" i="10" s="1"/>
  <c r="AF145" i="10"/>
  <c r="AH145" i="10" s="1"/>
  <c r="AM145" i="10"/>
  <c r="AE144" i="10"/>
  <c r="AG144" i="10" s="1"/>
  <c r="AF144" i="10"/>
  <c r="AH144" i="10" s="1"/>
  <c r="AM144" i="10"/>
  <c r="AE143" i="10"/>
  <c r="AG143" i="10" s="1"/>
  <c r="AF143" i="10"/>
  <c r="AH143" i="10" s="1"/>
  <c r="AM143" i="10"/>
  <c r="AE142" i="10"/>
  <c r="AG142" i="10" s="1"/>
  <c r="AF142" i="10"/>
  <c r="AH142" i="10" s="1"/>
  <c r="AM142" i="10"/>
  <c r="AE141" i="10"/>
  <c r="AG141" i="10" s="1"/>
  <c r="AF141" i="10"/>
  <c r="AH141" i="10" s="1"/>
  <c r="AM141" i="10"/>
  <c r="AE140" i="10"/>
  <c r="AG140" i="10" s="1"/>
  <c r="AF140" i="10"/>
  <c r="AH140" i="10" s="1"/>
  <c r="AM140" i="10"/>
  <c r="AE139" i="10"/>
  <c r="AG139" i="10" s="1"/>
  <c r="AF139" i="10"/>
  <c r="AH139" i="10" s="1"/>
  <c r="AM139" i="10"/>
  <c r="AE138" i="10"/>
  <c r="AG138" i="10" s="1"/>
  <c r="AF138" i="10"/>
  <c r="AH138" i="10" s="1"/>
  <c r="AM138" i="10"/>
  <c r="AE137" i="10"/>
  <c r="AG137" i="10" s="1"/>
  <c r="AF137" i="10"/>
  <c r="AH137" i="10" s="1"/>
  <c r="AM137" i="10"/>
  <c r="AE136" i="10"/>
  <c r="AG136" i="10" s="1"/>
  <c r="AF136" i="10"/>
  <c r="AH136" i="10" s="1"/>
  <c r="AM136" i="10"/>
  <c r="AE135" i="10"/>
  <c r="AG135" i="10" s="1"/>
  <c r="AF135" i="10"/>
  <c r="AH135" i="10" s="1"/>
  <c r="AM135" i="10"/>
  <c r="AE134" i="10"/>
  <c r="AG134" i="10" s="1"/>
  <c r="AF134" i="10"/>
  <c r="AH134" i="10" s="1"/>
  <c r="AM134" i="10"/>
  <c r="AE133" i="10"/>
  <c r="AG133" i="10" s="1"/>
  <c r="AF133" i="10"/>
  <c r="AH133" i="10" s="1"/>
  <c r="AM133" i="10"/>
  <c r="AE132" i="10"/>
  <c r="AG132" i="10" s="1"/>
  <c r="AF132" i="10"/>
  <c r="AH132" i="10" s="1"/>
  <c r="AM132" i="10"/>
  <c r="AE131" i="10"/>
  <c r="AG131" i="10" s="1"/>
  <c r="AF131" i="10"/>
  <c r="AH131" i="10" s="1"/>
  <c r="AM131" i="10"/>
  <c r="AE130" i="10"/>
  <c r="AG130" i="10" s="1"/>
  <c r="AF130" i="10"/>
  <c r="AH130" i="10" s="1"/>
  <c r="AM130" i="10"/>
  <c r="AE129" i="10"/>
  <c r="AG129" i="10" s="1"/>
  <c r="AF129" i="10"/>
  <c r="AH129" i="10" s="1"/>
  <c r="AM129" i="10"/>
  <c r="AE128" i="10"/>
  <c r="AG128" i="10" s="1"/>
  <c r="AF128" i="10"/>
  <c r="AH128" i="10" s="1"/>
  <c r="AM128" i="10"/>
  <c r="AE127" i="10"/>
  <c r="AG127" i="10" s="1"/>
  <c r="AF127" i="10"/>
  <c r="AH127" i="10" s="1"/>
  <c r="AM127" i="10"/>
  <c r="AE126" i="10"/>
  <c r="AG126" i="10" s="1"/>
  <c r="AF126" i="10"/>
  <c r="AH126" i="10" s="1"/>
  <c r="AM126" i="10"/>
  <c r="AE125" i="10"/>
  <c r="AG125" i="10" s="1"/>
  <c r="AF125" i="10"/>
  <c r="AH125" i="10" s="1"/>
  <c r="AM125" i="10"/>
  <c r="AE124" i="10"/>
  <c r="AG124" i="10" s="1"/>
  <c r="AF124" i="10"/>
  <c r="AH124" i="10" s="1"/>
  <c r="AM124" i="10"/>
  <c r="AE123" i="10"/>
  <c r="AG123" i="10" s="1"/>
  <c r="AF123" i="10"/>
  <c r="AH123" i="10" s="1"/>
  <c r="AM123" i="10"/>
  <c r="AE122" i="10"/>
  <c r="AG122" i="10" s="1"/>
  <c r="AF122" i="10"/>
  <c r="AH122" i="10" s="1"/>
  <c r="AM122" i="10"/>
  <c r="AE121" i="10"/>
  <c r="AG121" i="10" s="1"/>
  <c r="AF121" i="10"/>
  <c r="AH121" i="10" s="1"/>
  <c r="AM121" i="10"/>
  <c r="AE120" i="10"/>
  <c r="AG120" i="10" s="1"/>
  <c r="AF120" i="10"/>
  <c r="AH120" i="10" s="1"/>
  <c r="AM120" i="10"/>
  <c r="AE119" i="10"/>
  <c r="AG119" i="10" s="1"/>
  <c r="AF119" i="10"/>
  <c r="AH119" i="10" s="1"/>
  <c r="AM119" i="10"/>
  <c r="AE118" i="10"/>
  <c r="AG118" i="10" s="1"/>
  <c r="AF118" i="10"/>
  <c r="AH118" i="10" s="1"/>
  <c r="AM118" i="10"/>
  <c r="AE117" i="10"/>
  <c r="AG117" i="10" s="1"/>
  <c r="AF117" i="10"/>
  <c r="AH117" i="10" s="1"/>
  <c r="AM117" i="10"/>
  <c r="AE116" i="10"/>
  <c r="AG116" i="10" s="1"/>
  <c r="AF116" i="10"/>
  <c r="AH116" i="10" s="1"/>
  <c r="AM116" i="10"/>
  <c r="AE115" i="10"/>
  <c r="AG115" i="10" s="1"/>
  <c r="AF115" i="10"/>
  <c r="AH115" i="10" s="1"/>
  <c r="AM115" i="10"/>
  <c r="AE114" i="10"/>
  <c r="AG114" i="10" s="1"/>
  <c r="AF114" i="10"/>
  <c r="AH114" i="10" s="1"/>
  <c r="AM114" i="10"/>
  <c r="AE113" i="10"/>
  <c r="AG113" i="10" s="1"/>
  <c r="AF113" i="10"/>
  <c r="AH113" i="10" s="1"/>
  <c r="AM113" i="10"/>
  <c r="AE112" i="10"/>
  <c r="AG112" i="10" s="1"/>
  <c r="AF112" i="10"/>
  <c r="AH112" i="10" s="1"/>
  <c r="AM112" i="10"/>
  <c r="AE111" i="10"/>
  <c r="AG111" i="10" s="1"/>
  <c r="AF111" i="10"/>
  <c r="AH111" i="10" s="1"/>
  <c r="AM111" i="10"/>
  <c r="AE110" i="10"/>
  <c r="AG110" i="10" s="1"/>
  <c r="AF110" i="10"/>
  <c r="AH110" i="10" s="1"/>
  <c r="AM110" i="10"/>
  <c r="AE109" i="10"/>
  <c r="AG109" i="10" s="1"/>
  <c r="AF109" i="10"/>
  <c r="AH109" i="10" s="1"/>
  <c r="AM109" i="10"/>
  <c r="AE108" i="10"/>
  <c r="AG108" i="10" s="1"/>
  <c r="AF108" i="10"/>
  <c r="AH108" i="10" s="1"/>
  <c r="AM108" i="10"/>
  <c r="AE107" i="10"/>
  <c r="AG107" i="10" s="1"/>
  <c r="AF107" i="10"/>
  <c r="AH107" i="10" s="1"/>
  <c r="AM107" i="10"/>
  <c r="AE106" i="10"/>
  <c r="AG106" i="10" s="1"/>
  <c r="AF106" i="10"/>
  <c r="AH106" i="10" s="1"/>
  <c r="AM106" i="10"/>
  <c r="AF105" i="10"/>
  <c r="AH105" i="10" s="1"/>
  <c r="AM105" i="10"/>
  <c r="AE105" i="10"/>
  <c r="AG105" i="10" s="1"/>
  <c r="AF104" i="10"/>
  <c r="AH104" i="10" s="1"/>
  <c r="AM104" i="10"/>
  <c r="AE104" i="10"/>
  <c r="AG104" i="10" s="1"/>
  <c r="AF103" i="10"/>
  <c r="AH103" i="10" s="1"/>
  <c r="AM103" i="10"/>
  <c r="AE103" i="10"/>
  <c r="AG103" i="10" s="1"/>
  <c r="AE101" i="10"/>
  <c r="AG101" i="10" s="1"/>
  <c r="AF101" i="10"/>
  <c r="AH101" i="10" s="1"/>
  <c r="AM101" i="10"/>
  <c r="AE100" i="10"/>
  <c r="AG100" i="10" s="1"/>
  <c r="AF100" i="10"/>
  <c r="AH100" i="10" s="1"/>
  <c r="AM100" i="10"/>
  <c r="AE99" i="10"/>
  <c r="AG99" i="10" s="1"/>
  <c r="AF99" i="10"/>
  <c r="AH99" i="10" s="1"/>
  <c r="AM99" i="10"/>
  <c r="AE98" i="10"/>
  <c r="AG98" i="10" s="1"/>
  <c r="AF98" i="10"/>
  <c r="AH98" i="10" s="1"/>
  <c r="AM98" i="10"/>
  <c r="AE97" i="10"/>
  <c r="AG97" i="10" s="1"/>
  <c r="AF97" i="10"/>
  <c r="AH97" i="10" s="1"/>
  <c r="AM97" i="10"/>
  <c r="AE96" i="10"/>
  <c r="AG96" i="10" s="1"/>
  <c r="AF96" i="10"/>
  <c r="AH96" i="10" s="1"/>
  <c r="AM96" i="10"/>
  <c r="AE95" i="10"/>
  <c r="AG95" i="10" s="1"/>
  <c r="AF95" i="10"/>
  <c r="AH95" i="10" s="1"/>
  <c r="AM95" i="10"/>
  <c r="AE94" i="10"/>
  <c r="AG94" i="10" s="1"/>
  <c r="AF94" i="10"/>
  <c r="AH94" i="10" s="1"/>
  <c r="AM94" i="10"/>
  <c r="AE93" i="10"/>
  <c r="AG93" i="10" s="1"/>
  <c r="AF93" i="10"/>
  <c r="AH93" i="10" s="1"/>
  <c r="AM93" i="10"/>
  <c r="AE92" i="10"/>
  <c r="AG92" i="10" s="1"/>
  <c r="AF92" i="10"/>
  <c r="AH92" i="10" s="1"/>
  <c r="AM92" i="10"/>
  <c r="AE91" i="10"/>
  <c r="AG91" i="10" s="1"/>
  <c r="AF91" i="10"/>
  <c r="AH91" i="10" s="1"/>
  <c r="AM91" i="10"/>
  <c r="AE90" i="10"/>
  <c r="AG90" i="10" s="1"/>
  <c r="AF90" i="10"/>
  <c r="AH90" i="10" s="1"/>
  <c r="AM90" i="10"/>
  <c r="AE89" i="10"/>
  <c r="AG89" i="10" s="1"/>
  <c r="AF89" i="10"/>
  <c r="AH89" i="10" s="1"/>
  <c r="AM89" i="10"/>
  <c r="AE88" i="10"/>
  <c r="AG88" i="10" s="1"/>
  <c r="AF88" i="10"/>
  <c r="AH88" i="10" s="1"/>
  <c r="AM88" i="10"/>
  <c r="AE87" i="10"/>
  <c r="AG87" i="10" s="1"/>
  <c r="AF87" i="10"/>
  <c r="AH87" i="10" s="1"/>
  <c r="AM87" i="10"/>
  <c r="AE86" i="10"/>
  <c r="AG86" i="10" s="1"/>
  <c r="AF86" i="10"/>
  <c r="AH86" i="10" s="1"/>
  <c r="AM86" i="10"/>
  <c r="AE85" i="10"/>
  <c r="AG85" i="10" s="1"/>
  <c r="AF85" i="10"/>
  <c r="AH85" i="10" s="1"/>
  <c r="AM85" i="10"/>
  <c r="AE84" i="10"/>
  <c r="AG84" i="10" s="1"/>
  <c r="AF84" i="10"/>
  <c r="AH84" i="10" s="1"/>
  <c r="AM84" i="10"/>
  <c r="AE83" i="10"/>
  <c r="AG83" i="10" s="1"/>
  <c r="AF83" i="10"/>
  <c r="AH83" i="10" s="1"/>
  <c r="AM83" i="10"/>
  <c r="AE82" i="10"/>
  <c r="AG82" i="10" s="1"/>
  <c r="AF82" i="10"/>
  <c r="AH82" i="10" s="1"/>
  <c r="AM82" i="10"/>
  <c r="AE81" i="10"/>
  <c r="AG81" i="10" s="1"/>
  <c r="AF81" i="10"/>
  <c r="AH81" i="10" s="1"/>
  <c r="AM81" i="10"/>
  <c r="AE80" i="10"/>
  <c r="AG80" i="10" s="1"/>
  <c r="AF80" i="10"/>
  <c r="AH80" i="10" s="1"/>
  <c r="AM80" i="10"/>
  <c r="AE79" i="10"/>
  <c r="AG79" i="10" s="1"/>
  <c r="AF79" i="10"/>
  <c r="AH79" i="10" s="1"/>
  <c r="AM79" i="10"/>
  <c r="AE78" i="10"/>
  <c r="AG78" i="10" s="1"/>
  <c r="AF78" i="10"/>
  <c r="AH78" i="10" s="1"/>
  <c r="AM78" i="10"/>
  <c r="AE77" i="10"/>
  <c r="AG77" i="10" s="1"/>
  <c r="AF77" i="10"/>
  <c r="AH77" i="10" s="1"/>
  <c r="AM77" i="10"/>
  <c r="AE76" i="10"/>
  <c r="AG76" i="10" s="1"/>
  <c r="AF76" i="10"/>
  <c r="AH76" i="10" s="1"/>
  <c r="AM76" i="10"/>
  <c r="AE75" i="10"/>
  <c r="AG75" i="10" s="1"/>
  <c r="AF75" i="10"/>
  <c r="AH75" i="10" s="1"/>
  <c r="AM75" i="10"/>
  <c r="AE74" i="10"/>
  <c r="AG74" i="10" s="1"/>
  <c r="AF74" i="10"/>
  <c r="AH74" i="10" s="1"/>
  <c r="AM74" i="10"/>
  <c r="AE73" i="10"/>
  <c r="AG73" i="10" s="1"/>
  <c r="AF73" i="10"/>
  <c r="AH73" i="10" s="1"/>
  <c r="AM73" i="10"/>
  <c r="AE72" i="10"/>
  <c r="AG72" i="10" s="1"/>
  <c r="AF72" i="10"/>
  <c r="AH72" i="10" s="1"/>
  <c r="AM72" i="10"/>
  <c r="AM71" i="10"/>
  <c r="AF71" i="10"/>
  <c r="AH71" i="10" s="1"/>
  <c r="AE71" i="10"/>
  <c r="AG71" i="10" s="1"/>
  <c r="AF70" i="10"/>
  <c r="AH70" i="10" s="1"/>
  <c r="AM70" i="10"/>
  <c r="AE70" i="10"/>
  <c r="AG70" i="10" s="1"/>
  <c r="AE69" i="10"/>
  <c r="AG69" i="10" s="1"/>
  <c r="AF69" i="10"/>
  <c r="AH69" i="10" s="1"/>
  <c r="AM69" i="10"/>
  <c r="AF68" i="10"/>
  <c r="AH68" i="10" s="1"/>
  <c r="AM68" i="10"/>
  <c r="AE68" i="10"/>
  <c r="AG68" i="10" s="1"/>
  <c r="AE67" i="10"/>
  <c r="AG67" i="10" s="1"/>
  <c r="AF67" i="10"/>
  <c r="AH67" i="10" s="1"/>
  <c r="AM67" i="10"/>
  <c r="AE66" i="10"/>
  <c r="AG66" i="10" s="1"/>
  <c r="AM66" i="10"/>
  <c r="AF66" i="10"/>
  <c r="AH66" i="10" s="1"/>
  <c r="AF65" i="10"/>
  <c r="AH65" i="10" s="1"/>
  <c r="AE65" i="10"/>
  <c r="AG65" i="10" s="1"/>
  <c r="AM65" i="10"/>
  <c r="AF64" i="10"/>
  <c r="AH64" i="10" s="1"/>
  <c r="AM64" i="10"/>
  <c r="AE64" i="10"/>
  <c r="AG64" i="10" s="1"/>
  <c r="AM63" i="10"/>
  <c r="AE63" i="10"/>
  <c r="AG63" i="10" s="1"/>
  <c r="AF63" i="10"/>
  <c r="AH63" i="10" s="1"/>
  <c r="AF62" i="10"/>
  <c r="AH62" i="10" s="1"/>
  <c r="AE62" i="10"/>
  <c r="AG62" i="10" s="1"/>
  <c r="AM62" i="10"/>
  <c r="AE61" i="10"/>
  <c r="AG61" i="10" s="1"/>
  <c r="AM61" i="10"/>
  <c r="AF61" i="10"/>
  <c r="AH61" i="10" s="1"/>
  <c r="AM60" i="10"/>
  <c r="AE60" i="10"/>
  <c r="AG60" i="10" s="1"/>
  <c r="AF60" i="10"/>
  <c r="AH60" i="10" s="1"/>
  <c r="AE59" i="10"/>
  <c r="AG59" i="10" s="1"/>
  <c r="AF59" i="10"/>
  <c r="AH59" i="10" s="1"/>
  <c r="AM59" i="10"/>
  <c r="AM58" i="10"/>
  <c r="AE58" i="10"/>
  <c r="AG58" i="10" s="1"/>
  <c r="AF58" i="10"/>
  <c r="AH58" i="10" s="1"/>
  <c r="AM57" i="10"/>
  <c r="AF57" i="10"/>
  <c r="AH57" i="10" s="1"/>
  <c r="AE57" i="10"/>
  <c r="AG57" i="10" s="1"/>
  <c r="AF55" i="10"/>
  <c r="AH55" i="10" s="1"/>
  <c r="AE55" i="10"/>
  <c r="AG55" i="10" s="1"/>
  <c r="AM55" i="10"/>
  <c r="AE54" i="10"/>
  <c r="AG54" i="10" s="1"/>
  <c r="AF54" i="10"/>
  <c r="AH54" i="10" s="1"/>
  <c r="AM54" i="10"/>
  <c r="AF53" i="10"/>
  <c r="AH53" i="10" s="1"/>
  <c r="AE53" i="10"/>
  <c r="AG53" i="10" s="1"/>
  <c r="AM53" i="10"/>
  <c r="AM52" i="10"/>
  <c r="AF52" i="10"/>
  <c r="AH52" i="10" s="1"/>
  <c r="AE52" i="10"/>
  <c r="AG52" i="10" s="1"/>
  <c r="AM51" i="10"/>
  <c r="AF51" i="10"/>
  <c r="AH51" i="10" s="1"/>
  <c r="AE51" i="10"/>
  <c r="AG51" i="10" s="1"/>
  <c r="AF50" i="10"/>
  <c r="AH50" i="10" s="1"/>
  <c r="AE50" i="10"/>
  <c r="AG50" i="10" s="1"/>
  <c r="AM50" i="10"/>
  <c r="AM49" i="10"/>
  <c r="AE49" i="10"/>
  <c r="AG49" i="10" s="1"/>
  <c r="AF49" i="10"/>
  <c r="AH49" i="10" s="1"/>
  <c r="AE48" i="10"/>
  <c r="AG48" i="10" s="1"/>
  <c r="AM48" i="10"/>
  <c r="AF48" i="10"/>
  <c r="AH48" i="10" s="1"/>
  <c r="AM47" i="10"/>
  <c r="AF47" i="10"/>
  <c r="AH47" i="10" s="1"/>
  <c r="AE47" i="10"/>
  <c r="AG47" i="10" s="1"/>
  <c r="AM46" i="10"/>
  <c r="AE46" i="10"/>
  <c r="AG46" i="10" s="1"/>
  <c r="AF46" i="10"/>
  <c r="AH46" i="10" s="1"/>
  <c r="AF45" i="10"/>
  <c r="AH45" i="10" s="1"/>
  <c r="AM45" i="10"/>
  <c r="AE45" i="10"/>
  <c r="AG45" i="10" s="1"/>
  <c r="AE44" i="10"/>
  <c r="AG44" i="10" s="1"/>
  <c r="AF44" i="10"/>
  <c r="AH44" i="10" s="1"/>
  <c r="AM44" i="10"/>
  <c r="AM43" i="10"/>
  <c r="AF43" i="10"/>
  <c r="AH43" i="10" s="1"/>
  <c r="AE43" i="10"/>
  <c r="AG43" i="10" s="1"/>
  <c r="AF42" i="10"/>
  <c r="AH42" i="10" s="1"/>
  <c r="AM42" i="10"/>
  <c r="AE42" i="10"/>
  <c r="AG42" i="10" s="1"/>
  <c r="AM41" i="10"/>
  <c r="AF41" i="10"/>
  <c r="AH41" i="10" s="1"/>
  <c r="AE41" i="10"/>
  <c r="AG41" i="10" s="1"/>
  <c r="AM40" i="10"/>
  <c r="AE40" i="10"/>
  <c r="AG40" i="10" s="1"/>
  <c r="AF40" i="10"/>
  <c r="AH40" i="10" s="1"/>
  <c r="AM39" i="10"/>
  <c r="AE39" i="10"/>
  <c r="AG39" i="10" s="1"/>
  <c r="AF39" i="10"/>
  <c r="AH39" i="10" s="1"/>
  <c r="AJ38" i="10"/>
  <c r="AJ361" i="10"/>
  <c r="AJ1148" i="10"/>
  <c r="AJ1149" i="10"/>
  <c r="AJ1152" i="10"/>
  <c r="AJ1172" i="10"/>
  <c r="AJ1176" i="10"/>
  <c r="AJ1185" i="10"/>
  <c r="AJ1201" i="10"/>
  <c r="AJ5" i="10"/>
  <c r="AJ10" i="10"/>
  <c r="AJ14" i="10"/>
  <c r="AJ23" i="10"/>
  <c r="AJ26" i="10"/>
  <c r="AJ1150" i="10"/>
  <c r="AJ1171" i="10"/>
  <c r="AJ1181" i="10"/>
  <c r="AJ1189" i="10"/>
  <c r="AJ1190" i="10"/>
  <c r="AJ1195" i="10"/>
  <c r="AJ1198" i="10"/>
  <c r="AJ13" i="10"/>
  <c r="AJ21" i="10"/>
  <c r="AJ30" i="10"/>
  <c r="AJ40" i="10"/>
  <c r="AJ54" i="10"/>
  <c r="AJ66" i="10"/>
  <c r="AJ79" i="10"/>
  <c r="AJ83" i="10"/>
  <c r="AJ87" i="10"/>
  <c r="AJ93" i="10"/>
  <c r="AJ96" i="10"/>
  <c r="AJ102" i="10"/>
  <c r="AJ103" i="10"/>
  <c r="AJ104" i="10"/>
  <c r="AJ105" i="10"/>
  <c r="AJ106" i="10"/>
  <c r="AJ107" i="10"/>
  <c r="AJ108" i="10"/>
  <c r="AJ109" i="10"/>
  <c r="AJ110" i="10"/>
  <c r="AJ111" i="10"/>
  <c r="AJ112" i="10"/>
  <c r="AJ113" i="10"/>
  <c r="AJ114" i="10"/>
  <c r="AJ115" i="10"/>
  <c r="AJ116" i="10"/>
  <c r="AJ117" i="10"/>
  <c r="AJ118" i="10"/>
  <c r="AJ119" i="10"/>
  <c r="AJ120" i="10"/>
  <c r="AJ121" i="10"/>
  <c r="AJ122" i="10"/>
  <c r="AJ123" i="10"/>
  <c r="AJ124" i="10"/>
  <c r="AJ125" i="10"/>
  <c r="AJ126" i="10"/>
  <c r="AJ127" i="10"/>
  <c r="AJ128" i="10"/>
  <c r="AJ129" i="10"/>
  <c r="AJ130" i="10"/>
  <c r="AJ131" i="10"/>
  <c r="AJ132" i="10"/>
  <c r="AJ133" i="10"/>
  <c r="AJ134" i="10"/>
  <c r="AJ135" i="10"/>
  <c r="AJ136" i="10"/>
  <c r="AJ137" i="10"/>
  <c r="AJ138" i="10"/>
  <c r="AJ139" i="10"/>
  <c r="AJ140" i="10"/>
  <c r="AJ141" i="10"/>
  <c r="AJ142" i="10"/>
  <c r="AJ143" i="10"/>
  <c r="AJ144" i="10"/>
  <c r="AJ145" i="10"/>
  <c r="AJ146" i="10"/>
  <c r="AJ147" i="10"/>
  <c r="AJ148" i="10"/>
  <c r="AJ149" i="10"/>
  <c r="AJ150" i="10"/>
  <c r="AJ151" i="10"/>
  <c r="AJ152" i="10"/>
  <c r="AJ153" i="10"/>
  <c r="AJ154" i="10"/>
  <c r="AJ155" i="10"/>
  <c r="AJ156" i="10"/>
  <c r="AJ157" i="10"/>
  <c r="AJ158" i="10"/>
  <c r="AJ159" i="10"/>
  <c r="AJ160" i="10"/>
  <c r="AJ161" i="10"/>
  <c r="AJ162" i="10"/>
  <c r="AJ163" i="10"/>
  <c r="AJ164" i="10"/>
  <c r="AJ165" i="10"/>
  <c r="AJ166" i="10"/>
  <c r="AJ167" i="10"/>
  <c r="AJ168" i="10"/>
  <c r="AJ169" i="10"/>
  <c r="AJ170" i="10"/>
  <c r="AJ171" i="10"/>
  <c r="AJ172" i="10"/>
  <c r="AJ173" i="10"/>
  <c r="AJ174" i="10"/>
  <c r="AJ175" i="10"/>
  <c r="AJ176" i="10"/>
  <c r="AJ177" i="10"/>
  <c r="AJ178" i="10"/>
  <c r="AJ179" i="10"/>
  <c r="AJ180" i="10"/>
  <c r="AJ181" i="10"/>
  <c r="AJ182" i="10"/>
  <c r="AJ183" i="10"/>
  <c r="AJ184" i="10"/>
  <c r="AJ185" i="10"/>
  <c r="AJ186" i="10"/>
  <c r="AJ187" i="10"/>
  <c r="AJ188" i="10"/>
  <c r="AJ189" i="10"/>
  <c r="AJ190" i="10"/>
  <c r="AJ191" i="10"/>
  <c r="AJ192" i="10"/>
  <c r="AJ193" i="10"/>
  <c r="AJ194" i="10"/>
  <c r="AJ195" i="10"/>
  <c r="AJ196" i="10"/>
  <c r="AJ197" i="10"/>
  <c r="AJ198" i="10"/>
  <c r="AJ1173" i="10"/>
  <c r="AJ27" i="10"/>
  <c r="AJ32" i="10"/>
  <c r="AJ46" i="10"/>
  <c r="AJ60" i="10"/>
  <c r="AJ61" i="10"/>
  <c r="AJ63" i="10"/>
  <c r="AJ67" i="10"/>
  <c r="AJ75" i="10"/>
  <c r="AJ201" i="10"/>
  <c r="AJ202" i="10"/>
  <c r="AJ205" i="10"/>
  <c r="AJ206" i="10"/>
  <c r="AJ207" i="10"/>
  <c r="AJ211" i="10"/>
  <c r="AJ225" i="10"/>
  <c r="AJ229" i="10"/>
  <c r="AJ238" i="10"/>
  <c r="AJ239" i="10"/>
  <c r="AJ240" i="10"/>
  <c r="AJ241" i="10"/>
  <c r="AJ242" i="10"/>
  <c r="AJ243" i="10"/>
  <c r="AJ244" i="10"/>
  <c r="AJ245" i="10"/>
  <c r="AJ246" i="10"/>
  <c r="AJ247" i="10"/>
  <c r="AJ248" i="10"/>
  <c r="AJ249" i="10"/>
  <c r="AJ250" i="10"/>
  <c r="AJ251" i="10"/>
  <c r="AJ252" i="10"/>
  <c r="AJ253" i="10"/>
  <c r="AJ254" i="10"/>
  <c r="AJ255" i="10"/>
  <c r="AJ256" i="10"/>
  <c r="AJ257" i="10"/>
  <c r="AJ258" i="10"/>
  <c r="AJ259" i="10"/>
  <c r="AJ260" i="10"/>
  <c r="AJ261" i="10"/>
  <c r="AJ262" i="10"/>
  <c r="AJ263" i="10"/>
  <c r="AJ264" i="10"/>
  <c r="AJ265" i="10"/>
  <c r="AJ266" i="10"/>
  <c r="AJ267" i="10"/>
  <c r="AJ268" i="10"/>
  <c r="AJ269" i="10"/>
  <c r="AJ270" i="10"/>
  <c r="AJ271" i="10"/>
  <c r="AJ272" i="10"/>
  <c r="AJ273" i="10"/>
  <c r="AJ274" i="10"/>
  <c r="AJ275" i="10"/>
  <c r="AJ276" i="10"/>
  <c r="AJ277" i="10"/>
  <c r="AJ278" i="10"/>
  <c r="AJ279" i="10"/>
  <c r="AJ280" i="10"/>
  <c r="AJ281" i="10"/>
  <c r="AJ282" i="10"/>
  <c r="AJ283" i="10"/>
  <c r="AJ284" i="10"/>
  <c r="AJ285" i="10"/>
  <c r="AJ286" i="10"/>
  <c r="AJ287" i="10"/>
  <c r="AJ288" i="10"/>
  <c r="AJ289" i="10"/>
  <c r="AJ290" i="10"/>
  <c r="AJ291" i="10"/>
  <c r="AJ292" i="10"/>
  <c r="AJ293" i="10"/>
  <c r="AJ294" i="10"/>
  <c r="AJ295" i="10"/>
  <c r="AJ297" i="10"/>
  <c r="AJ298" i="10"/>
  <c r="AJ299" i="10"/>
  <c r="AJ300" i="10"/>
  <c r="AJ301" i="10"/>
  <c r="AJ302" i="10"/>
  <c r="AJ303" i="10"/>
  <c r="AJ304" i="10"/>
  <c r="AJ305" i="10"/>
  <c r="AJ306" i="10"/>
  <c r="AJ307" i="10"/>
  <c r="AJ308" i="10"/>
  <c r="AJ309" i="10"/>
  <c r="AJ1155" i="10"/>
  <c r="AJ1156" i="10"/>
  <c r="AJ1164" i="10"/>
  <c r="AJ1177" i="10"/>
  <c r="AJ1183" i="10"/>
  <c r="AJ1184" i="10"/>
  <c r="AJ1196" i="10"/>
  <c r="AJ28" i="10"/>
  <c r="AJ29" i="10"/>
  <c r="AJ41" i="10"/>
  <c r="AJ44" i="10"/>
  <c r="AJ47" i="10"/>
  <c r="AJ53" i="10"/>
  <c r="AJ56" i="10"/>
  <c r="AJ59" i="10"/>
  <c r="AJ69" i="10"/>
  <c r="AJ78" i="10"/>
  <c r="AJ86" i="10"/>
  <c r="AJ95" i="10"/>
  <c r="AJ223" i="10"/>
  <c r="AJ226" i="10"/>
  <c r="AJ232" i="10"/>
  <c r="AJ235" i="10"/>
  <c r="AJ313" i="10"/>
  <c r="AJ314" i="10"/>
  <c r="AJ318" i="10"/>
  <c r="AJ319" i="10"/>
  <c r="AJ332" i="10"/>
  <c r="AJ336" i="10"/>
  <c r="AJ343" i="10"/>
  <c r="AJ345" i="10"/>
  <c r="AJ347" i="10"/>
  <c r="AJ350" i="10"/>
  <c r="AJ351" i="10"/>
  <c r="AJ352" i="10"/>
  <c r="AJ357" i="10"/>
  <c r="AJ358" i="10"/>
  <c r="AJ363" i="10"/>
  <c r="AJ364" i="10"/>
  <c r="AJ367" i="10"/>
  <c r="AJ371" i="10"/>
  <c r="AJ373" i="10"/>
  <c r="AJ375" i="10"/>
  <c r="AJ378" i="10"/>
  <c r="AJ381" i="10"/>
  <c r="AJ384" i="10"/>
  <c r="AJ385" i="10"/>
  <c r="AJ386" i="10"/>
  <c r="AJ387" i="10"/>
  <c r="AJ390" i="10"/>
  <c r="AJ391" i="10"/>
  <c r="AJ392" i="10"/>
  <c r="AJ393" i="10"/>
  <c r="AJ394" i="10"/>
  <c r="AJ395" i="10"/>
  <c r="AJ396" i="10"/>
  <c r="AJ397" i="10"/>
  <c r="AJ398" i="10"/>
  <c r="AJ399" i="10"/>
  <c r="AJ400" i="10"/>
  <c r="AJ401" i="10"/>
  <c r="AJ402" i="10"/>
  <c r="AJ403" i="10"/>
  <c r="AJ404" i="10"/>
  <c r="AJ405" i="10"/>
  <c r="AJ406" i="10"/>
  <c r="AJ407" i="10"/>
  <c r="AJ408" i="10"/>
  <c r="AJ409" i="10"/>
  <c r="AJ410" i="10"/>
  <c r="AJ411" i="10"/>
  <c r="AJ412" i="10"/>
  <c r="AJ413" i="10"/>
  <c r="AJ414" i="10"/>
  <c r="AJ415" i="10"/>
  <c r="AJ416" i="10"/>
  <c r="AJ417" i="10"/>
  <c r="AJ418" i="10"/>
  <c r="AJ419" i="10"/>
  <c r="AJ420" i="10"/>
  <c r="AJ421" i="10"/>
  <c r="AJ422" i="10"/>
  <c r="AJ423" i="10"/>
  <c r="AJ424" i="10"/>
  <c r="AJ426" i="10"/>
  <c r="AJ427" i="10"/>
  <c r="AJ428" i="10"/>
  <c r="AJ429" i="10"/>
  <c r="AJ430" i="10"/>
  <c r="AJ431" i="10"/>
  <c r="AJ432" i="10"/>
  <c r="AJ433" i="10"/>
  <c r="AJ434" i="10"/>
  <c r="AJ435" i="10"/>
  <c r="AJ436" i="10"/>
  <c r="AJ437" i="10"/>
  <c r="AJ438" i="10"/>
  <c r="AJ439" i="10"/>
  <c r="AJ440" i="10"/>
  <c r="AJ441" i="10"/>
  <c r="AJ442" i="10"/>
  <c r="AJ443" i="10"/>
  <c r="AJ444" i="10"/>
  <c r="AJ445" i="10"/>
  <c r="AJ446" i="10"/>
  <c r="AJ447" i="10"/>
  <c r="AJ448" i="10"/>
  <c r="AJ449" i="10"/>
  <c r="AJ450" i="10"/>
  <c r="AJ451" i="10"/>
  <c r="AJ452" i="10"/>
  <c r="AJ453" i="10"/>
  <c r="AJ454" i="10"/>
  <c r="AJ455" i="10"/>
  <c r="AJ456" i="10"/>
  <c r="AJ457" i="10"/>
  <c r="AJ458" i="10"/>
  <c r="AJ459" i="10"/>
  <c r="AJ460" i="10"/>
  <c r="AJ461" i="10"/>
  <c r="AJ462" i="10"/>
  <c r="AJ463" i="10"/>
  <c r="AJ464" i="10"/>
  <c r="AJ465" i="10"/>
  <c r="AJ466" i="10"/>
  <c r="AJ467" i="10"/>
  <c r="AJ468" i="10"/>
  <c r="AJ469" i="10"/>
  <c r="AJ470" i="10"/>
  <c r="AJ471" i="10"/>
  <c r="AJ472" i="10"/>
  <c r="AJ473" i="10"/>
  <c r="AJ474" i="10"/>
  <c r="AJ475" i="10"/>
  <c r="AJ476" i="10"/>
  <c r="AJ1151" i="10"/>
  <c r="AJ1166" i="10"/>
  <c r="AJ1174" i="10"/>
  <c r="AJ1182" i="10"/>
  <c r="AJ1192" i="10"/>
  <c r="AJ6" i="10"/>
  <c r="AJ24" i="10"/>
  <c r="AJ31" i="10"/>
  <c r="AJ33" i="10"/>
  <c r="AJ42" i="10"/>
  <c r="AJ45" i="10"/>
  <c r="AJ49" i="10"/>
  <c r="AJ52" i="10"/>
  <c r="AJ90" i="10"/>
  <c r="AJ98" i="10"/>
  <c r="AJ99" i="10"/>
  <c r="AJ214" i="10"/>
  <c r="AJ315" i="10"/>
  <c r="AJ321" i="10"/>
  <c r="AJ329" i="10"/>
  <c r="AJ362" i="10"/>
  <c r="AJ365" i="10"/>
  <c r="AJ366" i="10"/>
  <c r="AJ376" i="10"/>
  <c r="AJ377" i="10"/>
  <c r="AJ379" i="10"/>
  <c r="AJ380" i="10"/>
  <c r="AJ383" i="10"/>
  <c r="AJ388" i="10"/>
  <c r="AJ389" i="10"/>
  <c r="AJ477" i="10"/>
  <c r="AJ479" i="10"/>
  <c r="AJ481" i="10"/>
  <c r="AJ484" i="10"/>
  <c r="AJ485" i="10"/>
  <c r="AJ486" i="10"/>
  <c r="AJ488" i="10"/>
  <c r="AJ489" i="10"/>
  <c r="AJ494" i="10"/>
  <c r="AJ496" i="10"/>
  <c r="AJ497" i="10"/>
  <c r="AJ498" i="10"/>
  <c r="AJ501" i="10"/>
  <c r="AJ502" i="10"/>
  <c r="AJ504" i="10"/>
  <c r="AJ505" i="10"/>
  <c r="AJ507" i="10"/>
  <c r="AJ508" i="10"/>
  <c r="AJ510" i="10"/>
  <c r="AJ512" i="10"/>
  <c r="AJ516" i="10"/>
  <c r="AJ517" i="10"/>
  <c r="AJ520" i="10"/>
  <c r="AJ521" i="10"/>
  <c r="AJ522" i="10"/>
  <c r="AJ525" i="10"/>
  <c r="AJ534" i="10"/>
  <c r="AJ541" i="10"/>
  <c r="AJ542" i="10"/>
  <c r="AJ544" i="10"/>
  <c r="AJ547" i="10"/>
  <c r="AJ549" i="10"/>
  <c r="AJ551" i="10"/>
  <c r="AJ553" i="10"/>
  <c r="AJ556" i="10"/>
  <c r="AJ559" i="10"/>
  <c r="AJ560" i="10"/>
  <c r="AJ561" i="10"/>
  <c r="AJ562" i="10"/>
  <c r="AJ563" i="10"/>
  <c r="AJ564" i="10"/>
  <c r="AJ565" i="10"/>
  <c r="AJ566" i="10"/>
  <c r="AJ567" i="10"/>
  <c r="AJ568" i="10"/>
  <c r="AJ569" i="10"/>
  <c r="AJ570" i="10"/>
  <c r="AJ571" i="10"/>
  <c r="AJ572" i="10"/>
  <c r="AJ573" i="10"/>
  <c r="AJ574" i="10"/>
  <c r="AJ575" i="10"/>
  <c r="AJ576" i="10"/>
  <c r="AJ577" i="10"/>
  <c r="AJ578" i="10"/>
  <c r="AJ579" i="10"/>
  <c r="AJ580" i="10"/>
  <c r="AJ581" i="10"/>
  <c r="AJ582" i="10"/>
  <c r="AJ583" i="10"/>
  <c r="AJ584" i="10"/>
  <c r="AJ585" i="10"/>
  <c r="AJ586" i="10"/>
  <c r="AJ587" i="10"/>
  <c r="AJ588" i="10"/>
  <c r="AJ1146" i="10"/>
  <c r="AJ1158" i="10"/>
  <c r="AJ1167" i="10"/>
  <c r="AJ1168" i="10"/>
  <c r="AJ1199" i="10"/>
  <c r="AJ35" i="10"/>
  <c r="AJ71" i="10"/>
  <c r="AJ80" i="10"/>
  <c r="AJ209" i="10"/>
  <c r="AJ324" i="10"/>
  <c r="AJ337" i="10"/>
  <c r="AJ340" i="10"/>
  <c r="AJ342" i="10"/>
  <c r="AJ344" i="10"/>
  <c r="AJ346" i="10"/>
  <c r="AJ348" i="10"/>
  <c r="AJ349" i="10"/>
  <c r="AJ353" i="10"/>
  <c r="AJ354" i="10"/>
  <c r="AJ355" i="10"/>
  <c r="AJ356" i="10"/>
  <c r="AJ359" i="10"/>
  <c r="AJ360" i="10"/>
  <c r="AJ368" i="10"/>
  <c r="AJ369" i="10"/>
  <c r="AJ370" i="10"/>
  <c r="AJ372" i="10"/>
  <c r="AJ374" i="10"/>
  <c r="AJ382" i="10"/>
  <c r="AJ478" i="10"/>
  <c r="AJ480" i="10"/>
  <c r="AJ482" i="10"/>
  <c r="AJ483" i="10"/>
  <c r="AJ487" i="10"/>
  <c r="AJ491" i="10"/>
  <c r="AJ492" i="10"/>
  <c r="AJ493" i="10"/>
  <c r="AJ495" i="10"/>
  <c r="AJ499" i="10"/>
  <c r="AJ500" i="10"/>
  <c r="AJ503" i="10"/>
  <c r="AJ506" i="10"/>
  <c r="AJ509" i="10"/>
  <c r="AJ511" i="10"/>
  <c r="AJ513" i="10"/>
  <c r="AJ514" i="10"/>
  <c r="AJ515" i="10"/>
  <c r="AJ518" i="10"/>
  <c r="AJ519" i="10"/>
  <c r="AJ523" i="10"/>
  <c r="AJ524" i="10"/>
  <c r="AJ526" i="10"/>
  <c r="AJ527" i="10"/>
  <c r="AJ528" i="10"/>
  <c r="AJ529" i="10"/>
  <c r="AJ530" i="10"/>
  <c r="AJ531" i="10"/>
  <c r="AJ532" i="10"/>
  <c r="AJ533" i="10"/>
  <c r="AJ535" i="10"/>
  <c r="AJ536" i="10"/>
  <c r="AJ537" i="10"/>
  <c r="AJ538" i="10"/>
  <c r="AJ539" i="10"/>
  <c r="AJ540" i="10"/>
  <c r="AJ543" i="10"/>
  <c r="AJ545" i="10"/>
  <c r="AJ546" i="10"/>
  <c r="AJ548" i="10"/>
  <c r="AJ550" i="10"/>
  <c r="AJ552" i="10"/>
  <c r="AJ554" i="10"/>
  <c r="AJ555" i="10"/>
  <c r="AJ557" i="10"/>
  <c r="AJ558" i="10"/>
  <c r="AJ589" i="10"/>
  <c r="AJ590" i="10"/>
  <c r="AJ591" i="10"/>
  <c r="AJ592" i="10"/>
  <c r="AJ593" i="10"/>
  <c r="AJ594" i="10"/>
  <c r="AJ595" i="10"/>
  <c r="AJ596" i="10"/>
  <c r="AJ597" i="10"/>
  <c r="AJ598" i="10"/>
  <c r="AJ599" i="10"/>
  <c r="AJ600" i="10"/>
  <c r="AJ601" i="10"/>
  <c r="AJ602" i="10"/>
  <c r="AJ603" i="10"/>
  <c r="AJ604" i="10"/>
  <c r="AJ605" i="10"/>
  <c r="AJ606" i="10"/>
  <c r="AJ607" i="10"/>
  <c r="AJ608" i="10"/>
  <c r="AJ609" i="10"/>
  <c r="AJ610" i="10"/>
  <c r="AJ611" i="10"/>
  <c r="AJ612" i="10"/>
  <c r="AJ613" i="10"/>
  <c r="AJ614" i="10"/>
  <c r="AJ615" i="10"/>
  <c r="AJ616" i="10"/>
  <c r="AJ617" i="10"/>
  <c r="AJ618" i="10"/>
  <c r="AJ620" i="10"/>
  <c r="AJ621" i="10"/>
  <c r="AJ622" i="10"/>
  <c r="AJ623" i="10"/>
  <c r="AJ624" i="10"/>
  <c r="AJ625" i="10"/>
  <c r="AJ626" i="10"/>
  <c r="AJ627" i="10"/>
  <c r="AJ628" i="10"/>
  <c r="AJ629" i="10"/>
  <c r="AJ630" i="10"/>
  <c r="AJ631" i="10"/>
  <c r="AJ632" i="10"/>
  <c r="AJ633" i="10"/>
  <c r="AJ634" i="10"/>
  <c r="AJ635" i="10"/>
  <c r="AJ636" i="10"/>
  <c r="AJ637" i="10"/>
  <c r="AJ638" i="10"/>
  <c r="AJ639" i="10"/>
  <c r="AJ640" i="10"/>
  <c r="AJ641" i="10"/>
  <c r="AJ642" i="10"/>
  <c r="AJ643" i="10"/>
  <c r="AJ644" i="10"/>
  <c r="AJ1165" i="10"/>
  <c r="AJ1180" i="10"/>
  <c r="AJ2" i="10"/>
  <c r="AJ7" i="10"/>
  <c r="AJ15" i="10"/>
  <c r="AJ19" i="10"/>
  <c r="AJ97" i="10"/>
  <c r="AJ100" i="10"/>
  <c r="AJ217" i="10"/>
  <c r="AJ218" i="10"/>
  <c r="AJ224" i="10"/>
  <c r="AJ230" i="10"/>
  <c r="AJ237" i="10"/>
  <c r="AJ317" i="10"/>
  <c r="AJ320" i="10"/>
  <c r="AJ647" i="10"/>
  <c r="AJ649" i="10"/>
  <c r="AJ650" i="10"/>
  <c r="AJ653" i="10"/>
  <c r="AJ655" i="10"/>
  <c r="AJ659" i="10"/>
  <c r="AJ660" i="10"/>
  <c r="AJ661" i="10"/>
  <c r="AJ662" i="10"/>
  <c r="AJ663" i="10"/>
  <c r="AJ664" i="10"/>
  <c r="AJ665" i="10"/>
  <c r="AJ666" i="10"/>
  <c r="AJ667" i="10"/>
  <c r="AJ668" i="10"/>
  <c r="AJ669" i="10"/>
  <c r="AJ670" i="10"/>
  <c r="AJ671" i="10"/>
  <c r="AJ672" i="10"/>
  <c r="AJ673" i="10"/>
  <c r="AJ674" i="10"/>
  <c r="AJ675" i="10"/>
  <c r="AJ676" i="10"/>
  <c r="AJ677" i="10"/>
  <c r="AJ678" i="10"/>
  <c r="AJ679" i="10"/>
  <c r="AJ680" i="10"/>
  <c r="AJ681" i="10"/>
  <c r="AJ682" i="10"/>
  <c r="AJ683" i="10"/>
  <c r="AJ685" i="10"/>
  <c r="AJ686" i="10"/>
  <c r="AJ687" i="10"/>
  <c r="AJ688" i="10"/>
  <c r="AJ689" i="10"/>
  <c r="AJ690" i="10"/>
  <c r="AJ691" i="10"/>
  <c r="AJ692" i="10"/>
  <c r="AJ693" i="10"/>
  <c r="AJ694" i="10"/>
  <c r="AJ695" i="10"/>
  <c r="AJ696" i="10"/>
  <c r="AJ697" i="10"/>
  <c r="AJ698" i="10"/>
  <c r="AJ699" i="10"/>
  <c r="AJ700" i="10"/>
  <c r="AJ701" i="10"/>
  <c r="AJ702" i="10"/>
  <c r="AJ703" i="10"/>
  <c r="AJ704" i="10"/>
  <c r="AJ705" i="10"/>
  <c r="AJ706" i="10"/>
  <c r="AJ707" i="10"/>
  <c r="AJ708" i="10"/>
  <c r="AJ709" i="10"/>
  <c r="AJ710" i="10"/>
  <c r="AJ711" i="10"/>
  <c r="AJ712" i="10"/>
  <c r="AJ713" i="10"/>
  <c r="AJ714" i="10"/>
  <c r="AJ715" i="10"/>
  <c r="AJ716" i="10"/>
  <c r="AJ717" i="10"/>
  <c r="AJ718" i="10"/>
  <c r="AJ719" i="10"/>
  <c r="AJ720" i="10"/>
  <c r="AJ721" i="10"/>
  <c r="AJ722" i="10"/>
  <c r="AJ723" i="10"/>
  <c r="AJ724" i="10"/>
  <c r="AJ725" i="10"/>
  <c r="AJ726" i="10"/>
  <c r="AJ727" i="10"/>
  <c r="AJ728" i="10"/>
  <c r="AJ729" i="10"/>
  <c r="AJ730" i="10"/>
  <c r="AJ731" i="10"/>
  <c r="AJ732" i="10"/>
  <c r="AJ733" i="10"/>
  <c r="AJ734" i="10"/>
  <c r="AJ735" i="10"/>
  <c r="AJ736" i="10"/>
  <c r="AJ737" i="10"/>
  <c r="AJ738" i="10"/>
  <c r="AJ739" i="10"/>
  <c r="AJ740" i="10"/>
  <c r="AJ741" i="10"/>
  <c r="AJ742" i="10"/>
  <c r="AJ743" i="10"/>
  <c r="AJ744" i="10"/>
  <c r="AJ745" i="10"/>
  <c r="AJ746" i="10"/>
  <c r="AJ747" i="10"/>
  <c r="AJ748" i="10"/>
  <c r="AJ749" i="10"/>
  <c r="AJ750" i="10"/>
  <c r="AJ751" i="10"/>
  <c r="AJ752" i="10"/>
  <c r="AJ753" i="10"/>
  <c r="AJ754" i="10"/>
  <c r="AJ755" i="10"/>
  <c r="AJ756" i="10"/>
  <c r="AJ757" i="10"/>
  <c r="AJ758" i="10"/>
  <c r="AJ759" i="10"/>
  <c r="AJ760" i="10"/>
  <c r="AJ761" i="10"/>
  <c r="AJ762" i="10"/>
  <c r="AJ763" i="10"/>
  <c r="AJ764" i="10"/>
  <c r="AJ765" i="10"/>
  <c r="AJ766" i="10"/>
  <c r="AJ767" i="10"/>
  <c r="AJ768" i="10"/>
  <c r="AJ769" i="10"/>
  <c r="AJ770" i="10"/>
  <c r="AJ771" i="10"/>
  <c r="AJ772" i="10"/>
  <c r="AJ773" i="10"/>
  <c r="AJ774" i="10"/>
  <c r="AJ775" i="10"/>
  <c r="AJ776" i="10"/>
  <c r="AJ777" i="10"/>
  <c r="AJ778" i="10"/>
  <c r="AJ779" i="10"/>
  <c r="AJ780" i="10"/>
  <c r="AJ781" i="10"/>
  <c r="AJ782" i="10"/>
  <c r="AJ783" i="10"/>
  <c r="AJ784" i="10"/>
  <c r="AJ785" i="10"/>
  <c r="AJ786" i="10"/>
  <c r="AJ787" i="10"/>
  <c r="AJ788" i="10"/>
  <c r="AJ789" i="10"/>
  <c r="AJ790" i="10"/>
  <c r="AJ791" i="10"/>
  <c r="AJ792" i="10"/>
  <c r="AJ793" i="10"/>
  <c r="AJ794" i="10"/>
  <c r="AJ795" i="10"/>
  <c r="AJ796" i="10"/>
  <c r="AJ797" i="10"/>
  <c r="AJ798" i="10"/>
  <c r="AJ799" i="10"/>
  <c r="AJ800" i="10"/>
  <c r="AJ801" i="10"/>
  <c r="AJ802" i="10"/>
  <c r="AJ803" i="10"/>
  <c r="AJ804" i="10"/>
  <c r="AJ805" i="10"/>
  <c r="AJ806" i="10"/>
  <c r="AJ807" i="10"/>
  <c r="AJ808" i="10"/>
  <c r="AJ809" i="10"/>
  <c r="AJ810" i="10"/>
  <c r="AJ811" i="10"/>
  <c r="AJ1147" i="10"/>
  <c r="AJ1153" i="10"/>
  <c r="AJ1163" i="10"/>
  <c r="AJ1169" i="10"/>
  <c r="AJ1170" i="10"/>
  <c r="AJ1178" i="10"/>
  <c r="AJ1179" i="10"/>
  <c r="AJ1191" i="10"/>
  <c r="AJ1197" i="10"/>
  <c r="AJ1200" i="10"/>
  <c r="AJ3" i="10"/>
  <c r="AJ8" i="10"/>
  <c r="AJ34" i="10"/>
  <c r="AJ43" i="10"/>
  <c r="AJ72" i="10"/>
  <c r="AJ77" i="10"/>
  <c r="AJ84" i="10"/>
  <c r="AJ88" i="10"/>
  <c r="AJ89" i="10"/>
  <c r="AJ101" i="10"/>
  <c r="AJ210" i="10"/>
  <c r="AJ212" i="10"/>
  <c r="AJ213" i="10"/>
  <c r="AJ215" i="10"/>
  <c r="AJ222" i="10"/>
  <c r="AJ234" i="10"/>
  <c r="AJ236" i="10"/>
  <c r="AJ310" i="10"/>
  <c r="AJ323" i="10"/>
  <c r="AJ325" i="10"/>
  <c r="AJ326" i="10"/>
  <c r="AJ330" i="10"/>
  <c r="AJ331" i="10"/>
  <c r="AJ341" i="10"/>
  <c r="AJ646" i="10"/>
  <c r="AJ656" i="10"/>
  <c r="AJ657" i="10"/>
  <c r="AJ814" i="10"/>
  <c r="AJ815" i="10"/>
  <c r="AJ819" i="10"/>
  <c r="AJ820" i="10"/>
  <c r="AJ821" i="10"/>
  <c r="AJ822" i="10"/>
  <c r="AJ827" i="10"/>
  <c r="AJ829" i="10"/>
  <c r="AJ832" i="10"/>
  <c r="AJ833" i="10"/>
  <c r="AJ834" i="10"/>
  <c r="AJ837" i="10"/>
  <c r="AJ842" i="10"/>
  <c r="AJ844" i="10"/>
  <c r="AJ845" i="10"/>
  <c r="AJ846" i="10"/>
  <c r="AJ849" i="10"/>
  <c r="AJ851" i="10"/>
  <c r="AJ852" i="10"/>
  <c r="AJ853" i="10"/>
  <c r="AJ854" i="10"/>
  <c r="AJ855" i="10"/>
  <c r="AJ856" i="10"/>
  <c r="AJ857" i="10"/>
  <c r="AJ858" i="10"/>
  <c r="AJ859" i="10"/>
  <c r="AJ860" i="10"/>
  <c r="AJ861" i="10"/>
  <c r="AJ862" i="10"/>
  <c r="AJ863" i="10"/>
  <c r="AJ864" i="10"/>
  <c r="AJ865" i="10"/>
  <c r="AJ866" i="10"/>
  <c r="AJ867" i="10"/>
  <c r="AJ868" i="10"/>
  <c r="AJ869" i="10"/>
  <c r="AJ870" i="10"/>
  <c r="AJ871" i="10"/>
  <c r="AJ872" i="10"/>
  <c r="AJ873" i="10"/>
  <c r="AJ874" i="10"/>
  <c r="AJ875" i="10"/>
  <c r="AJ876" i="10"/>
  <c r="AJ877" i="10"/>
  <c r="AJ879" i="10"/>
  <c r="AJ880" i="10"/>
  <c r="AJ881" i="10"/>
  <c r="AJ882" i="10"/>
  <c r="AJ883" i="10"/>
  <c r="AJ884" i="10"/>
  <c r="AJ885" i="10"/>
  <c r="AJ886" i="10"/>
  <c r="AJ887" i="10"/>
  <c r="AJ888" i="10"/>
  <c r="AJ889" i="10"/>
  <c r="AJ890" i="10"/>
  <c r="AJ891" i="10"/>
  <c r="AJ892" i="10"/>
  <c r="AJ893" i="10"/>
  <c r="AJ894" i="10"/>
  <c r="AJ895" i="10"/>
  <c r="AJ896" i="10"/>
  <c r="AJ897" i="10"/>
  <c r="AJ898" i="10"/>
  <c r="AJ899" i="10"/>
  <c r="AJ900" i="10"/>
  <c r="AJ901" i="10"/>
  <c r="AJ902" i="10"/>
  <c r="AJ903" i="10"/>
  <c r="AJ904" i="10"/>
  <c r="AJ905" i="10"/>
  <c r="AJ906" i="10"/>
  <c r="AJ907" i="10"/>
  <c r="AJ908" i="10"/>
  <c r="AJ909" i="10"/>
  <c r="AJ910" i="10"/>
  <c r="AJ911" i="10"/>
  <c r="AJ912" i="10"/>
  <c r="AJ913" i="10"/>
  <c r="AJ914" i="10"/>
  <c r="AJ915" i="10"/>
  <c r="AJ916" i="10"/>
  <c r="AJ917" i="10"/>
  <c r="AJ918" i="10"/>
  <c r="AJ919" i="10"/>
  <c r="AJ920" i="10"/>
  <c r="AJ921" i="10"/>
  <c r="AJ922" i="10"/>
  <c r="AJ923" i="10"/>
  <c r="AJ924" i="10"/>
  <c r="AJ925" i="10"/>
  <c r="AJ926" i="10"/>
  <c r="AJ927" i="10"/>
  <c r="AJ928" i="10"/>
  <c r="AJ929" i="10"/>
  <c r="AJ930" i="10"/>
  <c r="AJ931" i="10"/>
  <c r="AJ932" i="10"/>
  <c r="AJ933" i="10"/>
  <c r="AJ934" i="10"/>
  <c r="AJ935" i="10"/>
  <c r="AJ936" i="10"/>
  <c r="AJ937" i="10"/>
  <c r="AJ938" i="10"/>
  <c r="AJ939" i="10"/>
  <c r="AJ940" i="10"/>
  <c r="AJ941" i="10"/>
  <c r="AJ942" i="10"/>
  <c r="AJ944" i="10"/>
  <c r="AJ945" i="10"/>
  <c r="AJ946" i="10"/>
  <c r="AJ947" i="10"/>
  <c r="AJ948" i="10"/>
  <c r="AJ949" i="10"/>
  <c r="AJ950" i="10"/>
  <c r="AJ951" i="10"/>
  <c r="AJ952" i="10"/>
  <c r="AJ953" i="10"/>
  <c r="AJ954" i="10"/>
  <c r="AJ955" i="10"/>
  <c r="AJ956" i="10"/>
  <c r="AJ957" i="10"/>
  <c r="AJ958" i="10"/>
  <c r="AJ959" i="10"/>
  <c r="AJ960" i="10"/>
  <c r="AJ961" i="10"/>
  <c r="AJ962" i="10"/>
  <c r="AJ963" i="10"/>
  <c r="AJ964" i="10"/>
  <c r="AJ965" i="10"/>
  <c r="AJ966" i="10"/>
  <c r="AJ967" i="10"/>
  <c r="AJ968" i="10"/>
  <c r="AJ969" i="10"/>
  <c r="AJ970" i="10"/>
  <c r="AJ971" i="10"/>
  <c r="AJ972" i="10"/>
  <c r="AJ973" i="10"/>
  <c r="AJ974" i="10"/>
  <c r="AJ975" i="10"/>
  <c r="AJ976" i="10"/>
  <c r="AJ977" i="10"/>
  <c r="AJ978" i="10"/>
  <c r="AJ1154" i="10"/>
  <c r="AJ1157" i="10"/>
  <c r="AJ1160" i="10"/>
  <c r="AJ1161" i="10"/>
  <c r="AJ1175" i="10"/>
  <c r="AJ4" i="10"/>
  <c r="AJ9" i="10"/>
  <c r="AJ12" i="10"/>
  <c r="AJ17" i="10"/>
  <c r="AJ18" i="10"/>
  <c r="AJ20" i="10"/>
  <c r="AJ22" i="10"/>
  <c r="AJ25" i="10"/>
  <c r="AJ36" i="10"/>
  <c r="AJ50" i="10"/>
  <c r="AJ58" i="10"/>
  <c r="AJ62" i="10"/>
  <c r="AJ65" i="10"/>
  <c r="AJ68" i="10"/>
  <c r="AJ74" i="10"/>
  <c r="AJ81" i="10"/>
  <c r="AJ82" i="10"/>
  <c r="AJ85" i="10"/>
  <c r="AJ92" i="10"/>
  <c r="AJ94" i="10"/>
  <c r="AJ200" i="10"/>
  <c r="AJ204" i="10"/>
  <c r="AJ208" i="10"/>
  <c r="AJ216" i="10"/>
  <c r="AJ219" i="10"/>
  <c r="AJ220" i="10"/>
  <c r="AJ221" i="10"/>
  <c r="AJ228" i="10"/>
  <c r="AJ233" i="10"/>
  <c r="AJ327" i="10"/>
  <c r="AJ335" i="10"/>
  <c r="AJ338" i="10"/>
  <c r="AJ339" i="10"/>
  <c r="AJ651" i="10"/>
  <c r="AJ654" i="10"/>
  <c r="AJ813" i="10"/>
  <c r="AJ824" i="10"/>
  <c r="AJ825" i="10"/>
  <c r="AJ826" i="10"/>
  <c r="AJ831" i="10"/>
  <c r="AJ835" i="10"/>
  <c r="AJ850" i="10"/>
  <c r="AJ981" i="10"/>
  <c r="AJ986" i="10"/>
  <c r="AJ991" i="10"/>
  <c r="AJ993" i="10"/>
  <c r="AJ994" i="10"/>
  <c r="AJ1002" i="10"/>
  <c r="AJ1003" i="10"/>
  <c r="AJ1005" i="10"/>
  <c r="AJ1007" i="10"/>
  <c r="AJ1009" i="10"/>
  <c r="AJ1012" i="10"/>
  <c r="AJ1014" i="10"/>
  <c r="AJ1015" i="10"/>
  <c r="AJ1017" i="10"/>
  <c r="AJ1018" i="10"/>
  <c r="AJ1019" i="10"/>
  <c r="AJ1020" i="10"/>
  <c r="AJ1021" i="10"/>
  <c r="AJ1022" i="10"/>
  <c r="AJ1023" i="10"/>
  <c r="AJ1024" i="10"/>
  <c r="AJ1025" i="10"/>
  <c r="AJ1026" i="10"/>
  <c r="AJ1027" i="10"/>
  <c r="AJ1028" i="10"/>
  <c r="AJ1029" i="10"/>
  <c r="AJ1030" i="10"/>
  <c r="AJ1031" i="10"/>
  <c r="AJ1032" i="10"/>
  <c r="AJ1033" i="10"/>
  <c r="AJ1034" i="10"/>
  <c r="AJ1159" i="10"/>
  <c r="AJ1162" i="10"/>
  <c r="AJ1186" i="10"/>
  <c r="AJ1187" i="10"/>
  <c r="AJ1188" i="10"/>
  <c r="AJ1193" i="10"/>
  <c r="AJ1194" i="10"/>
  <c r="AJ11" i="10"/>
  <c r="AJ16" i="10"/>
  <c r="AJ39" i="10"/>
  <c r="AJ48" i="10"/>
  <c r="AJ51" i="10"/>
  <c r="AJ55" i="10"/>
  <c r="AJ57" i="10"/>
  <c r="AJ64" i="10"/>
  <c r="AJ70" i="10"/>
  <c r="AJ73" i="10"/>
  <c r="AJ76" i="10"/>
  <c r="AJ91" i="10"/>
  <c r="AJ199" i="10"/>
  <c r="AJ203" i="10"/>
  <c r="AJ227" i="10"/>
  <c r="AJ311" i="10"/>
  <c r="AJ312" i="10"/>
  <c r="AJ316" i="10"/>
  <c r="AJ322" i="10"/>
  <c r="AJ328" i="10"/>
  <c r="AJ333" i="10"/>
  <c r="AJ334" i="10"/>
  <c r="AJ645" i="10"/>
  <c r="AJ648" i="10"/>
  <c r="AJ652" i="10"/>
  <c r="AJ658" i="10"/>
  <c r="AJ812" i="10"/>
  <c r="AJ816" i="10"/>
  <c r="AJ817" i="10"/>
  <c r="AJ818" i="10"/>
  <c r="AJ823" i="10"/>
  <c r="AJ828" i="10"/>
  <c r="AJ830" i="10"/>
  <c r="AJ836" i="10"/>
  <c r="AJ838" i="10"/>
  <c r="AJ839" i="10"/>
  <c r="AJ840" i="10"/>
  <c r="AJ841" i="10"/>
  <c r="AJ843" i="10"/>
  <c r="AJ847" i="10"/>
  <c r="AJ848" i="10"/>
  <c r="AJ979" i="10"/>
  <c r="AJ980" i="10"/>
  <c r="AJ982" i="10"/>
  <c r="AJ983" i="10"/>
  <c r="AJ984" i="10"/>
  <c r="AJ985" i="10"/>
  <c r="AJ987" i="10"/>
  <c r="AJ988" i="10"/>
  <c r="AJ989" i="10"/>
  <c r="AJ990" i="10"/>
  <c r="AJ992" i="10"/>
  <c r="AJ995" i="10"/>
  <c r="AJ996" i="10"/>
  <c r="AJ997" i="10"/>
  <c r="AJ998" i="10"/>
  <c r="AJ999" i="10"/>
  <c r="AJ1000" i="10"/>
  <c r="AJ1001" i="10"/>
  <c r="AJ1004" i="10"/>
  <c r="AJ1006" i="10"/>
  <c r="AJ1008" i="10"/>
  <c r="AJ1010" i="10"/>
  <c r="AJ1011" i="10"/>
  <c r="AJ1013" i="10"/>
  <c r="AJ1016" i="10"/>
  <c r="AJ1035" i="10"/>
  <c r="AJ1036" i="10"/>
  <c r="AJ1037" i="10"/>
  <c r="AJ1038" i="10"/>
  <c r="AJ1039" i="10"/>
  <c r="AJ1040" i="10"/>
  <c r="AJ1041" i="10"/>
  <c r="AJ1042" i="10"/>
  <c r="AJ1043" i="10"/>
  <c r="AJ1044" i="10"/>
  <c r="AJ1045" i="10"/>
  <c r="AJ1046" i="10"/>
  <c r="AJ1047" i="10"/>
  <c r="AJ1048" i="10"/>
  <c r="AJ1049" i="10"/>
  <c r="AJ1050" i="10"/>
  <c r="AJ1051" i="10"/>
  <c r="AJ1052" i="10"/>
  <c r="AJ1053" i="10"/>
  <c r="AJ1054" i="10"/>
  <c r="AJ1055" i="10"/>
  <c r="AJ1056" i="10"/>
  <c r="AJ1057" i="10"/>
  <c r="AJ1058" i="10"/>
  <c r="AJ1059" i="10"/>
  <c r="AJ1060" i="10"/>
  <c r="AJ1061" i="10"/>
  <c r="AJ1062" i="10"/>
  <c r="AJ1063" i="10"/>
  <c r="AJ1064" i="10"/>
  <c r="AJ1065" i="10"/>
  <c r="AJ1066" i="10"/>
  <c r="AJ1067" i="10"/>
  <c r="AJ1068" i="10"/>
  <c r="AJ1069" i="10"/>
  <c r="AJ1070" i="10"/>
  <c r="AJ1071" i="10"/>
  <c r="AJ1073" i="10"/>
  <c r="AJ1074" i="10"/>
  <c r="AJ1075" i="10"/>
  <c r="AJ1076" i="10"/>
  <c r="AJ1077" i="10"/>
  <c r="AJ1078" i="10"/>
  <c r="AJ1079" i="10"/>
  <c r="AJ1080" i="10"/>
  <c r="AJ1081" i="10"/>
  <c r="AJ1082" i="10"/>
  <c r="AJ1083" i="10"/>
  <c r="AJ1084" i="10"/>
  <c r="AJ1085" i="10"/>
  <c r="AJ1086" i="10"/>
  <c r="AJ1087" i="10"/>
  <c r="AJ1088" i="10"/>
  <c r="AJ1089" i="10"/>
  <c r="AJ1090" i="10"/>
  <c r="AJ1091" i="10"/>
  <c r="AJ1092" i="10"/>
  <c r="AJ1093" i="10"/>
  <c r="AJ1094" i="10"/>
  <c r="AJ1095" i="10"/>
  <c r="AJ1096" i="10"/>
  <c r="AJ1097" i="10"/>
  <c r="AJ1098" i="10"/>
  <c r="AJ1099" i="10"/>
  <c r="AJ1100" i="10"/>
  <c r="AJ1101" i="10"/>
  <c r="AJ1102" i="10"/>
  <c r="AJ1103" i="10"/>
  <c r="AJ1104" i="10"/>
  <c r="AJ1105" i="10"/>
  <c r="AJ1106" i="10"/>
  <c r="AJ1107" i="10"/>
  <c r="AJ1108" i="10"/>
  <c r="AJ1109" i="10"/>
  <c r="AJ1110" i="10"/>
  <c r="AJ1111" i="10"/>
  <c r="AJ1112" i="10"/>
  <c r="AJ1113" i="10"/>
  <c r="AJ1114" i="10"/>
  <c r="AJ1115" i="10"/>
  <c r="AJ1116" i="10"/>
  <c r="AJ1117" i="10"/>
  <c r="AJ1118" i="10"/>
  <c r="AJ1119" i="10"/>
  <c r="AJ1120" i="10"/>
  <c r="AJ1121" i="10"/>
  <c r="AJ1122" i="10"/>
  <c r="AJ1123" i="10"/>
  <c r="AJ1124" i="10"/>
  <c r="AJ1125" i="10"/>
  <c r="AJ1126" i="10"/>
  <c r="AJ1127" i="10"/>
  <c r="AJ1128" i="10"/>
  <c r="AJ1129" i="10"/>
  <c r="AJ1130" i="10"/>
  <c r="AJ1131" i="10"/>
  <c r="AJ1132" i="10"/>
  <c r="AJ1133" i="10"/>
  <c r="AJ1134" i="10"/>
  <c r="AJ1135" i="10"/>
  <c r="AJ1136" i="10"/>
  <c r="AJ1138" i="10"/>
  <c r="AJ1139" i="10"/>
  <c r="AJ1140" i="10"/>
  <c r="AJ1141" i="10"/>
  <c r="AJ1142" i="10"/>
  <c r="AJ1143" i="10"/>
  <c r="AJ1144" i="10"/>
  <c r="AJ1145" i="10"/>
  <c r="AJ37" i="10"/>
  <c r="AJ231" i="10"/>
  <c r="AJ296" i="10"/>
  <c r="AJ425" i="10"/>
  <c r="AJ490" i="10"/>
  <c r="AJ619" i="10"/>
  <c r="AJ684" i="10"/>
  <c r="AJ878" i="10"/>
  <c r="AJ943" i="10"/>
  <c r="AJ1072" i="10"/>
  <c r="AJ1137" i="10"/>
  <c r="AE38" i="10"/>
  <c r="AG38" i="10" s="1"/>
  <c r="AM38" i="10"/>
  <c r="AF38" i="10"/>
  <c r="AH38" i="10" s="1"/>
  <c r="AE36" i="10"/>
  <c r="AG36" i="10" s="1"/>
  <c r="AF36" i="10"/>
  <c r="AH36" i="10" s="1"/>
  <c r="AM36" i="10"/>
  <c r="AE35" i="10"/>
  <c r="AG35" i="10" s="1"/>
  <c r="AF35" i="10"/>
  <c r="AH35" i="10" s="1"/>
  <c r="AM35" i="10"/>
  <c r="AE34" i="10"/>
  <c r="AG34" i="10" s="1"/>
  <c r="AF34" i="10"/>
  <c r="AH34" i="10" s="1"/>
  <c r="AM34" i="10"/>
  <c r="AE33" i="10"/>
  <c r="AG33" i="10" s="1"/>
  <c r="AF33" i="10"/>
  <c r="AH33" i="10" s="1"/>
  <c r="AM33" i="10"/>
  <c r="AE32" i="10"/>
  <c r="AG32" i="10" s="1"/>
  <c r="AF32" i="10"/>
  <c r="AH32" i="10" s="1"/>
  <c r="AM32" i="10"/>
  <c r="AE31" i="10"/>
  <c r="AG31" i="10" s="1"/>
  <c r="AF31" i="10"/>
  <c r="AH31" i="10" s="1"/>
  <c r="AM31" i="10"/>
  <c r="AE30" i="10"/>
  <c r="AG30" i="10" s="1"/>
  <c r="AF30" i="10"/>
  <c r="AH30" i="10" s="1"/>
  <c r="AM30" i="10"/>
  <c r="AE29" i="10"/>
  <c r="AG29" i="10" s="1"/>
  <c r="AF29" i="10"/>
  <c r="AH29" i="10" s="1"/>
  <c r="AM29" i="10"/>
  <c r="AE28" i="10"/>
  <c r="AG28" i="10" s="1"/>
  <c r="AF28" i="10"/>
  <c r="AH28" i="10" s="1"/>
  <c r="AM28" i="10"/>
  <c r="AE27" i="10"/>
  <c r="AG27" i="10" s="1"/>
  <c r="AF27" i="10"/>
  <c r="AH27" i="10" s="1"/>
  <c r="AM27" i="10"/>
  <c r="AE26" i="10"/>
  <c r="AG26" i="10" s="1"/>
  <c r="AF26" i="10"/>
  <c r="AH26" i="10" s="1"/>
  <c r="AM26" i="10"/>
  <c r="AE25" i="10"/>
  <c r="AG25" i="10" s="1"/>
  <c r="AF25" i="10"/>
  <c r="AH25" i="10" s="1"/>
  <c r="AM25" i="10"/>
  <c r="AE24" i="10"/>
  <c r="AG24" i="10" s="1"/>
  <c r="AF24" i="10"/>
  <c r="AH24" i="10" s="1"/>
  <c r="AM24" i="10"/>
  <c r="AE23" i="10"/>
  <c r="AG23" i="10" s="1"/>
  <c r="AF23" i="10"/>
  <c r="AH23" i="10" s="1"/>
  <c r="AM23" i="10"/>
  <c r="AE22" i="10"/>
  <c r="AG22" i="10" s="1"/>
  <c r="AF22" i="10"/>
  <c r="AH22" i="10" s="1"/>
  <c r="AM22" i="10"/>
  <c r="AE21" i="10"/>
  <c r="AG21" i="10" s="1"/>
  <c r="AF21" i="10"/>
  <c r="AH21" i="10" s="1"/>
  <c r="AM21" i="10"/>
  <c r="AE20" i="10"/>
  <c r="AG20" i="10" s="1"/>
  <c r="AF20" i="10"/>
  <c r="AH20" i="10" s="1"/>
  <c r="AM20" i="10"/>
  <c r="AE19" i="10"/>
  <c r="AG19" i="10" s="1"/>
  <c r="AF19" i="10"/>
  <c r="AH19" i="10" s="1"/>
  <c r="AM19" i="10"/>
  <c r="AE18" i="10"/>
  <c r="AG18" i="10" s="1"/>
  <c r="AF18" i="10"/>
  <c r="AH18" i="10" s="1"/>
  <c r="AM18" i="10"/>
  <c r="AE17" i="10"/>
  <c r="AG17" i="10" s="1"/>
  <c r="AF17" i="10"/>
  <c r="AH17" i="10" s="1"/>
  <c r="AM17" i="10"/>
  <c r="AE16" i="10"/>
  <c r="AG16" i="10" s="1"/>
  <c r="AF16" i="10"/>
  <c r="AH16" i="10" s="1"/>
  <c r="AM16" i="10"/>
  <c r="AE15" i="10"/>
  <c r="AG15" i="10" s="1"/>
  <c r="AF15" i="10"/>
  <c r="AH15" i="10" s="1"/>
  <c r="AM15" i="10"/>
  <c r="AE14" i="10"/>
  <c r="AG14" i="10" s="1"/>
  <c r="AF14" i="10"/>
  <c r="AH14" i="10" s="1"/>
  <c r="AM14" i="10"/>
  <c r="AE13" i="10"/>
  <c r="AG13" i="10" s="1"/>
  <c r="AF13" i="10"/>
  <c r="AH13" i="10" s="1"/>
  <c r="AM13" i="10"/>
  <c r="AE12" i="10"/>
  <c r="AG12" i="10" s="1"/>
  <c r="AF12" i="10"/>
  <c r="AH12" i="10" s="1"/>
  <c r="AM12" i="10"/>
  <c r="AE11" i="10"/>
  <c r="AG11" i="10" s="1"/>
  <c r="AF11" i="10"/>
  <c r="AH11" i="10" s="1"/>
  <c r="AM11" i="10"/>
  <c r="AE10" i="10"/>
  <c r="AG10" i="10" s="1"/>
  <c r="AF10" i="10"/>
  <c r="AH10" i="10" s="1"/>
  <c r="AM10" i="10"/>
  <c r="AE9" i="10"/>
  <c r="AG9" i="10" s="1"/>
  <c r="AF9" i="10"/>
  <c r="AH9" i="10" s="1"/>
  <c r="AM9" i="10"/>
  <c r="AE8" i="10"/>
  <c r="AG8" i="10" s="1"/>
  <c r="AF8" i="10"/>
  <c r="AH8" i="10" s="1"/>
  <c r="AM8" i="10"/>
  <c r="AE7" i="10"/>
  <c r="AG7" i="10" s="1"/>
  <c r="AF7" i="10"/>
  <c r="AH7" i="10" s="1"/>
  <c r="AM7" i="10"/>
  <c r="AE6" i="10"/>
  <c r="AG6" i="10" s="1"/>
  <c r="AF6" i="10"/>
  <c r="AH6" i="10" s="1"/>
  <c r="AM6" i="10"/>
  <c r="AE5" i="10"/>
  <c r="AG5" i="10" s="1"/>
  <c r="AF5" i="10"/>
  <c r="AH5" i="10" s="1"/>
  <c r="AM5" i="10"/>
  <c r="AE4" i="10"/>
  <c r="AG4" i="10" s="1"/>
  <c r="AF4" i="10"/>
  <c r="AH4" i="10" s="1"/>
  <c r="AM4" i="10"/>
  <c r="AE3" i="10"/>
  <c r="AG3" i="10" s="1"/>
  <c r="AF3" i="10"/>
  <c r="AH3" i="10" s="1"/>
  <c r="AM3" i="10"/>
  <c r="AE2" i="10"/>
  <c r="AG2" i="10" s="1"/>
  <c r="AF2" i="10"/>
  <c r="AH2" i="10" s="1"/>
  <c r="AM2" i="10"/>
  <c r="B25" i="8"/>
  <c r="B26" i="8"/>
  <c r="B27" i="8"/>
  <c r="B28" i="8"/>
  <c r="B29" i="8"/>
  <c r="B30" i="8"/>
  <c r="B31" i="8"/>
  <c r="B32" i="8"/>
  <c r="B33" i="8"/>
  <c r="B34" i="8"/>
  <c r="B35" i="8"/>
  <c r="B36" i="8"/>
  <c r="B37" i="8"/>
  <c r="B38" i="8"/>
  <c r="B39" i="8"/>
  <c r="B50" i="5"/>
  <c r="B40" i="5"/>
  <c r="B22" i="5"/>
  <c r="B18" i="5"/>
  <c r="B130" i="4"/>
  <c r="B128" i="4"/>
  <c r="B123" i="4"/>
  <c r="B119" i="4"/>
  <c r="B116" i="4"/>
  <c r="B96" i="4"/>
  <c r="B90" i="4"/>
  <c r="B89" i="4"/>
  <c r="B71" i="4"/>
  <c r="B207" i="5"/>
  <c r="B205" i="5"/>
  <c r="B52" i="5"/>
  <c r="B49" i="5"/>
  <c r="B44" i="5"/>
  <c r="B43" i="5"/>
  <c r="B42" i="5"/>
  <c r="B41" i="5"/>
  <c r="B38" i="5"/>
  <c r="B37" i="5"/>
  <c r="B33" i="5"/>
  <c r="B32" i="5"/>
  <c r="B20" i="5"/>
  <c r="B17" i="5"/>
  <c r="B12" i="5"/>
  <c r="B140" i="4"/>
  <c r="B129" i="4"/>
  <c r="B127" i="4"/>
  <c r="B126" i="4"/>
  <c r="B103" i="4"/>
  <c r="B102" i="4"/>
  <c r="B95" i="4"/>
  <c r="B79" i="4"/>
  <c r="B76" i="4"/>
  <c r="B75" i="4"/>
  <c r="B74" i="4"/>
  <c r="B73" i="4"/>
  <c r="B53" i="5"/>
  <c r="B51" i="5"/>
  <c r="B39" i="5"/>
  <c r="B35" i="5"/>
  <c r="B28" i="5"/>
  <c r="B26" i="5"/>
  <c r="B16" i="5"/>
  <c r="B138" i="4"/>
  <c r="B137" i="4"/>
  <c r="B136" i="4"/>
  <c r="B133" i="4"/>
  <c r="B131" i="4"/>
  <c r="B120" i="4"/>
  <c r="B118" i="4"/>
  <c r="B115" i="4"/>
  <c r="B110" i="4"/>
  <c r="B92" i="4"/>
  <c r="B88" i="4"/>
  <c r="B87" i="4"/>
  <c r="B82" i="4"/>
  <c r="B77" i="4"/>
  <c r="B208" i="5"/>
  <c r="B206" i="5"/>
  <c r="B48" i="5"/>
  <c r="B47" i="5"/>
  <c r="B34" i="5"/>
  <c r="B30" i="5"/>
  <c r="B29" i="5"/>
  <c r="B27" i="5"/>
  <c r="B24" i="5"/>
  <c r="B15" i="5"/>
  <c r="B13" i="5"/>
  <c r="B143" i="4"/>
  <c r="B124" i="4"/>
  <c r="B113" i="4"/>
  <c r="B111" i="4"/>
  <c r="B108" i="4"/>
  <c r="B83" i="4"/>
  <c r="B78" i="4"/>
  <c r="B69" i="4"/>
  <c r="B209" i="5"/>
  <c r="B46" i="5"/>
  <c r="B31" i="5"/>
  <c r="B25" i="5"/>
  <c r="B21" i="5"/>
  <c r="B19" i="5"/>
  <c r="B10" i="5"/>
  <c r="B145" i="4"/>
  <c r="B144" i="4"/>
  <c r="B139" i="4"/>
  <c r="B135" i="4"/>
  <c r="B125" i="4"/>
  <c r="B121" i="4"/>
  <c r="B114" i="4"/>
  <c r="B112" i="4"/>
  <c r="B105" i="4"/>
  <c r="B104" i="4"/>
  <c r="B100" i="4"/>
  <c r="B99" i="4"/>
  <c r="B94" i="4"/>
  <c r="B93" i="4"/>
  <c r="B86" i="4"/>
  <c r="B80" i="4"/>
  <c r="B72" i="4"/>
  <c r="B68" i="4"/>
  <c r="B45" i="5"/>
  <c r="B36" i="5"/>
  <c r="B23" i="5"/>
  <c r="B14" i="5"/>
  <c r="B11" i="5"/>
  <c r="B132" i="4"/>
  <c r="B107" i="4"/>
  <c r="B84" i="4"/>
  <c r="B204" i="5"/>
  <c r="B203" i="5"/>
  <c r="B202" i="5"/>
  <c r="B201" i="5"/>
  <c r="B200" i="5"/>
  <c r="B199" i="5"/>
  <c r="B198" i="5"/>
  <c r="B197" i="5"/>
  <c r="B196" i="5"/>
  <c r="B195" i="5"/>
  <c r="B194" i="5"/>
  <c r="B193" i="5"/>
  <c r="B192" i="5"/>
  <c r="B191" i="5"/>
  <c r="B190" i="5"/>
  <c r="B189" i="5"/>
  <c r="B188" i="5"/>
  <c r="B187" i="5"/>
  <c r="B186" i="5"/>
  <c r="B185" i="5"/>
  <c r="B184" i="5"/>
  <c r="B183" i="5"/>
  <c r="B182" i="5"/>
  <c r="B181" i="5"/>
  <c r="B180" i="5"/>
  <c r="B179" i="5"/>
  <c r="B178" i="5"/>
  <c r="B177" i="5"/>
  <c r="B176" i="5"/>
  <c r="B175" i="5"/>
  <c r="B174" i="5"/>
  <c r="B173" i="5"/>
  <c r="B172" i="5"/>
  <c r="B171" i="5"/>
  <c r="B170" i="5"/>
  <c r="B169" i="5"/>
  <c r="B168" i="5"/>
  <c r="B167" i="5"/>
  <c r="B166" i="5"/>
  <c r="B165" i="5"/>
  <c r="B164" i="5"/>
  <c r="B163" i="5"/>
  <c r="B162" i="5"/>
  <c r="B161" i="5"/>
  <c r="B160" i="5"/>
  <c r="B159" i="5"/>
  <c r="B158" i="5"/>
  <c r="B157" i="5"/>
  <c r="B156" i="5"/>
  <c r="B155" i="5"/>
  <c r="B154" i="5"/>
  <c r="B153" i="5"/>
  <c r="B152" i="5"/>
  <c r="B151" i="5"/>
  <c r="B150" i="5"/>
  <c r="B149" i="5"/>
  <c r="B148" i="5"/>
  <c r="B147" i="5"/>
  <c r="B146" i="5"/>
  <c r="B145" i="5"/>
  <c r="B144" i="5"/>
  <c r="B143" i="5"/>
  <c r="B142" i="5"/>
  <c r="B141" i="5"/>
  <c r="B140" i="5"/>
  <c r="B139" i="5"/>
  <c r="B138" i="5"/>
  <c r="B137" i="5"/>
  <c r="B136" i="5"/>
  <c r="B135" i="5"/>
  <c r="B134" i="5"/>
  <c r="B133" i="5"/>
  <c r="B132" i="5"/>
  <c r="B131" i="5"/>
  <c r="B130" i="5"/>
  <c r="B129" i="5"/>
  <c r="B128" i="5"/>
  <c r="B127" i="5"/>
  <c r="B126" i="5"/>
  <c r="B125" i="5"/>
  <c r="B124" i="5"/>
  <c r="B123" i="5"/>
  <c r="B122" i="5"/>
  <c r="B121" i="5"/>
  <c r="B120" i="5"/>
  <c r="B119" i="5"/>
  <c r="B118" i="5"/>
  <c r="B117" i="5"/>
  <c r="B116" i="5"/>
  <c r="B115" i="5"/>
  <c r="B114" i="5"/>
  <c r="B113" i="5"/>
  <c r="B112" i="5"/>
  <c r="B111" i="5"/>
  <c r="B110" i="5"/>
  <c r="B109" i="5"/>
  <c r="B108" i="5"/>
  <c r="B107" i="5"/>
  <c r="B106" i="5"/>
  <c r="B105" i="5"/>
  <c r="B104" i="5"/>
  <c r="B103" i="5"/>
  <c r="B102" i="5"/>
  <c r="B101" i="5"/>
  <c r="B100" i="5"/>
  <c r="B99" i="5"/>
  <c r="B98" i="5"/>
  <c r="B97" i="5"/>
  <c r="B96" i="5"/>
  <c r="B95" i="5"/>
  <c r="B94" i="5"/>
  <c r="B93" i="5"/>
  <c r="B92" i="5"/>
  <c r="B91" i="5"/>
  <c r="B90" i="5"/>
  <c r="B89" i="5"/>
  <c r="B88" i="5"/>
  <c r="B87" i="5"/>
  <c r="B86" i="5"/>
  <c r="B85" i="5"/>
  <c r="B84" i="5"/>
  <c r="B83" i="5"/>
  <c r="B82" i="5"/>
  <c r="B81" i="5"/>
  <c r="B80" i="5"/>
  <c r="B79" i="5"/>
  <c r="B78" i="5"/>
  <c r="B77" i="5"/>
  <c r="B76" i="5"/>
  <c r="B75" i="5"/>
  <c r="B74" i="5"/>
  <c r="B73" i="5"/>
  <c r="B72" i="5"/>
  <c r="B71" i="5"/>
  <c r="B70" i="5"/>
  <c r="B69" i="5"/>
  <c r="B68" i="5"/>
  <c r="B67" i="5"/>
  <c r="B66" i="5"/>
  <c r="B65" i="5"/>
  <c r="B64" i="5"/>
  <c r="B63" i="5"/>
  <c r="B62" i="5"/>
  <c r="B61" i="5"/>
  <c r="B60" i="5"/>
  <c r="B59" i="5"/>
  <c r="B58" i="5"/>
  <c r="B57" i="5"/>
  <c r="B56" i="5"/>
  <c r="B55" i="5"/>
  <c r="B54" i="5"/>
  <c r="B134" i="4"/>
  <c r="B122" i="4"/>
  <c r="B117" i="4"/>
  <c r="B106" i="4"/>
  <c r="B98" i="4"/>
  <c r="B97" i="4"/>
  <c r="B85" i="4"/>
  <c r="B81" i="4"/>
  <c r="B70" i="4"/>
  <c r="B209" i="4"/>
  <c r="B208" i="4"/>
  <c r="B207" i="4"/>
  <c r="B206" i="4"/>
  <c r="B205" i="4"/>
  <c r="B204" i="4"/>
  <c r="B203" i="4"/>
  <c r="B202" i="4"/>
  <c r="B201" i="4"/>
  <c r="B200" i="4"/>
  <c r="B199" i="4"/>
  <c r="B198" i="4"/>
  <c r="B197" i="4"/>
  <c r="B196" i="4"/>
  <c r="B195" i="4"/>
  <c r="B194" i="4"/>
  <c r="B193" i="4"/>
  <c r="B192" i="4"/>
  <c r="B191" i="4"/>
  <c r="B190" i="4"/>
  <c r="B189" i="4"/>
  <c r="B188" i="4"/>
  <c r="B187" i="4"/>
  <c r="B186" i="4"/>
  <c r="B185" i="4"/>
  <c r="B184" i="4"/>
  <c r="B183" i="4"/>
  <c r="B182" i="4"/>
  <c r="B181" i="4"/>
  <c r="B180" i="4"/>
  <c r="B179" i="4"/>
  <c r="B178" i="4"/>
  <c r="B177" i="4"/>
  <c r="B176" i="4"/>
  <c r="B175" i="4"/>
  <c r="B174" i="4"/>
  <c r="B173" i="4"/>
  <c r="B172" i="4"/>
  <c r="B171" i="4"/>
  <c r="B170" i="4"/>
  <c r="B169" i="4"/>
  <c r="B168" i="4"/>
  <c r="B167" i="4"/>
  <c r="B166" i="4"/>
  <c r="B165" i="4"/>
  <c r="B164" i="4"/>
  <c r="B163" i="4"/>
  <c r="B162" i="4"/>
  <c r="B161" i="4"/>
  <c r="B160" i="4"/>
  <c r="B159" i="4"/>
  <c r="B158" i="4"/>
  <c r="B157" i="4"/>
  <c r="B156" i="4"/>
  <c r="B155" i="4"/>
  <c r="B154" i="4"/>
  <c r="B153" i="4"/>
  <c r="B152" i="4"/>
  <c r="B151" i="4"/>
  <c r="B150" i="4"/>
  <c r="B149" i="4"/>
  <c r="B148" i="4"/>
  <c r="B147" i="4"/>
  <c r="B146" i="4"/>
  <c r="B142" i="4"/>
  <c r="B141" i="4"/>
  <c r="B109" i="4"/>
  <c r="B101" i="4"/>
  <c r="B91" i="4"/>
  <c r="B67" i="4"/>
  <c r="B66" i="4"/>
  <c r="B65" i="4"/>
  <c r="B64" i="4"/>
  <c r="B63" i="4"/>
  <c r="B62" i="4"/>
  <c r="B61" i="4"/>
  <c r="B60" i="4"/>
  <c r="B59" i="4"/>
  <c r="B58" i="4"/>
  <c r="B57" i="4"/>
  <c r="B56" i="4"/>
  <c r="B55" i="4"/>
  <c r="B54" i="4"/>
  <c r="B53" i="4"/>
  <c r="B52" i="4"/>
  <c r="B51" i="4"/>
  <c r="B50" i="4"/>
  <c r="B49" i="4"/>
  <c r="B48" i="4"/>
  <c r="B47" i="4"/>
  <c r="B46" i="4"/>
  <c r="B45" i="4"/>
  <c r="B44" i="4"/>
  <c r="B43" i="4"/>
  <c r="B42" i="4"/>
  <c r="B41" i="4"/>
  <c r="B40" i="4"/>
  <c r="B39" i="4"/>
  <c r="B38" i="4"/>
  <c r="B37" i="4"/>
  <c r="B36" i="4"/>
  <c r="B35" i="4"/>
  <c r="B34" i="4"/>
  <c r="B33" i="4"/>
  <c r="B32" i="4"/>
  <c r="B31" i="4"/>
  <c r="B30" i="4"/>
  <c r="B29" i="4"/>
  <c r="B28" i="4"/>
  <c r="B27" i="4"/>
  <c r="B26" i="4"/>
  <c r="B25" i="4"/>
  <c r="B24" i="4"/>
  <c r="B23" i="4"/>
  <c r="B22" i="4"/>
  <c r="B21" i="4"/>
  <c r="B20" i="4"/>
  <c r="B19" i="4"/>
  <c r="B18" i="4"/>
  <c r="B17" i="4"/>
  <c r="B16" i="4"/>
  <c r="B15" i="4"/>
  <c r="B14" i="4"/>
  <c r="B13" i="4"/>
  <c r="B12" i="4"/>
  <c r="B11" i="4"/>
  <c r="B10" i="4"/>
  <c r="C17" i="8" l="1"/>
  <c r="U16" i="2"/>
  <c r="C12" i="7"/>
  <c r="C10" i="7"/>
  <c r="C8" i="7"/>
  <c r="D37" i="2"/>
  <c r="U13" i="2"/>
  <c r="C26" i="3"/>
  <c r="C23" i="3"/>
  <c r="C11" i="3"/>
  <c r="C20" i="3"/>
  <c r="C21" i="3"/>
  <c r="C12" i="3"/>
  <c r="C25" i="3"/>
  <c r="C29" i="3"/>
  <c r="C24" i="3"/>
  <c r="C32" i="3"/>
  <c r="C31" i="3"/>
  <c r="C16" i="3"/>
  <c r="C15" i="3"/>
  <c r="C49" i="3"/>
  <c r="C48" i="3"/>
  <c r="C47" i="3"/>
  <c r="C46" i="3"/>
  <c r="C45" i="3"/>
  <c r="C44" i="3"/>
  <c r="C43" i="3"/>
  <c r="C42" i="3"/>
  <c r="C41" i="3"/>
  <c r="C40" i="3"/>
  <c r="C39" i="3"/>
  <c r="C38" i="3"/>
  <c r="C37" i="3"/>
  <c r="C36" i="3"/>
  <c r="C35" i="3"/>
  <c r="C34" i="3"/>
  <c r="C33" i="3"/>
  <c r="C22" i="3"/>
  <c r="C18" i="3"/>
  <c r="C30" i="3"/>
  <c r="C28" i="3"/>
  <c r="C27" i="3"/>
  <c r="C19" i="3"/>
  <c r="C17" i="3"/>
  <c r="C14" i="3"/>
  <c r="C13" i="3"/>
  <c r="C10" i="3"/>
  <c r="C70" i="3"/>
  <c r="C69" i="3"/>
  <c r="C68" i="3"/>
  <c r="C67" i="3"/>
  <c r="C66" i="3"/>
  <c r="C65" i="3"/>
  <c r="C64" i="3"/>
  <c r="C63" i="3"/>
  <c r="C62" i="3"/>
  <c r="C61" i="3"/>
  <c r="C60" i="3"/>
  <c r="C59" i="3"/>
  <c r="C58" i="3"/>
  <c r="C57" i="3"/>
  <c r="C56" i="3"/>
  <c r="C15" i="6"/>
  <c r="F15" i="6"/>
  <c r="R99" i="2" s="1"/>
  <c r="F18" i="6"/>
  <c r="R102" i="2" s="1"/>
  <c r="C18" i="6"/>
  <c r="F14" i="6"/>
  <c r="R98" i="2" s="1"/>
  <c r="C16" i="6"/>
  <c r="F13" i="6"/>
  <c r="R97" i="2" s="1"/>
  <c r="F16" i="6"/>
  <c r="R100" i="2" s="1"/>
  <c r="F11" i="6"/>
  <c r="C13" i="6"/>
  <c r="F19" i="6"/>
  <c r="R103" i="2" s="1"/>
  <c r="C19" i="6"/>
  <c r="C14" i="6"/>
  <c r="B11" i="6"/>
  <c r="D33" i="2"/>
  <c r="C20" i="2"/>
  <c r="F17" i="6"/>
  <c r="R101" i="2" s="1"/>
  <c r="C17" i="6"/>
  <c r="D56" i="3"/>
  <c r="F56" i="3" s="1"/>
  <c r="E56" i="3"/>
  <c r="G56" i="3"/>
  <c r="H56" i="3"/>
  <c r="I56" i="3"/>
  <c r="J56" i="3"/>
  <c r="B56" i="3"/>
  <c r="D57" i="3"/>
  <c r="F57" i="3" s="1"/>
  <c r="E57" i="3"/>
  <c r="G57" i="3"/>
  <c r="H57" i="3"/>
  <c r="I57" i="3"/>
  <c r="J57" i="3"/>
  <c r="B57" i="3"/>
  <c r="D58" i="3"/>
  <c r="F58" i="3" s="1"/>
  <c r="E58" i="3"/>
  <c r="G58" i="3"/>
  <c r="H58" i="3"/>
  <c r="I58" i="3"/>
  <c r="J58" i="3"/>
  <c r="B58" i="3"/>
  <c r="D59" i="3"/>
  <c r="F59" i="3" s="1"/>
  <c r="E59" i="3"/>
  <c r="G59" i="3"/>
  <c r="H59" i="3"/>
  <c r="I59" i="3"/>
  <c r="J59" i="3"/>
  <c r="B59" i="3"/>
  <c r="D60" i="3"/>
  <c r="F60" i="3" s="1"/>
  <c r="E60" i="3"/>
  <c r="G60" i="3"/>
  <c r="H60" i="3"/>
  <c r="I60" i="3"/>
  <c r="J60" i="3"/>
  <c r="B60" i="3"/>
  <c r="D61" i="3"/>
  <c r="F61" i="3" s="1"/>
  <c r="E61" i="3"/>
  <c r="G61" i="3"/>
  <c r="H61" i="3"/>
  <c r="I61" i="3"/>
  <c r="J61" i="3"/>
  <c r="B61" i="3"/>
  <c r="D62" i="3"/>
  <c r="F62" i="3" s="1"/>
  <c r="E62" i="3"/>
  <c r="G62" i="3"/>
  <c r="H62" i="3"/>
  <c r="I62" i="3"/>
  <c r="J62" i="3"/>
  <c r="B62" i="3"/>
  <c r="D63" i="3"/>
  <c r="F63" i="3" s="1"/>
  <c r="E63" i="3"/>
  <c r="G63" i="3"/>
  <c r="H63" i="3"/>
  <c r="I63" i="3"/>
  <c r="J63" i="3"/>
  <c r="B63" i="3"/>
  <c r="D64" i="3"/>
  <c r="F64" i="3" s="1"/>
  <c r="E64" i="3"/>
  <c r="G64" i="3"/>
  <c r="H64" i="3"/>
  <c r="I64" i="3"/>
  <c r="J64" i="3"/>
  <c r="B64" i="3"/>
  <c r="D65" i="3"/>
  <c r="E65" i="3"/>
  <c r="C25" i="8"/>
  <c r="D25" i="8"/>
  <c r="E25" i="8"/>
  <c r="C26" i="8"/>
  <c r="D26" i="8"/>
  <c r="E26" i="8"/>
  <c r="C27" i="8"/>
  <c r="D27" i="8"/>
  <c r="E27" i="8"/>
  <c r="C28" i="8"/>
  <c r="D28" i="8"/>
  <c r="E28" i="8"/>
  <c r="C29" i="8"/>
  <c r="D29" i="8"/>
  <c r="E29" i="8"/>
  <c r="C30" i="8"/>
  <c r="D30" i="8"/>
  <c r="E30" i="8"/>
  <c r="C31" i="8"/>
  <c r="D31" i="8"/>
  <c r="E31" i="8"/>
  <c r="C32" i="8"/>
  <c r="D32" i="8"/>
  <c r="E32" i="8"/>
  <c r="C33" i="8"/>
  <c r="D33" i="8"/>
  <c r="E33" i="8"/>
  <c r="C34" i="8"/>
  <c r="D34" i="8"/>
  <c r="E34" i="8"/>
  <c r="C35" i="8"/>
  <c r="D35" i="8"/>
  <c r="E35" i="8"/>
  <c r="C36" i="8"/>
  <c r="D36" i="8"/>
  <c r="E36" i="8"/>
  <c r="C37" i="8"/>
  <c r="D37" i="8"/>
  <c r="E37" i="8"/>
  <c r="C38" i="8"/>
  <c r="D38" i="8"/>
  <c r="E38" i="8"/>
  <c r="C39" i="8"/>
  <c r="D39" i="8"/>
  <c r="E39" i="8"/>
  <c r="F50" i="5"/>
  <c r="E50" i="5"/>
  <c r="C50" i="5"/>
  <c r="D50" i="5"/>
  <c r="H50" i="5"/>
  <c r="J50" i="5"/>
  <c r="E40" i="5"/>
  <c r="D40" i="5"/>
  <c r="C40" i="5"/>
  <c r="H40" i="5"/>
  <c r="F40" i="5"/>
  <c r="J40" i="5"/>
  <c r="C22" i="5"/>
  <c r="J22" i="5"/>
  <c r="D22" i="5"/>
  <c r="E22" i="5"/>
  <c r="F22" i="5"/>
  <c r="H22" i="5"/>
  <c r="E18" i="5"/>
  <c r="J18" i="5"/>
  <c r="F18" i="5"/>
  <c r="H18" i="5"/>
  <c r="C18" i="5"/>
  <c r="D18" i="5"/>
  <c r="G130" i="4"/>
  <c r="E130" i="4"/>
  <c r="C130" i="4"/>
  <c r="D130" i="4"/>
  <c r="K130" i="4"/>
  <c r="M130" i="4"/>
  <c r="F130" i="4"/>
  <c r="L130" i="4"/>
  <c r="J130" i="4"/>
  <c r="M128" i="4"/>
  <c r="C128" i="4"/>
  <c r="J128" i="4"/>
  <c r="D128" i="4"/>
  <c r="K128" i="4"/>
  <c r="G128" i="4"/>
  <c r="L128" i="4"/>
  <c r="E128" i="4"/>
  <c r="F128" i="4"/>
  <c r="E123" i="4"/>
  <c r="M123" i="4"/>
  <c r="J123" i="4"/>
  <c r="C123" i="4"/>
  <c r="D123" i="4"/>
  <c r="L123" i="4" s="1"/>
  <c r="F123" i="4"/>
  <c r="K123" i="4"/>
  <c r="G123" i="4"/>
  <c r="G119" i="4"/>
  <c r="M119" i="4"/>
  <c r="F119" i="4"/>
  <c r="J119" i="4"/>
  <c r="D119" i="4"/>
  <c r="L119" i="4" s="1"/>
  <c r="C119" i="4"/>
  <c r="E119" i="4"/>
  <c r="K119" i="4"/>
  <c r="J116" i="4"/>
  <c r="G116" i="4"/>
  <c r="E116" i="4"/>
  <c r="C116" i="4"/>
  <c r="F116" i="4"/>
  <c r="K116" i="4"/>
  <c r="M116" i="4"/>
  <c r="D116" i="4"/>
  <c r="L116" i="4" s="1"/>
  <c r="G96" i="4"/>
  <c r="J96" i="4"/>
  <c r="D96" i="4"/>
  <c r="K96" i="4"/>
  <c r="E96" i="4"/>
  <c r="L96" i="4"/>
  <c r="C96" i="4"/>
  <c r="M96" i="4"/>
  <c r="F96" i="4"/>
  <c r="C90" i="4"/>
  <c r="K90" i="4"/>
  <c r="J90" i="4"/>
  <c r="E90" i="4"/>
  <c r="G90" i="4"/>
  <c r="D90" i="4"/>
  <c r="L90" i="4" s="1"/>
  <c r="F90" i="4"/>
  <c r="M90" i="4"/>
  <c r="C89" i="4"/>
  <c r="M89" i="4"/>
  <c r="E89" i="4"/>
  <c r="G89" i="4"/>
  <c r="J89" i="4"/>
  <c r="F89" i="4"/>
  <c r="D89" i="4"/>
  <c r="L89" i="4" s="1"/>
  <c r="K89" i="4"/>
  <c r="M71" i="4"/>
  <c r="E71" i="4"/>
  <c r="J71" i="4"/>
  <c r="D71" i="4"/>
  <c r="L71" i="4" s="1"/>
  <c r="C71" i="4"/>
  <c r="F71" i="4"/>
  <c r="K71" i="4"/>
  <c r="G71" i="4"/>
  <c r="C207" i="5"/>
  <c r="E207" i="5"/>
  <c r="D207" i="5"/>
  <c r="H207" i="5"/>
  <c r="F207" i="5"/>
  <c r="J207" i="5"/>
  <c r="D205" i="5"/>
  <c r="I205" i="5"/>
  <c r="E205" i="5"/>
  <c r="H205" i="5"/>
  <c r="J205" i="5"/>
  <c r="C205" i="5"/>
  <c r="F205" i="5"/>
  <c r="G205" i="5"/>
  <c r="E52" i="5"/>
  <c r="H52" i="5"/>
  <c r="F52" i="5"/>
  <c r="D52" i="5"/>
  <c r="J52" i="5"/>
  <c r="C52" i="5"/>
  <c r="D49" i="5"/>
  <c r="G49" i="5"/>
  <c r="F49" i="5"/>
  <c r="C49" i="5"/>
  <c r="I49" i="5"/>
  <c r="E49" i="5"/>
  <c r="H49" i="5"/>
  <c r="J49" i="5"/>
  <c r="C44" i="5"/>
  <c r="F44" i="5"/>
  <c r="H44" i="5"/>
  <c r="D44" i="5"/>
  <c r="G44" i="5" s="1"/>
  <c r="J44" i="5"/>
  <c r="E44" i="5"/>
  <c r="I44" i="5"/>
  <c r="D43" i="5"/>
  <c r="I43" i="5" s="1"/>
  <c r="H43" i="5"/>
  <c r="J43" i="5"/>
  <c r="C43" i="5"/>
  <c r="F43" i="5"/>
  <c r="E43" i="5"/>
  <c r="G43" i="5"/>
  <c r="C42" i="5"/>
  <c r="H42" i="5"/>
  <c r="E42" i="5"/>
  <c r="J42" i="5"/>
  <c r="F42" i="5"/>
  <c r="D42" i="5"/>
  <c r="G42" i="5" s="1"/>
  <c r="I42" i="5"/>
  <c r="F41" i="5"/>
  <c r="H41" i="5"/>
  <c r="C41" i="5"/>
  <c r="E41" i="5"/>
  <c r="D41" i="5"/>
  <c r="J41" i="5"/>
  <c r="D38" i="5"/>
  <c r="H38" i="5"/>
  <c r="E38" i="5"/>
  <c r="J38" i="5"/>
  <c r="F38" i="5"/>
  <c r="C38" i="5"/>
  <c r="E37" i="5"/>
  <c r="J37" i="5"/>
  <c r="F37" i="5"/>
  <c r="H37" i="5"/>
  <c r="C37" i="5"/>
  <c r="D37" i="5"/>
  <c r="G37" i="5" s="1"/>
  <c r="I37" i="5"/>
  <c r="E33" i="5"/>
  <c r="D33" i="5"/>
  <c r="I33" i="5" s="1"/>
  <c r="F33" i="5"/>
  <c r="C33" i="5"/>
  <c r="G33" i="5"/>
  <c r="H33" i="5"/>
  <c r="J33" i="5"/>
  <c r="E32" i="5"/>
  <c r="D32" i="5"/>
  <c r="F32" i="5"/>
  <c r="I32" i="5"/>
  <c r="C32" i="5"/>
  <c r="J32" i="5"/>
  <c r="H32" i="5"/>
  <c r="G32" i="5"/>
  <c r="E20" i="5"/>
  <c r="H20" i="5"/>
  <c r="J20" i="5"/>
  <c r="C20" i="5"/>
  <c r="D20" i="5"/>
  <c r="G20" i="5" s="1"/>
  <c r="I20" i="5"/>
  <c r="F20" i="5"/>
  <c r="E17" i="5"/>
  <c r="D17" i="5"/>
  <c r="G17" i="5" s="1"/>
  <c r="F17" i="5"/>
  <c r="J17" i="5"/>
  <c r="C17" i="5"/>
  <c r="I17" i="5"/>
  <c r="H17" i="5"/>
  <c r="C12" i="5"/>
  <c r="F12" i="5"/>
  <c r="H12" i="5"/>
  <c r="E12" i="5"/>
  <c r="J12" i="5"/>
  <c r="D12" i="5"/>
  <c r="J140" i="4"/>
  <c r="K140" i="4"/>
  <c r="D140" i="4"/>
  <c r="F140" i="4"/>
  <c r="E140" i="4"/>
  <c r="M140" i="4"/>
  <c r="C140" i="4"/>
  <c r="G140" i="4"/>
  <c r="L140" i="4"/>
  <c r="F129" i="4"/>
  <c r="E129" i="4"/>
  <c r="K129" i="4"/>
  <c r="G129" i="4"/>
  <c r="M129" i="4"/>
  <c r="C129" i="4"/>
  <c r="D129" i="4"/>
  <c r="L129" i="4" s="1"/>
  <c r="J129" i="4"/>
  <c r="J127" i="4"/>
  <c r="F127" i="4"/>
  <c r="K127" i="4"/>
  <c r="C127" i="4"/>
  <c r="E127" i="4"/>
  <c r="G127" i="4"/>
  <c r="D127" i="4"/>
  <c r="L127" i="4" s="1"/>
  <c r="M127" i="4"/>
  <c r="E126" i="4"/>
  <c r="C126" i="4"/>
  <c r="J126" i="4"/>
  <c r="G126" i="4"/>
  <c r="F126" i="4"/>
  <c r="D126" i="4"/>
  <c r="K126" i="4"/>
  <c r="M126" i="4"/>
  <c r="L126" i="4"/>
  <c r="J103" i="4"/>
  <c r="F103" i="4"/>
  <c r="D103" i="4"/>
  <c r="L103" i="4" s="1"/>
  <c r="G103" i="4"/>
  <c r="E103" i="4"/>
  <c r="C103" i="4"/>
  <c r="K103" i="4"/>
  <c r="M103" i="4"/>
  <c r="F102" i="4"/>
  <c r="E102" i="4"/>
  <c r="D102" i="4"/>
  <c r="L102" i="4" s="1"/>
  <c r="M102" i="4"/>
  <c r="G102" i="4"/>
  <c r="C102" i="4"/>
  <c r="J102" i="4"/>
  <c r="K102" i="4"/>
  <c r="D95" i="4"/>
  <c r="L95" i="4" s="1"/>
  <c r="E95" i="4"/>
  <c r="C95" i="4"/>
  <c r="G95" i="4"/>
  <c r="K95" i="4"/>
  <c r="M95" i="4"/>
  <c r="F95" i="4"/>
  <c r="J95" i="4"/>
  <c r="F79" i="4"/>
  <c r="C79" i="4"/>
  <c r="M79" i="4"/>
  <c r="D79" i="4"/>
  <c r="L79" i="4" s="1"/>
  <c r="G79" i="4"/>
  <c r="J79" i="4"/>
  <c r="E79" i="4"/>
  <c r="K79" i="4"/>
  <c r="F76" i="4"/>
  <c r="J76" i="4"/>
  <c r="K76" i="4"/>
  <c r="M76" i="4"/>
  <c r="C76" i="4"/>
  <c r="D76" i="4"/>
  <c r="E76" i="4"/>
  <c r="L76" i="4"/>
  <c r="G76" i="4"/>
  <c r="F75" i="4"/>
  <c r="G75" i="4"/>
  <c r="E75" i="4"/>
  <c r="M75" i="4"/>
  <c r="C75" i="4"/>
  <c r="K75" i="4"/>
  <c r="D75" i="4"/>
  <c r="L75" i="4" s="1"/>
  <c r="J75" i="4"/>
  <c r="G74" i="4"/>
  <c r="E74" i="4"/>
  <c r="C74" i="4"/>
  <c r="F74" i="4"/>
  <c r="K74" i="4"/>
  <c r="D74" i="4"/>
  <c r="L74" i="4" s="1"/>
  <c r="J74" i="4"/>
  <c r="M74" i="4"/>
  <c r="J73" i="4"/>
  <c r="E73" i="4"/>
  <c r="K73" i="4"/>
  <c r="M73" i="4"/>
  <c r="G73" i="4"/>
  <c r="C73" i="4"/>
  <c r="D73" i="4"/>
  <c r="L73" i="4" s="1"/>
  <c r="F73" i="4"/>
  <c r="C53" i="5"/>
  <c r="D53" i="5"/>
  <c r="E53" i="5"/>
  <c r="F53" i="5"/>
  <c r="G53" i="5"/>
  <c r="H53" i="5"/>
  <c r="I53" i="5"/>
  <c r="J53" i="5"/>
  <c r="F51" i="5"/>
  <c r="D51" i="5"/>
  <c r="I51" i="5" s="1"/>
  <c r="C51" i="5"/>
  <c r="H51" i="5"/>
  <c r="J51" i="5"/>
  <c r="E51" i="5"/>
  <c r="G51" i="5"/>
  <c r="D39" i="5"/>
  <c r="E39" i="5"/>
  <c r="F39" i="5"/>
  <c r="J39" i="5"/>
  <c r="C39" i="5"/>
  <c r="H39" i="5"/>
  <c r="G39" i="5"/>
  <c r="I39" i="5"/>
  <c r="E35" i="5"/>
  <c r="J35" i="5"/>
  <c r="F35" i="5"/>
  <c r="H35" i="5"/>
  <c r="C35" i="5"/>
  <c r="D35" i="5"/>
  <c r="C28" i="5"/>
  <c r="J28" i="5"/>
  <c r="D28" i="5"/>
  <c r="F28" i="5"/>
  <c r="H28" i="5"/>
  <c r="E28" i="5"/>
  <c r="J26" i="5"/>
  <c r="D26" i="5"/>
  <c r="G26" i="5" s="1"/>
  <c r="C26" i="5"/>
  <c r="H26" i="5"/>
  <c r="F26" i="5"/>
  <c r="I26" i="5"/>
  <c r="E26" i="5"/>
  <c r="E16" i="5"/>
  <c r="C16" i="5"/>
  <c r="J16" i="5"/>
  <c r="D16" i="5"/>
  <c r="H16" i="5"/>
  <c r="F16" i="5"/>
  <c r="F138" i="4"/>
  <c r="J138" i="4"/>
  <c r="D138" i="4"/>
  <c r="L138" i="4" s="1"/>
  <c r="K138" i="4"/>
  <c r="G138" i="4"/>
  <c r="M138" i="4"/>
  <c r="E138" i="4"/>
  <c r="C138" i="4"/>
  <c r="D137" i="4"/>
  <c r="L137" i="4" s="1"/>
  <c r="G137" i="4"/>
  <c r="M137" i="4"/>
  <c r="E137" i="4"/>
  <c r="C137" i="4"/>
  <c r="F137" i="4"/>
  <c r="J137" i="4"/>
  <c r="K137" i="4"/>
  <c r="E136" i="4"/>
  <c r="J136" i="4"/>
  <c r="C136" i="4"/>
  <c r="F136" i="4"/>
  <c r="K136" i="4"/>
  <c r="D136" i="4"/>
  <c r="L136" i="4" s="1"/>
  <c r="G136" i="4"/>
  <c r="M136" i="4"/>
  <c r="K133" i="4"/>
  <c r="G133" i="4"/>
  <c r="M133" i="4"/>
  <c r="C133" i="4"/>
  <c r="E133" i="4"/>
  <c r="F133" i="4"/>
  <c r="D133" i="4"/>
  <c r="L133" i="4" s="1"/>
  <c r="J133" i="4"/>
  <c r="G131" i="4"/>
  <c r="D131" i="4"/>
  <c r="E131" i="4"/>
  <c r="F131" i="4"/>
  <c r="J131" i="4"/>
  <c r="C131" i="4"/>
  <c r="K131" i="4"/>
  <c r="M131" i="4"/>
  <c r="L131" i="4"/>
  <c r="E120" i="4"/>
  <c r="F120" i="4"/>
  <c r="K120" i="4"/>
  <c r="M120" i="4"/>
  <c r="D120" i="4"/>
  <c r="J120" i="4"/>
  <c r="C120" i="4"/>
  <c r="G120" i="4"/>
  <c r="L120" i="4"/>
  <c r="J118" i="4"/>
  <c r="D118" i="4"/>
  <c r="L118" i="4" s="1"/>
  <c r="M118" i="4"/>
  <c r="C118" i="4"/>
  <c r="K118" i="4"/>
  <c r="F118" i="4"/>
  <c r="G118" i="4"/>
  <c r="E118" i="4"/>
  <c r="J115" i="4"/>
  <c r="F115" i="4"/>
  <c r="K115" i="4"/>
  <c r="M115" i="4"/>
  <c r="G115" i="4"/>
  <c r="C115" i="4"/>
  <c r="E115" i="4"/>
  <c r="D115" i="4"/>
  <c r="L115" i="4" s="1"/>
  <c r="G110" i="4"/>
  <c r="K110" i="4"/>
  <c r="E110" i="4"/>
  <c r="M110" i="4"/>
  <c r="D110" i="4"/>
  <c r="J110" i="4"/>
  <c r="L110" i="4"/>
  <c r="C110" i="4"/>
  <c r="F110" i="4"/>
  <c r="K92" i="4"/>
  <c r="C92" i="4"/>
  <c r="D92" i="4"/>
  <c r="L92" i="4" s="1"/>
  <c r="M92" i="4"/>
  <c r="G92" i="4"/>
  <c r="E92" i="4"/>
  <c r="F92" i="4"/>
  <c r="J92" i="4"/>
  <c r="F88" i="4"/>
  <c r="C88" i="4"/>
  <c r="K88" i="4"/>
  <c r="M88" i="4"/>
  <c r="J88" i="4"/>
  <c r="D88" i="4"/>
  <c r="L88" i="4" s="1"/>
  <c r="E88" i="4"/>
  <c r="G88" i="4"/>
  <c r="J87" i="4"/>
  <c r="E87" i="4"/>
  <c r="C87" i="4"/>
  <c r="F87" i="4"/>
  <c r="K87" i="4"/>
  <c r="M87" i="4"/>
  <c r="D87" i="4"/>
  <c r="G87" i="4"/>
  <c r="L87" i="4"/>
  <c r="K82" i="4"/>
  <c r="E82" i="4"/>
  <c r="J82" i="4"/>
  <c r="M82" i="4"/>
  <c r="C82" i="4"/>
  <c r="G82" i="4"/>
  <c r="D82" i="4"/>
  <c r="L82" i="4" s="1"/>
  <c r="F82" i="4"/>
  <c r="G77" i="4"/>
  <c r="J77" i="4"/>
  <c r="E77" i="4"/>
  <c r="D77" i="4"/>
  <c r="L77" i="4" s="1"/>
  <c r="M77" i="4"/>
  <c r="C77" i="4"/>
  <c r="F77" i="4"/>
  <c r="K77" i="4"/>
  <c r="D208" i="5"/>
  <c r="H208" i="5"/>
  <c r="C208" i="5"/>
  <c r="I208" i="5"/>
  <c r="E208" i="5"/>
  <c r="G208" i="5"/>
  <c r="F208" i="5"/>
  <c r="J208" i="5"/>
  <c r="C206" i="5"/>
  <c r="J206" i="5"/>
  <c r="E206" i="5"/>
  <c r="H206" i="5"/>
  <c r="D206" i="5"/>
  <c r="G206" i="5" s="1"/>
  <c r="F206" i="5"/>
  <c r="I206" i="5"/>
  <c r="D48" i="5"/>
  <c r="I48" i="5" s="1"/>
  <c r="H48" i="5"/>
  <c r="F48" i="5"/>
  <c r="E48" i="5"/>
  <c r="G48" i="5"/>
  <c r="C48" i="5"/>
  <c r="J48" i="5"/>
  <c r="C47" i="5"/>
  <c r="E47" i="5"/>
  <c r="J47" i="5"/>
  <c r="D47" i="5"/>
  <c r="G47" i="5" s="1"/>
  <c r="F47" i="5"/>
  <c r="H47" i="5"/>
  <c r="I47" i="5"/>
  <c r="F34" i="5"/>
  <c r="C34" i="5"/>
  <c r="H34" i="5"/>
  <c r="E34" i="5"/>
  <c r="D34" i="5"/>
  <c r="J34" i="5"/>
  <c r="C30" i="5"/>
  <c r="E30" i="5"/>
  <c r="D30" i="5"/>
  <c r="I30" i="5" s="1"/>
  <c r="J30" i="5"/>
  <c r="G30" i="5"/>
  <c r="F30" i="5"/>
  <c r="H30" i="5"/>
  <c r="H29" i="5"/>
  <c r="C29" i="5"/>
  <c r="J29" i="5"/>
  <c r="F29" i="5"/>
  <c r="D29" i="5"/>
  <c r="E29" i="5"/>
  <c r="J27" i="5"/>
  <c r="E27" i="5"/>
  <c r="D27" i="5"/>
  <c r="G27" i="5" s="1"/>
  <c r="F27" i="5"/>
  <c r="H27" i="5"/>
  <c r="C27" i="5"/>
  <c r="I27" i="5"/>
  <c r="H24" i="5"/>
  <c r="J24" i="5"/>
  <c r="C24" i="5"/>
  <c r="D24" i="5"/>
  <c r="E24" i="5"/>
  <c r="F24" i="5"/>
  <c r="F15" i="5"/>
  <c r="H15" i="5"/>
  <c r="J15" i="5"/>
  <c r="C15" i="5"/>
  <c r="E15" i="5"/>
  <c r="D15" i="5"/>
  <c r="H13" i="5"/>
  <c r="C13" i="5"/>
  <c r="F13" i="5"/>
  <c r="E13" i="5"/>
  <c r="J13" i="5"/>
  <c r="D13" i="5"/>
  <c r="G13" i="5" s="1"/>
  <c r="I13" i="5"/>
  <c r="E143" i="4"/>
  <c r="F143" i="4"/>
  <c r="J143" i="4"/>
  <c r="D143" i="4"/>
  <c r="L143" i="4" s="1"/>
  <c r="G143" i="4"/>
  <c r="M143" i="4"/>
  <c r="C143" i="4"/>
  <c r="K143" i="4"/>
  <c r="D124" i="4"/>
  <c r="G124" i="4"/>
  <c r="K124" i="4"/>
  <c r="M124" i="4"/>
  <c r="E124" i="4"/>
  <c r="C124" i="4"/>
  <c r="F124" i="4"/>
  <c r="L124" i="4"/>
  <c r="J124" i="4"/>
  <c r="F113" i="4"/>
  <c r="D113" i="4"/>
  <c r="J113" i="4"/>
  <c r="K113" i="4"/>
  <c r="G113" i="4"/>
  <c r="M113" i="4"/>
  <c r="E113" i="4"/>
  <c r="L113" i="4"/>
  <c r="C113" i="4"/>
  <c r="G111" i="4"/>
  <c r="C111" i="4"/>
  <c r="E111" i="4"/>
  <c r="M111" i="4"/>
  <c r="D111" i="4"/>
  <c r="L111" i="4" s="1"/>
  <c r="F111" i="4"/>
  <c r="K111" i="4"/>
  <c r="J111" i="4"/>
  <c r="C108" i="4"/>
  <c r="E108" i="4"/>
  <c r="M108" i="4"/>
  <c r="K108" i="4"/>
  <c r="G108" i="4"/>
  <c r="D108" i="4"/>
  <c r="L108" i="4" s="1"/>
  <c r="F108" i="4"/>
  <c r="J108" i="4"/>
  <c r="F83" i="4"/>
  <c r="J83" i="4"/>
  <c r="C83" i="4"/>
  <c r="G83" i="4"/>
  <c r="M83" i="4"/>
  <c r="D83" i="4"/>
  <c r="L83" i="4"/>
  <c r="K83" i="4"/>
  <c r="E83" i="4"/>
  <c r="E78" i="4"/>
  <c r="M78" i="4"/>
  <c r="F78" i="4"/>
  <c r="C78" i="4"/>
  <c r="J78" i="4"/>
  <c r="G78" i="4"/>
  <c r="D78" i="4"/>
  <c r="L78" i="4" s="1"/>
  <c r="K78" i="4"/>
  <c r="F69" i="4"/>
  <c r="M69" i="4"/>
  <c r="E69" i="4"/>
  <c r="G69" i="4"/>
  <c r="D69" i="4"/>
  <c r="K69" i="4"/>
  <c r="J69" i="4"/>
  <c r="C69" i="4"/>
  <c r="L69" i="4"/>
  <c r="D209" i="5"/>
  <c r="I209" i="5" s="1"/>
  <c r="F209" i="5"/>
  <c r="E209" i="5"/>
  <c r="H209" i="5"/>
  <c r="C209" i="5"/>
  <c r="G209" i="5"/>
  <c r="J209" i="5"/>
  <c r="D46" i="5"/>
  <c r="I46" i="5" s="1"/>
  <c r="J46" i="5"/>
  <c r="E46" i="5"/>
  <c r="F46" i="5"/>
  <c r="C46" i="5"/>
  <c r="H46" i="5"/>
  <c r="G46" i="5"/>
  <c r="F31" i="5"/>
  <c r="C31" i="5"/>
  <c r="H31" i="5"/>
  <c r="J31" i="5"/>
  <c r="D31" i="5"/>
  <c r="G31" i="5" s="1"/>
  <c r="E31" i="5"/>
  <c r="I31" i="5"/>
  <c r="E25" i="5"/>
  <c r="D25" i="5"/>
  <c r="H25" i="5"/>
  <c r="C25" i="5"/>
  <c r="F25" i="5"/>
  <c r="J25" i="5"/>
  <c r="G25" i="5"/>
  <c r="I25" i="5"/>
  <c r="H21" i="5"/>
  <c r="D21" i="5"/>
  <c r="I21" i="5" s="1"/>
  <c r="E21" i="5"/>
  <c r="C21" i="5"/>
  <c r="J21" i="5"/>
  <c r="F21" i="5"/>
  <c r="G21" i="5"/>
  <c r="D19" i="5"/>
  <c r="H19" i="5"/>
  <c r="C19" i="5"/>
  <c r="F19" i="5"/>
  <c r="E19" i="5"/>
  <c r="J19" i="5"/>
  <c r="F10" i="5"/>
  <c r="H10" i="5"/>
  <c r="D10" i="5"/>
  <c r="I10" i="5" s="1"/>
  <c r="E10" i="5"/>
  <c r="J10" i="5"/>
  <c r="C10" i="5"/>
  <c r="G10" i="5"/>
  <c r="F145" i="4"/>
  <c r="C145" i="4"/>
  <c r="D145" i="4"/>
  <c r="L145" i="4" s="1"/>
  <c r="G145" i="4"/>
  <c r="K145" i="4"/>
  <c r="J145" i="4"/>
  <c r="M145" i="4"/>
  <c r="E145" i="4"/>
  <c r="F144" i="4"/>
  <c r="J144" i="4"/>
  <c r="C144" i="4"/>
  <c r="G144" i="4"/>
  <c r="K144" i="4"/>
  <c r="E144" i="4"/>
  <c r="D144" i="4"/>
  <c r="L144" i="4" s="1"/>
  <c r="M144" i="4"/>
  <c r="M139" i="4"/>
  <c r="D139" i="4"/>
  <c r="L139" i="4" s="1"/>
  <c r="J139" i="4"/>
  <c r="E139" i="4"/>
  <c r="F139" i="4"/>
  <c r="G139" i="4"/>
  <c r="C139" i="4"/>
  <c r="K139" i="4"/>
  <c r="F135" i="4"/>
  <c r="J135" i="4"/>
  <c r="D135" i="4"/>
  <c r="L135" i="4" s="1"/>
  <c r="C135" i="4"/>
  <c r="G135" i="4"/>
  <c r="K135" i="4"/>
  <c r="E135" i="4"/>
  <c r="M135" i="4"/>
  <c r="G125" i="4"/>
  <c r="K125" i="4"/>
  <c r="D125" i="4"/>
  <c r="M125" i="4"/>
  <c r="E125" i="4"/>
  <c r="C125" i="4"/>
  <c r="J125" i="4"/>
  <c r="F125" i="4"/>
  <c r="L125" i="4"/>
  <c r="F121" i="4"/>
  <c r="G121" i="4"/>
  <c r="J121" i="4"/>
  <c r="M121" i="4"/>
  <c r="C121" i="4"/>
  <c r="E121" i="4"/>
  <c r="D121" i="4"/>
  <c r="L121" i="4" s="1"/>
  <c r="K121" i="4"/>
  <c r="F114" i="4"/>
  <c r="J114" i="4"/>
  <c r="C114" i="4"/>
  <c r="G114" i="4"/>
  <c r="K114" i="4"/>
  <c r="M114" i="4"/>
  <c r="E114" i="4"/>
  <c r="D114" i="4"/>
  <c r="L114" i="4" s="1"/>
  <c r="K112" i="4"/>
  <c r="G112" i="4"/>
  <c r="E112" i="4"/>
  <c r="C112" i="4"/>
  <c r="F112" i="4"/>
  <c r="J112" i="4"/>
  <c r="D112" i="4"/>
  <c r="L112" i="4" s="1"/>
  <c r="M112" i="4"/>
  <c r="D105" i="4"/>
  <c r="L105" i="4" s="1"/>
  <c r="E105" i="4"/>
  <c r="C105" i="4"/>
  <c r="J105" i="4"/>
  <c r="K105" i="4"/>
  <c r="G105" i="4"/>
  <c r="M105" i="4"/>
  <c r="F105" i="4"/>
  <c r="D104" i="4"/>
  <c r="L104" i="4" s="1"/>
  <c r="G104" i="4"/>
  <c r="J104" i="4"/>
  <c r="M104" i="4"/>
  <c r="F104" i="4"/>
  <c r="C104" i="4"/>
  <c r="K104" i="4"/>
  <c r="E104" i="4"/>
  <c r="G100" i="4"/>
  <c r="D100" i="4"/>
  <c r="L100" i="4" s="1"/>
  <c r="C100" i="4"/>
  <c r="K100" i="4"/>
  <c r="F100" i="4"/>
  <c r="J100" i="4"/>
  <c r="E100" i="4"/>
  <c r="M100" i="4"/>
  <c r="J99" i="4"/>
  <c r="K99" i="4"/>
  <c r="M99" i="4"/>
  <c r="D99" i="4"/>
  <c r="L99" i="4" s="1"/>
  <c r="G99" i="4"/>
  <c r="C99" i="4"/>
  <c r="E99" i="4"/>
  <c r="F99" i="4"/>
  <c r="D94" i="4"/>
  <c r="K94" i="4"/>
  <c r="F94" i="4"/>
  <c r="M94" i="4"/>
  <c r="L94" i="4"/>
  <c r="E94" i="4"/>
  <c r="G94" i="4"/>
  <c r="J94" i="4"/>
  <c r="C94" i="4"/>
  <c r="C93" i="4"/>
  <c r="G93" i="4"/>
  <c r="M93" i="4"/>
  <c r="E93" i="4"/>
  <c r="K93" i="4"/>
  <c r="D93" i="4"/>
  <c r="L93" i="4" s="1"/>
  <c r="F93" i="4"/>
  <c r="J93" i="4"/>
  <c r="D86" i="4"/>
  <c r="C86" i="4"/>
  <c r="J86" i="4"/>
  <c r="E86" i="4"/>
  <c r="G86" i="4"/>
  <c r="K86" i="4"/>
  <c r="L86" i="4"/>
  <c r="M86" i="4"/>
  <c r="F86" i="4"/>
  <c r="E80" i="4"/>
  <c r="K80" i="4"/>
  <c r="D80" i="4"/>
  <c r="L80" i="4" s="1"/>
  <c r="G80" i="4"/>
  <c r="C80" i="4"/>
  <c r="M80" i="4"/>
  <c r="F80" i="4"/>
  <c r="J80" i="4"/>
  <c r="G72" i="4"/>
  <c r="C72" i="4"/>
  <c r="E72" i="4"/>
  <c r="F72" i="4"/>
  <c r="D72" i="4"/>
  <c r="L72" i="4" s="1"/>
  <c r="K72" i="4"/>
  <c r="M72" i="4"/>
  <c r="J72" i="4"/>
  <c r="F68" i="4"/>
  <c r="G68" i="4"/>
  <c r="M68" i="4"/>
  <c r="E68" i="4"/>
  <c r="J68" i="4"/>
  <c r="C68" i="4"/>
  <c r="D68" i="4"/>
  <c r="L68" i="4" s="1"/>
  <c r="K68" i="4"/>
  <c r="C45" i="5"/>
  <c r="H45" i="5"/>
  <c r="D45" i="5"/>
  <c r="E45" i="5"/>
  <c r="F45" i="5"/>
  <c r="J45" i="5"/>
  <c r="H36" i="5"/>
  <c r="E36" i="5"/>
  <c r="C36" i="5"/>
  <c r="F36" i="5"/>
  <c r="J36" i="5"/>
  <c r="D36" i="5"/>
  <c r="C23" i="5"/>
  <c r="E23" i="5"/>
  <c r="D23" i="5"/>
  <c r="H23" i="5"/>
  <c r="F23" i="5"/>
  <c r="J23" i="5"/>
  <c r="E14" i="5"/>
  <c r="J14" i="5"/>
  <c r="C14" i="5"/>
  <c r="D14" i="5"/>
  <c r="F14" i="5"/>
  <c r="H14" i="5"/>
  <c r="D11" i="5"/>
  <c r="E11" i="5"/>
  <c r="J11" i="5"/>
  <c r="F11" i="5"/>
  <c r="C11" i="5"/>
  <c r="H11" i="5"/>
  <c r="E132" i="4"/>
  <c r="M132" i="4"/>
  <c r="C132" i="4"/>
  <c r="J132" i="4"/>
  <c r="D132" i="4"/>
  <c r="L132" i="4" s="1"/>
  <c r="F132" i="4"/>
  <c r="K132" i="4"/>
  <c r="G132" i="4"/>
  <c r="F107" i="4"/>
  <c r="M107" i="4"/>
  <c r="K107" i="4"/>
  <c r="C107" i="4"/>
  <c r="E107" i="4"/>
  <c r="G107" i="4"/>
  <c r="J107" i="4"/>
  <c r="D107" i="4"/>
  <c r="L107" i="4" s="1"/>
  <c r="C84" i="4"/>
  <c r="M84" i="4"/>
  <c r="F84" i="4"/>
  <c r="D84" i="4"/>
  <c r="L84" i="4" s="1"/>
  <c r="J84" i="4"/>
  <c r="G84" i="4"/>
  <c r="E84" i="4"/>
  <c r="K84" i="4"/>
  <c r="C204" i="5"/>
  <c r="D204" i="5"/>
  <c r="E204" i="5"/>
  <c r="F204" i="5"/>
  <c r="G204" i="5"/>
  <c r="H204" i="5"/>
  <c r="I204" i="5"/>
  <c r="J204" i="5"/>
  <c r="C203" i="5"/>
  <c r="D203" i="5"/>
  <c r="G203" i="5" s="1"/>
  <c r="E203" i="5"/>
  <c r="F203" i="5"/>
  <c r="H203" i="5"/>
  <c r="I203" i="5"/>
  <c r="J203" i="5"/>
  <c r="C202" i="5"/>
  <c r="D202" i="5"/>
  <c r="E202" i="5"/>
  <c r="F202" i="5"/>
  <c r="H202" i="5"/>
  <c r="J202" i="5"/>
  <c r="C201" i="5"/>
  <c r="D201" i="5"/>
  <c r="E201" i="5"/>
  <c r="F201" i="5"/>
  <c r="H201" i="5"/>
  <c r="J201" i="5"/>
  <c r="C200" i="5"/>
  <c r="D200" i="5"/>
  <c r="E200" i="5"/>
  <c r="F200" i="5"/>
  <c r="G200" i="5"/>
  <c r="H200" i="5"/>
  <c r="I200" i="5"/>
  <c r="J200" i="5"/>
  <c r="C199" i="5"/>
  <c r="D199" i="5"/>
  <c r="E199" i="5"/>
  <c r="F199" i="5"/>
  <c r="G199" i="5"/>
  <c r="H199" i="5"/>
  <c r="I199" i="5"/>
  <c r="J199" i="5"/>
  <c r="C198" i="5"/>
  <c r="D198" i="5"/>
  <c r="E198" i="5"/>
  <c r="F198" i="5"/>
  <c r="G198" i="5"/>
  <c r="H198" i="5"/>
  <c r="I198" i="5"/>
  <c r="J198" i="5"/>
  <c r="C197" i="5"/>
  <c r="D197" i="5"/>
  <c r="E197" i="5"/>
  <c r="F197" i="5"/>
  <c r="G197" i="5"/>
  <c r="H197" i="5"/>
  <c r="I197" i="5"/>
  <c r="J197" i="5"/>
  <c r="C196" i="5"/>
  <c r="D196" i="5"/>
  <c r="E196" i="5"/>
  <c r="F196" i="5"/>
  <c r="G196" i="5"/>
  <c r="H196" i="5"/>
  <c r="I196" i="5"/>
  <c r="J196" i="5"/>
  <c r="C195" i="5"/>
  <c r="D195" i="5"/>
  <c r="E195" i="5"/>
  <c r="F195" i="5"/>
  <c r="G195" i="5"/>
  <c r="H195" i="5"/>
  <c r="I195" i="5"/>
  <c r="J195" i="5"/>
  <c r="C194" i="5"/>
  <c r="D194" i="5"/>
  <c r="E194" i="5"/>
  <c r="F194" i="5"/>
  <c r="G194" i="5"/>
  <c r="H194" i="5"/>
  <c r="I194" i="5"/>
  <c r="J194" i="5"/>
  <c r="C193" i="5"/>
  <c r="D193" i="5"/>
  <c r="E193" i="5"/>
  <c r="F193" i="5"/>
  <c r="G193" i="5"/>
  <c r="H193" i="5"/>
  <c r="I193" i="5"/>
  <c r="J193" i="5"/>
  <c r="C192" i="5"/>
  <c r="D192" i="5"/>
  <c r="G192" i="5" s="1"/>
  <c r="E192" i="5"/>
  <c r="F192" i="5"/>
  <c r="H192" i="5"/>
  <c r="I192" i="5"/>
  <c r="J192" i="5"/>
  <c r="C191" i="5"/>
  <c r="D191" i="5"/>
  <c r="E191" i="5"/>
  <c r="F191" i="5"/>
  <c r="G191" i="5"/>
  <c r="H191" i="5"/>
  <c r="I191" i="5"/>
  <c r="J191" i="5"/>
  <c r="C190" i="5"/>
  <c r="D190" i="5"/>
  <c r="E190" i="5"/>
  <c r="F190" i="5"/>
  <c r="G190" i="5"/>
  <c r="H190" i="5"/>
  <c r="I190" i="5"/>
  <c r="J190" i="5"/>
  <c r="C189" i="5"/>
  <c r="D189" i="5"/>
  <c r="E189" i="5"/>
  <c r="F189" i="5"/>
  <c r="G189" i="5"/>
  <c r="H189" i="5"/>
  <c r="I189" i="5"/>
  <c r="J189" i="5"/>
  <c r="C188" i="5"/>
  <c r="D188" i="5"/>
  <c r="E188" i="5"/>
  <c r="F188" i="5"/>
  <c r="G188" i="5"/>
  <c r="H188" i="5"/>
  <c r="I188" i="5"/>
  <c r="J188" i="5"/>
  <c r="C187" i="5"/>
  <c r="D187" i="5"/>
  <c r="E187" i="5"/>
  <c r="F187" i="5"/>
  <c r="G187" i="5"/>
  <c r="H187" i="5"/>
  <c r="I187" i="5"/>
  <c r="J187" i="5"/>
  <c r="C186" i="5"/>
  <c r="D186" i="5"/>
  <c r="E186" i="5"/>
  <c r="F186" i="5"/>
  <c r="G186" i="5"/>
  <c r="H186" i="5"/>
  <c r="I186" i="5"/>
  <c r="J186" i="5"/>
  <c r="C185" i="5"/>
  <c r="D185" i="5"/>
  <c r="G185" i="5" s="1"/>
  <c r="E185" i="5"/>
  <c r="F185" i="5"/>
  <c r="H185" i="5"/>
  <c r="I185" i="5"/>
  <c r="J185" i="5"/>
  <c r="C184" i="5"/>
  <c r="D184" i="5"/>
  <c r="E184" i="5"/>
  <c r="F184" i="5"/>
  <c r="G184" i="5"/>
  <c r="H184" i="5"/>
  <c r="I184" i="5"/>
  <c r="J184" i="5"/>
  <c r="C183" i="5"/>
  <c r="D183" i="5"/>
  <c r="G183" i="5" s="1"/>
  <c r="E183" i="5"/>
  <c r="F183" i="5"/>
  <c r="H183" i="5"/>
  <c r="I183" i="5"/>
  <c r="J183" i="5"/>
  <c r="C182" i="5"/>
  <c r="D182" i="5"/>
  <c r="E182" i="5"/>
  <c r="F182" i="5"/>
  <c r="H182" i="5"/>
  <c r="J182" i="5"/>
  <c r="C181" i="5"/>
  <c r="D181" i="5"/>
  <c r="E181" i="5"/>
  <c r="F181" i="5"/>
  <c r="G181" i="5"/>
  <c r="H181" i="5"/>
  <c r="I181" i="5"/>
  <c r="J181" i="5"/>
  <c r="C180" i="5"/>
  <c r="D180" i="5"/>
  <c r="E180" i="5"/>
  <c r="F180" i="5"/>
  <c r="G180" i="5"/>
  <c r="H180" i="5"/>
  <c r="I180" i="5"/>
  <c r="J180" i="5"/>
  <c r="C179" i="5"/>
  <c r="D179" i="5"/>
  <c r="E179" i="5"/>
  <c r="F179" i="5"/>
  <c r="G179" i="5"/>
  <c r="H179" i="5"/>
  <c r="I179" i="5"/>
  <c r="J179" i="5"/>
  <c r="C178" i="5"/>
  <c r="D178" i="5"/>
  <c r="E178" i="5"/>
  <c r="F178" i="5"/>
  <c r="G178" i="5"/>
  <c r="H178" i="5"/>
  <c r="I178" i="5"/>
  <c r="J178" i="5"/>
  <c r="C177" i="5"/>
  <c r="D177" i="5"/>
  <c r="E177" i="5"/>
  <c r="F177" i="5"/>
  <c r="G177" i="5"/>
  <c r="H177" i="5"/>
  <c r="I177" i="5"/>
  <c r="J177" i="5"/>
  <c r="C176" i="5"/>
  <c r="D176" i="5"/>
  <c r="E176" i="5"/>
  <c r="F176" i="5"/>
  <c r="G176" i="5"/>
  <c r="H176" i="5"/>
  <c r="I176" i="5"/>
  <c r="J176" i="5"/>
  <c r="C175" i="5"/>
  <c r="D175" i="5"/>
  <c r="E175" i="5"/>
  <c r="F175" i="5"/>
  <c r="G175" i="5"/>
  <c r="H175" i="5"/>
  <c r="I175" i="5"/>
  <c r="J175" i="5"/>
  <c r="C174" i="5"/>
  <c r="D174" i="5"/>
  <c r="E174" i="5"/>
  <c r="F174" i="5"/>
  <c r="G174" i="5"/>
  <c r="H174" i="5"/>
  <c r="I174" i="5"/>
  <c r="J174" i="5"/>
  <c r="C173" i="5"/>
  <c r="D173" i="5"/>
  <c r="E173" i="5"/>
  <c r="F173" i="5"/>
  <c r="G173" i="5"/>
  <c r="H173" i="5"/>
  <c r="I173" i="5"/>
  <c r="J173" i="5"/>
  <c r="C172" i="5"/>
  <c r="D172" i="5"/>
  <c r="E172" i="5"/>
  <c r="F172" i="5"/>
  <c r="G172" i="5"/>
  <c r="H172" i="5"/>
  <c r="I172" i="5"/>
  <c r="J172" i="5"/>
  <c r="C171" i="5"/>
  <c r="D171" i="5"/>
  <c r="E171" i="5"/>
  <c r="F171" i="5"/>
  <c r="G171" i="5"/>
  <c r="H171" i="5"/>
  <c r="I171" i="5"/>
  <c r="J171" i="5"/>
  <c r="C170" i="5"/>
  <c r="D170" i="5"/>
  <c r="E170" i="5"/>
  <c r="F170" i="5"/>
  <c r="G170" i="5"/>
  <c r="H170" i="5"/>
  <c r="I170" i="5"/>
  <c r="J170" i="5"/>
  <c r="C169" i="5"/>
  <c r="D169" i="5"/>
  <c r="E169" i="5"/>
  <c r="F169" i="5"/>
  <c r="G169" i="5"/>
  <c r="H169" i="5"/>
  <c r="I169" i="5"/>
  <c r="J169" i="5"/>
  <c r="C168" i="5"/>
  <c r="D168" i="5"/>
  <c r="I168" i="5" s="1"/>
  <c r="E168" i="5"/>
  <c r="F168" i="5"/>
  <c r="G168" i="5"/>
  <c r="H168" i="5"/>
  <c r="J168" i="5"/>
  <c r="C167" i="5"/>
  <c r="D167" i="5"/>
  <c r="E167" i="5"/>
  <c r="F167" i="5"/>
  <c r="G167" i="5"/>
  <c r="H167" i="5"/>
  <c r="I167" i="5"/>
  <c r="J167" i="5"/>
  <c r="C166" i="5"/>
  <c r="D166" i="5"/>
  <c r="E166" i="5"/>
  <c r="F166" i="5"/>
  <c r="H166" i="5"/>
  <c r="J166" i="5"/>
  <c r="C165" i="5"/>
  <c r="D165" i="5"/>
  <c r="E165" i="5"/>
  <c r="F165" i="5"/>
  <c r="G165" i="5"/>
  <c r="H165" i="5"/>
  <c r="I165" i="5"/>
  <c r="J165" i="5"/>
  <c r="C164" i="5"/>
  <c r="D164" i="5"/>
  <c r="E164" i="5"/>
  <c r="F164" i="5"/>
  <c r="G164" i="5"/>
  <c r="H164" i="5"/>
  <c r="I164" i="5"/>
  <c r="J164" i="5"/>
  <c r="C163" i="5"/>
  <c r="D163" i="5"/>
  <c r="E163" i="5"/>
  <c r="F163" i="5"/>
  <c r="G163" i="5"/>
  <c r="H163" i="5"/>
  <c r="I163" i="5"/>
  <c r="J163" i="5"/>
  <c r="C162" i="5"/>
  <c r="D162" i="5"/>
  <c r="E162" i="5"/>
  <c r="F162" i="5"/>
  <c r="G162" i="5"/>
  <c r="H162" i="5"/>
  <c r="I162" i="5"/>
  <c r="J162" i="5"/>
  <c r="C161" i="5"/>
  <c r="D161" i="5"/>
  <c r="E161" i="5"/>
  <c r="F161" i="5"/>
  <c r="G161" i="5"/>
  <c r="H161" i="5"/>
  <c r="I161" i="5"/>
  <c r="J161" i="5"/>
  <c r="C160" i="5"/>
  <c r="D160" i="5"/>
  <c r="E160" i="5"/>
  <c r="F160" i="5"/>
  <c r="G160" i="5"/>
  <c r="H160" i="5"/>
  <c r="I160" i="5"/>
  <c r="J160" i="5"/>
  <c r="C159" i="5"/>
  <c r="D159" i="5"/>
  <c r="E159" i="5"/>
  <c r="F159" i="5"/>
  <c r="G159" i="5"/>
  <c r="H159" i="5"/>
  <c r="I159" i="5"/>
  <c r="J159" i="5"/>
  <c r="C158" i="5"/>
  <c r="D158" i="5"/>
  <c r="E158" i="5"/>
  <c r="F158" i="5"/>
  <c r="G158" i="5"/>
  <c r="H158" i="5"/>
  <c r="I158" i="5"/>
  <c r="J158" i="5"/>
  <c r="C157" i="5"/>
  <c r="D157" i="5"/>
  <c r="E157" i="5"/>
  <c r="F157" i="5"/>
  <c r="G157" i="5"/>
  <c r="H157" i="5"/>
  <c r="I157" i="5"/>
  <c r="J157" i="5"/>
  <c r="C156" i="5"/>
  <c r="D156" i="5"/>
  <c r="E156" i="5"/>
  <c r="F156" i="5"/>
  <c r="G156" i="5"/>
  <c r="H156" i="5"/>
  <c r="I156" i="5"/>
  <c r="J156" i="5"/>
  <c r="C155" i="5"/>
  <c r="D155" i="5"/>
  <c r="E155" i="5"/>
  <c r="F155" i="5"/>
  <c r="G155" i="5"/>
  <c r="H155" i="5"/>
  <c r="I155" i="5"/>
  <c r="J155" i="5"/>
  <c r="C154" i="5"/>
  <c r="D154" i="5"/>
  <c r="E154" i="5"/>
  <c r="F154" i="5"/>
  <c r="G154" i="5"/>
  <c r="H154" i="5"/>
  <c r="I154" i="5"/>
  <c r="J154" i="5"/>
  <c r="C153" i="5"/>
  <c r="D153" i="5"/>
  <c r="E153" i="5"/>
  <c r="F153" i="5"/>
  <c r="G153" i="5"/>
  <c r="H153" i="5"/>
  <c r="I153" i="5"/>
  <c r="J153" i="5"/>
  <c r="C152" i="5"/>
  <c r="D152" i="5"/>
  <c r="E152" i="5"/>
  <c r="F152" i="5"/>
  <c r="G152" i="5"/>
  <c r="H152" i="5"/>
  <c r="I152" i="5"/>
  <c r="J152" i="5"/>
  <c r="C151" i="5"/>
  <c r="D151" i="5"/>
  <c r="E151" i="5"/>
  <c r="F151" i="5"/>
  <c r="G151" i="5"/>
  <c r="H151" i="5"/>
  <c r="I151" i="5"/>
  <c r="J151" i="5"/>
  <c r="C150" i="5"/>
  <c r="D150" i="5"/>
  <c r="E150" i="5"/>
  <c r="F150" i="5"/>
  <c r="G150" i="5"/>
  <c r="H150" i="5"/>
  <c r="I150" i="5"/>
  <c r="J150" i="5"/>
  <c r="C149" i="5"/>
  <c r="D149" i="5"/>
  <c r="E149" i="5"/>
  <c r="F149" i="5"/>
  <c r="G149" i="5"/>
  <c r="H149" i="5"/>
  <c r="I149" i="5"/>
  <c r="J149" i="5"/>
  <c r="C148" i="5"/>
  <c r="D148" i="5"/>
  <c r="I148" i="5" s="1"/>
  <c r="E148" i="5"/>
  <c r="F148" i="5"/>
  <c r="G148" i="5"/>
  <c r="H148" i="5"/>
  <c r="J148" i="5"/>
  <c r="C147" i="5"/>
  <c r="D147" i="5"/>
  <c r="E147" i="5"/>
  <c r="F147" i="5"/>
  <c r="G147" i="5"/>
  <c r="H147" i="5"/>
  <c r="I147" i="5"/>
  <c r="J147" i="5"/>
  <c r="C146" i="5"/>
  <c r="D146" i="5"/>
  <c r="E146" i="5"/>
  <c r="F146" i="5"/>
  <c r="H146" i="5"/>
  <c r="J146" i="5"/>
  <c r="C145" i="5"/>
  <c r="D145" i="5"/>
  <c r="E145" i="5"/>
  <c r="F145" i="5"/>
  <c r="G145" i="5"/>
  <c r="H145" i="5"/>
  <c r="I145" i="5"/>
  <c r="J145" i="5"/>
  <c r="C144" i="5"/>
  <c r="D144" i="5"/>
  <c r="E144" i="5"/>
  <c r="F144" i="5"/>
  <c r="G144" i="5"/>
  <c r="H144" i="5"/>
  <c r="I144" i="5"/>
  <c r="J144" i="5"/>
  <c r="C143" i="5"/>
  <c r="D143" i="5"/>
  <c r="E143" i="5"/>
  <c r="F143" i="5"/>
  <c r="G143" i="5"/>
  <c r="H143" i="5"/>
  <c r="I143" i="5"/>
  <c r="J143" i="5"/>
  <c r="C142" i="5"/>
  <c r="D142" i="5"/>
  <c r="E142" i="5"/>
  <c r="F142" i="5"/>
  <c r="G142" i="5"/>
  <c r="H142" i="5"/>
  <c r="I142" i="5"/>
  <c r="J142" i="5"/>
  <c r="C141" i="5"/>
  <c r="D141" i="5"/>
  <c r="E141" i="5"/>
  <c r="F141" i="5"/>
  <c r="G141" i="5"/>
  <c r="H141" i="5"/>
  <c r="I141" i="5"/>
  <c r="J141" i="5"/>
  <c r="C140" i="5"/>
  <c r="D140" i="5"/>
  <c r="E140" i="5"/>
  <c r="F140" i="5"/>
  <c r="G140" i="5"/>
  <c r="H140" i="5"/>
  <c r="I140" i="5"/>
  <c r="J140" i="5"/>
  <c r="C139" i="5"/>
  <c r="D139" i="5"/>
  <c r="E139" i="5"/>
  <c r="F139" i="5"/>
  <c r="G139" i="5"/>
  <c r="H139" i="5"/>
  <c r="I139" i="5"/>
  <c r="J139" i="5"/>
  <c r="C138" i="5"/>
  <c r="D138" i="5"/>
  <c r="E138" i="5"/>
  <c r="F138" i="5"/>
  <c r="G138" i="5"/>
  <c r="H138" i="5"/>
  <c r="I138" i="5"/>
  <c r="J138" i="5"/>
  <c r="C137" i="5"/>
  <c r="D137" i="5"/>
  <c r="E137" i="5"/>
  <c r="F137" i="5"/>
  <c r="G137" i="5"/>
  <c r="H137" i="5"/>
  <c r="I137" i="5"/>
  <c r="J137" i="5"/>
  <c r="C136" i="5"/>
  <c r="D136" i="5"/>
  <c r="E136" i="5"/>
  <c r="F136" i="5"/>
  <c r="G136" i="5"/>
  <c r="H136" i="5"/>
  <c r="I136" i="5"/>
  <c r="J136" i="5"/>
  <c r="C135" i="5"/>
  <c r="D135" i="5"/>
  <c r="E135" i="5"/>
  <c r="F135" i="5"/>
  <c r="G135" i="5"/>
  <c r="H135" i="5"/>
  <c r="I135" i="5"/>
  <c r="J135" i="5"/>
  <c r="C134" i="5"/>
  <c r="D134" i="5"/>
  <c r="E134" i="5"/>
  <c r="F134" i="5"/>
  <c r="G134" i="5"/>
  <c r="H134" i="5"/>
  <c r="I134" i="5"/>
  <c r="J134" i="5"/>
  <c r="C133" i="5"/>
  <c r="D133" i="5"/>
  <c r="E133" i="5"/>
  <c r="F133" i="5"/>
  <c r="G133" i="5"/>
  <c r="H133" i="5"/>
  <c r="I133" i="5"/>
  <c r="J133" i="5"/>
  <c r="C132" i="5"/>
  <c r="D132" i="5"/>
  <c r="E132" i="5"/>
  <c r="F132" i="5"/>
  <c r="G132" i="5"/>
  <c r="H132" i="5"/>
  <c r="I132" i="5"/>
  <c r="J132" i="5"/>
  <c r="C131" i="5"/>
  <c r="D131" i="5"/>
  <c r="E131" i="5"/>
  <c r="F131" i="5"/>
  <c r="G131" i="5"/>
  <c r="H131" i="5"/>
  <c r="I131" i="5"/>
  <c r="J131" i="5"/>
  <c r="C130" i="5"/>
  <c r="D130" i="5"/>
  <c r="E130" i="5"/>
  <c r="F130" i="5"/>
  <c r="G130" i="5"/>
  <c r="H130" i="5"/>
  <c r="I130" i="5"/>
  <c r="J130" i="5"/>
  <c r="C129" i="5"/>
  <c r="D129" i="5"/>
  <c r="E129" i="5"/>
  <c r="F129" i="5"/>
  <c r="H129" i="5"/>
  <c r="J129" i="5"/>
  <c r="C128" i="5"/>
  <c r="D128" i="5"/>
  <c r="E128" i="5"/>
  <c r="F128" i="5"/>
  <c r="G128" i="5"/>
  <c r="H128" i="5"/>
  <c r="I128" i="5"/>
  <c r="J128" i="5"/>
  <c r="C127" i="5"/>
  <c r="D127" i="5"/>
  <c r="E127" i="5"/>
  <c r="F127" i="5"/>
  <c r="H127" i="5"/>
  <c r="J127" i="5"/>
  <c r="C126" i="5"/>
  <c r="D126" i="5"/>
  <c r="E126" i="5"/>
  <c r="F126" i="5"/>
  <c r="G126" i="5"/>
  <c r="H126" i="5"/>
  <c r="I126" i="5"/>
  <c r="J126" i="5"/>
  <c r="C125" i="5"/>
  <c r="D125" i="5"/>
  <c r="G125" i="5" s="1"/>
  <c r="E125" i="5"/>
  <c r="F125" i="5"/>
  <c r="H125" i="5"/>
  <c r="I125" i="5"/>
  <c r="J125" i="5"/>
  <c r="C124" i="5"/>
  <c r="D124" i="5"/>
  <c r="E124" i="5"/>
  <c r="F124" i="5"/>
  <c r="G124" i="5"/>
  <c r="H124" i="5"/>
  <c r="I124" i="5"/>
  <c r="J124" i="5"/>
  <c r="C123" i="5"/>
  <c r="D123" i="5"/>
  <c r="E123" i="5"/>
  <c r="F123" i="5"/>
  <c r="G123" i="5"/>
  <c r="H123" i="5"/>
  <c r="I123" i="5"/>
  <c r="J123" i="5"/>
  <c r="C122" i="5"/>
  <c r="D122" i="5"/>
  <c r="G122" i="5" s="1"/>
  <c r="E122" i="5"/>
  <c r="F122" i="5"/>
  <c r="H122" i="5"/>
  <c r="I122" i="5"/>
  <c r="J122" i="5"/>
  <c r="C121" i="5"/>
  <c r="D121" i="5"/>
  <c r="E121" i="5"/>
  <c r="F121" i="5"/>
  <c r="G121" i="5"/>
  <c r="H121" i="5"/>
  <c r="I121" i="5"/>
  <c r="J121" i="5"/>
  <c r="C120" i="5"/>
  <c r="D120" i="5"/>
  <c r="G120" i="5" s="1"/>
  <c r="E120" i="5"/>
  <c r="F120" i="5"/>
  <c r="H120" i="5"/>
  <c r="I120" i="5"/>
  <c r="J120" i="5"/>
  <c r="C119" i="5"/>
  <c r="D119" i="5"/>
  <c r="E119" i="5"/>
  <c r="F119" i="5"/>
  <c r="G119" i="5"/>
  <c r="H119" i="5"/>
  <c r="I119" i="5"/>
  <c r="J119" i="5"/>
  <c r="C118" i="5"/>
  <c r="D118" i="5"/>
  <c r="E118" i="5"/>
  <c r="F118" i="5"/>
  <c r="G118" i="5"/>
  <c r="H118" i="5"/>
  <c r="I118" i="5"/>
  <c r="J118" i="5"/>
  <c r="C117" i="5"/>
  <c r="D117" i="5"/>
  <c r="E117" i="5"/>
  <c r="F117" i="5"/>
  <c r="G117" i="5"/>
  <c r="H117" i="5"/>
  <c r="I117" i="5"/>
  <c r="J117" i="5"/>
  <c r="C116" i="5"/>
  <c r="D116" i="5"/>
  <c r="E116" i="5"/>
  <c r="F116" i="5"/>
  <c r="G116" i="5"/>
  <c r="H116" i="5"/>
  <c r="I116" i="5"/>
  <c r="J116" i="5"/>
  <c r="C115" i="5"/>
  <c r="D115" i="5"/>
  <c r="G115" i="5" s="1"/>
  <c r="E115" i="5"/>
  <c r="F115" i="5"/>
  <c r="H115" i="5"/>
  <c r="I115" i="5"/>
  <c r="J115" i="5"/>
  <c r="C114" i="5"/>
  <c r="D114" i="5"/>
  <c r="E114" i="5"/>
  <c r="F114" i="5"/>
  <c r="G114" i="5"/>
  <c r="H114" i="5"/>
  <c r="I114" i="5"/>
  <c r="J114" i="5"/>
  <c r="C113" i="5"/>
  <c r="D113" i="5"/>
  <c r="G113" i="5" s="1"/>
  <c r="E113" i="5"/>
  <c r="F113" i="5"/>
  <c r="H113" i="5"/>
  <c r="I113" i="5"/>
  <c r="J113" i="5"/>
  <c r="C112" i="5"/>
  <c r="D112" i="5"/>
  <c r="G112" i="5" s="1"/>
  <c r="E112" i="5"/>
  <c r="F112" i="5"/>
  <c r="H112" i="5"/>
  <c r="I112" i="5"/>
  <c r="J112" i="5"/>
  <c r="C111" i="5"/>
  <c r="D111" i="5"/>
  <c r="G111" i="5" s="1"/>
  <c r="E111" i="5"/>
  <c r="F111" i="5"/>
  <c r="H111" i="5"/>
  <c r="I111" i="5"/>
  <c r="J111" i="5"/>
  <c r="C110" i="5"/>
  <c r="D110" i="5"/>
  <c r="E110" i="5"/>
  <c r="F110" i="5"/>
  <c r="G110" i="5"/>
  <c r="H110" i="5"/>
  <c r="I110" i="5"/>
  <c r="J110" i="5"/>
  <c r="C109" i="5"/>
  <c r="D109" i="5"/>
  <c r="E109" i="5"/>
  <c r="F109" i="5"/>
  <c r="G109" i="5"/>
  <c r="H109" i="5"/>
  <c r="I109" i="5"/>
  <c r="J109" i="5"/>
  <c r="C108" i="5"/>
  <c r="D108" i="5"/>
  <c r="E108" i="5"/>
  <c r="F108" i="5"/>
  <c r="G108" i="5"/>
  <c r="H108" i="5"/>
  <c r="I108" i="5"/>
  <c r="J108" i="5"/>
  <c r="C107" i="5"/>
  <c r="D107" i="5"/>
  <c r="E107" i="5"/>
  <c r="F107" i="5"/>
  <c r="H107" i="5"/>
  <c r="J107" i="5"/>
  <c r="C106" i="5"/>
  <c r="D106" i="5"/>
  <c r="E106" i="5"/>
  <c r="F106" i="5"/>
  <c r="H106" i="5"/>
  <c r="J106" i="5"/>
  <c r="C105" i="5"/>
  <c r="D105" i="5"/>
  <c r="E105" i="5"/>
  <c r="F105" i="5"/>
  <c r="G105" i="5"/>
  <c r="H105" i="5"/>
  <c r="I105" i="5"/>
  <c r="J105" i="5"/>
  <c r="C104" i="5"/>
  <c r="D104" i="5"/>
  <c r="E104" i="5"/>
  <c r="F104" i="5"/>
  <c r="G104" i="5"/>
  <c r="H104" i="5"/>
  <c r="I104" i="5"/>
  <c r="J104" i="5"/>
  <c r="C103" i="5"/>
  <c r="D103" i="5"/>
  <c r="E103" i="5"/>
  <c r="F103" i="5"/>
  <c r="G103" i="5"/>
  <c r="H103" i="5"/>
  <c r="I103" i="5"/>
  <c r="J103" i="5"/>
  <c r="C102" i="5"/>
  <c r="D102" i="5"/>
  <c r="E102" i="5"/>
  <c r="F102" i="5"/>
  <c r="G102" i="5"/>
  <c r="H102" i="5"/>
  <c r="I102" i="5"/>
  <c r="J102" i="5"/>
  <c r="C101" i="5"/>
  <c r="D101" i="5"/>
  <c r="E101" i="5"/>
  <c r="F101" i="5"/>
  <c r="G101" i="5"/>
  <c r="H101" i="5"/>
  <c r="I101" i="5"/>
  <c r="J101" i="5"/>
  <c r="C100" i="5"/>
  <c r="D100" i="5"/>
  <c r="G100" i="5" s="1"/>
  <c r="E100" i="5"/>
  <c r="F100" i="5"/>
  <c r="H100" i="5"/>
  <c r="I100" i="5"/>
  <c r="J100" i="5"/>
  <c r="C99" i="5"/>
  <c r="D99" i="5"/>
  <c r="E99" i="5"/>
  <c r="F99" i="5"/>
  <c r="G99" i="5"/>
  <c r="H99" i="5"/>
  <c r="I99" i="5"/>
  <c r="J99" i="5"/>
  <c r="C98" i="5"/>
  <c r="D98" i="5"/>
  <c r="G98" i="5" s="1"/>
  <c r="E98" i="5"/>
  <c r="F98" i="5"/>
  <c r="H98" i="5"/>
  <c r="I98" i="5"/>
  <c r="J98" i="5"/>
  <c r="C97" i="5"/>
  <c r="D97" i="5"/>
  <c r="G97" i="5" s="1"/>
  <c r="E97" i="5"/>
  <c r="F97" i="5"/>
  <c r="H97" i="5"/>
  <c r="I97" i="5"/>
  <c r="J97" i="5"/>
  <c r="C96" i="5"/>
  <c r="D96" i="5"/>
  <c r="E96" i="5"/>
  <c r="F96" i="5"/>
  <c r="G96" i="5"/>
  <c r="H96" i="5"/>
  <c r="I96" i="5"/>
  <c r="J96" i="5"/>
  <c r="C95" i="5"/>
  <c r="D95" i="5"/>
  <c r="E95" i="5"/>
  <c r="F95" i="5"/>
  <c r="G95" i="5"/>
  <c r="H95" i="5"/>
  <c r="I95" i="5"/>
  <c r="J95" i="5"/>
  <c r="C94" i="5"/>
  <c r="D94" i="5"/>
  <c r="E94" i="5"/>
  <c r="F94" i="5"/>
  <c r="G94" i="5"/>
  <c r="H94" i="5"/>
  <c r="I94" i="5"/>
  <c r="J94" i="5"/>
  <c r="C93" i="5"/>
  <c r="D93" i="5"/>
  <c r="E93" i="5"/>
  <c r="F93" i="5"/>
  <c r="H93" i="5"/>
  <c r="J93" i="5"/>
  <c r="C92" i="5"/>
  <c r="D92" i="5"/>
  <c r="G92" i="5" s="1"/>
  <c r="E92" i="5"/>
  <c r="F92" i="5"/>
  <c r="H92" i="5"/>
  <c r="I92" i="5"/>
  <c r="J92" i="5"/>
  <c r="C91" i="5"/>
  <c r="D91" i="5"/>
  <c r="G91" i="5" s="1"/>
  <c r="E91" i="5"/>
  <c r="F91" i="5"/>
  <c r="H91" i="5"/>
  <c r="I91" i="5"/>
  <c r="J91" i="5"/>
  <c r="C90" i="5"/>
  <c r="D90" i="5"/>
  <c r="E90" i="5"/>
  <c r="F90" i="5"/>
  <c r="G90" i="5"/>
  <c r="H90" i="5"/>
  <c r="I90" i="5"/>
  <c r="J90" i="5"/>
  <c r="C89" i="5"/>
  <c r="D89" i="5"/>
  <c r="E89" i="5"/>
  <c r="F89" i="5"/>
  <c r="H89" i="5"/>
  <c r="J89" i="5"/>
  <c r="C88" i="5"/>
  <c r="D88" i="5"/>
  <c r="E88" i="5"/>
  <c r="F88" i="5"/>
  <c r="H88" i="5"/>
  <c r="J88" i="5"/>
  <c r="C87" i="5"/>
  <c r="D87" i="5"/>
  <c r="E87" i="5"/>
  <c r="F87" i="5"/>
  <c r="H87" i="5"/>
  <c r="J87" i="5"/>
  <c r="C86" i="5"/>
  <c r="D86" i="5"/>
  <c r="G86" i="5" s="1"/>
  <c r="E86" i="5"/>
  <c r="F86" i="5"/>
  <c r="H86" i="5"/>
  <c r="I86" i="5"/>
  <c r="J86" i="5"/>
  <c r="C85" i="5"/>
  <c r="D85" i="5"/>
  <c r="G85" i="5" s="1"/>
  <c r="E85" i="5"/>
  <c r="F85" i="5"/>
  <c r="H85" i="5"/>
  <c r="I85" i="5"/>
  <c r="J85" i="5"/>
  <c r="C84" i="5"/>
  <c r="D84" i="5"/>
  <c r="G84" i="5" s="1"/>
  <c r="E84" i="5"/>
  <c r="F84" i="5"/>
  <c r="H84" i="5"/>
  <c r="I84" i="5"/>
  <c r="J84" i="5"/>
  <c r="C83" i="5"/>
  <c r="D83" i="5"/>
  <c r="G83" i="5" s="1"/>
  <c r="E83" i="5"/>
  <c r="F83" i="5"/>
  <c r="H83" i="5"/>
  <c r="I83" i="5"/>
  <c r="J83" i="5"/>
  <c r="C82" i="5"/>
  <c r="D82" i="5"/>
  <c r="E82" i="5"/>
  <c r="F82" i="5"/>
  <c r="H82" i="5"/>
  <c r="J82" i="5"/>
  <c r="C81" i="5"/>
  <c r="D81" i="5"/>
  <c r="E81" i="5"/>
  <c r="F81" i="5"/>
  <c r="G81" i="5"/>
  <c r="H81" i="5"/>
  <c r="I81" i="5"/>
  <c r="J81" i="5"/>
  <c r="C80" i="5"/>
  <c r="D80" i="5"/>
  <c r="E80" i="5"/>
  <c r="F80" i="5"/>
  <c r="G80" i="5"/>
  <c r="H80" i="5"/>
  <c r="I80" i="5"/>
  <c r="J80" i="5"/>
  <c r="C79" i="5"/>
  <c r="D79" i="5"/>
  <c r="E79" i="5"/>
  <c r="F79" i="5"/>
  <c r="H79" i="5"/>
  <c r="J79" i="5"/>
  <c r="C78" i="5"/>
  <c r="D78" i="5"/>
  <c r="E78" i="5"/>
  <c r="F78" i="5"/>
  <c r="H78" i="5"/>
  <c r="J78" i="5"/>
  <c r="C77" i="5"/>
  <c r="D77" i="5"/>
  <c r="E77" i="5"/>
  <c r="F77" i="5"/>
  <c r="H77" i="5"/>
  <c r="J77" i="5"/>
  <c r="C76" i="5"/>
  <c r="D76" i="5"/>
  <c r="E76" i="5"/>
  <c r="F76" i="5"/>
  <c r="H76" i="5"/>
  <c r="J76" i="5"/>
  <c r="C75" i="5"/>
  <c r="D75" i="5"/>
  <c r="G75" i="5" s="1"/>
  <c r="E75" i="5"/>
  <c r="F75" i="5"/>
  <c r="H75" i="5"/>
  <c r="I75" i="5"/>
  <c r="J75" i="5"/>
  <c r="C74" i="5"/>
  <c r="D74" i="5"/>
  <c r="E74" i="5"/>
  <c r="F74" i="5"/>
  <c r="H74" i="5"/>
  <c r="J74" i="5"/>
  <c r="C73" i="5"/>
  <c r="D73" i="5"/>
  <c r="E73" i="5"/>
  <c r="F73" i="5"/>
  <c r="H73" i="5"/>
  <c r="J73" i="5"/>
  <c r="C72" i="5"/>
  <c r="D72" i="5"/>
  <c r="G72" i="5" s="1"/>
  <c r="E72" i="5"/>
  <c r="F72" i="5"/>
  <c r="H72" i="5"/>
  <c r="I72" i="5"/>
  <c r="J72" i="5"/>
  <c r="C71" i="5"/>
  <c r="D71" i="5"/>
  <c r="E71" i="5"/>
  <c r="F71" i="5"/>
  <c r="H71" i="5"/>
  <c r="J71" i="5"/>
  <c r="C70" i="5"/>
  <c r="D70" i="5"/>
  <c r="E70" i="5"/>
  <c r="F70" i="5"/>
  <c r="G70" i="5"/>
  <c r="H70" i="5"/>
  <c r="I70" i="5"/>
  <c r="J70" i="5"/>
  <c r="C69" i="5"/>
  <c r="D69" i="5"/>
  <c r="E69" i="5"/>
  <c r="F69" i="5"/>
  <c r="G69" i="5"/>
  <c r="H69" i="5"/>
  <c r="I69" i="5"/>
  <c r="J69" i="5"/>
  <c r="C68" i="5"/>
  <c r="D68" i="5"/>
  <c r="E68" i="5"/>
  <c r="F68" i="5"/>
  <c r="H68" i="5"/>
  <c r="J68" i="5"/>
  <c r="C67" i="5"/>
  <c r="D67" i="5"/>
  <c r="E67" i="5"/>
  <c r="F67" i="5"/>
  <c r="H67" i="5"/>
  <c r="J67" i="5"/>
  <c r="C66" i="5"/>
  <c r="D66" i="5"/>
  <c r="E66" i="5"/>
  <c r="F66" i="5"/>
  <c r="H66" i="5"/>
  <c r="J66" i="5"/>
  <c r="C65" i="5"/>
  <c r="D65" i="5"/>
  <c r="E65" i="5"/>
  <c r="F65" i="5"/>
  <c r="G65" i="5"/>
  <c r="H65" i="5"/>
  <c r="I65" i="5"/>
  <c r="J65" i="5"/>
  <c r="C64" i="5"/>
  <c r="D64" i="5"/>
  <c r="E64" i="5"/>
  <c r="F64" i="5"/>
  <c r="H64" i="5"/>
  <c r="J64" i="5"/>
  <c r="C63" i="5"/>
  <c r="D63" i="5"/>
  <c r="G63" i="5" s="1"/>
  <c r="E63" i="5"/>
  <c r="F63" i="5"/>
  <c r="H63" i="5"/>
  <c r="I63" i="5"/>
  <c r="J63" i="5"/>
  <c r="C62" i="5"/>
  <c r="D62" i="5"/>
  <c r="G62" i="5" s="1"/>
  <c r="E62" i="5"/>
  <c r="F62" i="5"/>
  <c r="H62" i="5"/>
  <c r="I62" i="5"/>
  <c r="J62" i="5"/>
  <c r="C61" i="5"/>
  <c r="D61" i="5"/>
  <c r="E61" i="5"/>
  <c r="F61" i="5"/>
  <c r="G61" i="5"/>
  <c r="H61" i="5"/>
  <c r="I61" i="5"/>
  <c r="J61" i="5"/>
  <c r="C60" i="5"/>
  <c r="D60" i="5"/>
  <c r="G60" i="5" s="1"/>
  <c r="E60" i="5"/>
  <c r="F60" i="5"/>
  <c r="H60" i="5"/>
  <c r="I60" i="5"/>
  <c r="J60" i="5"/>
  <c r="C59" i="5"/>
  <c r="D59" i="5"/>
  <c r="E59" i="5"/>
  <c r="F59" i="5"/>
  <c r="H59" i="5"/>
  <c r="J59" i="5"/>
  <c r="C58" i="5"/>
  <c r="D58" i="5"/>
  <c r="E58" i="5"/>
  <c r="F58" i="5"/>
  <c r="H58" i="5"/>
  <c r="J58" i="5"/>
  <c r="C57" i="5"/>
  <c r="D57" i="5"/>
  <c r="G57" i="5" s="1"/>
  <c r="E57" i="5"/>
  <c r="F57" i="5"/>
  <c r="H57" i="5"/>
  <c r="I57" i="5"/>
  <c r="J57" i="5"/>
  <c r="C56" i="5"/>
  <c r="D56" i="5"/>
  <c r="E56" i="5"/>
  <c r="F56" i="5"/>
  <c r="G56" i="5"/>
  <c r="H56" i="5"/>
  <c r="I56" i="5"/>
  <c r="J56" i="5"/>
  <c r="C55" i="5"/>
  <c r="D55" i="5"/>
  <c r="E55" i="5"/>
  <c r="F55" i="5"/>
  <c r="G55" i="5"/>
  <c r="H55" i="5"/>
  <c r="I55" i="5"/>
  <c r="J55" i="5"/>
  <c r="C54" i="5"/>
  <c r="D54" i="5"/>
  <c r="E54" i="5"/>
  <c r="F54" i="5"/>
  <c r="H54" i="5"/>
  <c r="J54" i="5"/>
  <c r="F134" i="4"/>
  <c r="G134" i="4"/>
  <c r="M134" i="4"/>
  <c r="D134" i="4"/>
  <c r="L134" i="4" s="1"/>
  <c r="K134" i="4"/>
  <c r="E134" i="4"/>
  <c r="C134" i="4"/>
  <c r="J134" i="4"/>
  <c r="J122" i="4"/>
  <c r="D122" i="4"/>
  <c r="G122" i="4"/>
  <c r="L122" i="4"/>
  <c r="C122" i="4"/>
  <c r="F122" i="4"/>
  <c r="K122" i="4"/>
  <c r="E122" i="4"/>
  <c r="M122" i="4"/>
  <c r="G117" i="4"/>
  <c r="M117" i="4"/>
  <c r="K117" i="4"/>
  <c r="D117" i="4"/>
  <c r="J117" i="4"/>
  <c r="C117" i="4"/>
  <c r="E117" i="4"/>
  <c r="L117" i="4"/>
  <c r="F117" i="4"/>
  <c r="K106" i="4"/>
  <c r="F106" i="4"/>
  <c r="D106" i="4"/>
  <c r="E106" i="4"/>
  <c r="G106" i="4"/>
  <c r="J106" i="4"/>
  <c r="L106" i="4"/>
  <c r="M106" i="4"/>
  <c r="C106" i="4"/>
  <c r="F98" i="4"/>
  <c r="J98" i="4"/>
  <c r="D98" i="4"/>
  <c r="K98" i="4"/>
  <c r="C98" i="4"/>
  <c r="L98" i="4"/>
  <c r="G98" i="4"/>
  <c r="M98" i="4"/>
  <c r="E98" i="4"/>
  <c r="F97" i="4"/>
  <c r="E97" i="4"/>
  <c r="G97" i="4"/>
  <c r="K97" i="4"/>
  <c r="M97" i="4"/>
  <c r="D97" i="4"/>
  <c r="L97" i="4" s="1"/>
  <c r="J97" i="4"/>
  <c r="C97" i="4"/>
  <c r="M85" i="4"/>
  <c r="G85" i="4"/>
  <c r="C85" i="4"/>
  <c r="K85" i="4"/>
  <c r="F85" i="4"/>
  <c r="D85" i="4"/>
  <c r="L85" i="4" s="1"/>
  <c r="E85" i="4"/>
  <c r="J85" i="4"/>
  <c r="J81" i="4"/>
  <c r="E81" i="4"/>
  <c r="D81" i="4"/>
  <c r="M81" i="4"/>
  <c r="C81" i="4"/>
  <c r="K81" i="4"/>
  <c r="F81" i="4"/>
  <c r="L81" i="4"/>
  <c r="G81" i="4"/>
  <c r="C70" i="4"/>
  <c r="G70" i="4"/>
  <c r="E70" i="4"/>
  <c r="D70" i="4"/>
  <c r="J70" i="4"/>
  <c r="M70" i="4"/>
  <c r="F70" i="4"/>
  <c r="K70" i="4"/>
  <c r="L70" i="4"/>
  <c r="C209" i="4"/>
  <c r="D209" i="4"/>
  <c r="E209" i="4"/>
  <c r="F209" i="4"/>
  <c r="G209" i="4"/>
  <c r="J209" i="4"/>
  <c r="K209" i="4"/>
  <c r="L209" i="4"/>
  <c r="M209" i="4"/>
  <c r="C208" i="4"/>
  <c r="D208" i="4"/>
  <c r="L208" i="4" s="1"/>
  <c r="E208" i="4"/>
  <c r="F208" i="4"/>
  <c r="G208" i="4"/>
  <c r="J208" i="4"/>
  <c r="K208" i="4"/>
  <c r="M208" i="4"/>
  <c r="C207" i="4"/>
  <c r="D207" i="4"/>
  <c r="E207" i="4"/>
  <c r="F207" i="4"/>
  <c r="G207" i="4"/>
  <c r="J207" i="4"/>
  <c r="K207" i="4"/>
  <c r="L207" i="4"/>
  <c r="M207" i="4"/>
  <c r="C206" i="4"/>
  <c r="D206" i="4"/>
  <c r="E206" i="4"/>
  <c r="F206" i="4"/>
  <c r="G206" i="4"/>
  <c r="J206" i="4"/>
  <c r="K206" i="4"/>
  <c r="L206" i="4"/>
  <c r="M206" i="4"/>
  <c r="C205" i="4"/>
  <c r="D205" i="4"/>
  <c r="L205" i="4" s="1"/>
  <c r="E205" i="4"/>
  <c r="F205" i="4"/>
  <c r="G205" i="4"/>
  <c r="J205" i="4"/>
  <c r="K205" i="4"/>
  <c r="M205" i="4"/>
  <c r="C204" i="4"/>
  <c r="D204" i="4"/>
  <c r="E204" i="4"/>
  <c r="F204" i="4"/>
  <c r="G204" i="4"/>
  <c r="J204" i="4"/>
  <c r="K204" i="4"/>
  <c r="L204" i="4"/>
  <c r="M204" i="4"/>
  <c r="C203" i="4"/>
  <c r="D203" i="4"/>
  <c r="E203" i="4"/>
  <c r="F203" i="4"/>
  <c r="G203" i="4"/>
  <c r="J203" i="4"/>
  <c r="K203" i="4"/>
  <c r="L203" i="4"/>
  <c r="M203" i="4"/>
  <c r="C202" i="4"/>
  <c r="D202" i="4"/>
  <c r="E202" i="4"/>
  <c r="F202" i="4"/>
  <c r="G202" i="4"/>
  <c r="J202" i="4"/>
  <c r="K202" i="4"/>
  <c r="L202" i="4"/>
  <c r="M202" i="4"/>
  <c r="C201" i="4"/>
  <c r="D201" i="4"/>
  <c r="E201" i="4"/>
  <c r="F201" i="4"/>
  <c r="G201" i="4"/>
  <c r="J201" i="4"/>
  <c r="K201" i="4"/>
  <c r="L201" i="4"/>
  <c r="M201" i="4"/>
  <c r="C200" i="4"/>
  <c r="D200" i="4"/>
  <c r="E200" i="4"/>
  <c r="F200" i="4"/>
  <c r="G200" i="4"/>
  <c r="J200" i="4"/>
  <c r="K200" i="4"/>
  <c r="L200" i="4"/>
  <c r="M200" i="4"/>
  <c r="C199" i="4"/>
  <c r="D199" i="4"/>
  <c r="E199" i="4"/>
  <c r="F199" i="4"/>
  <c r="G199" i="4"/>
  <c r="J199" i="4"/>
  <c r="K199" i="4"/>
  <c r="L199" i="4"/>
  <c r="M199" i="4"/>
  <c r="C198" i="4"/>
  <c r="D198" i="4"/>
  <c r="E198" i="4"/>
  <c r="F198" i="4"/>
  <c r="G198" i="4"/>
  <c r="J198" i="4"/>
  <c r="K198" i="4"/>
  <c r="L198" i="4"/>
  <c r="M198" i="4"/>
  <c r="C197" i="4"/>
  <c r="D197" i="4"/>
  <c r="E197" i="4"/>
  <c r="F197" i="4"/>
  <c r="G197" i="4"/>
  <c r="J197" i="4"/>
  <c r="K197" i="4"/>
  <c r="L197" i="4"/>
  <c r="M197" i="4"/>
  <c r="C196" i="4"/>
  <c r="D196" i="4"/>
  <c r="E196" i="4"/>
  <c r="F196" i="4"/>
  <c r="G196" i="4"/>
  <c r="J196" i="4"/>
  <c r="K196" i="4"/>
  <c r="L196" i="4"/>
  <c r="M196" i="4"/>
  <c r="C195" i="4"/>
  <c r="D195" i="4"/>
  <c r="E195" i="4"/>
  <c r="F195" i="4"/>
  <c r="G195" i="4"/>
  <c r="J195" i="4"/>
  <c r="K195" i="4"/>
  <c r="L195" i="4"/>
  <c r="M195" i="4"/>
  <c r="C194" i="4"/>
  <c r="D194" i="4"/>
  <c r="E194" i="4"/>
  <c r="F194" i="4"/>
  <c r="G194" i="4"/>
  <c r="J194" i="4"/>
  <c r="K194" i="4"/>
  <c r="L194" i="4"/>
  <c r="M194" i="4"/>
  <c r="C193" i="4"/>
  <c r="D193" i="4"/>
  <c r="E193" i="4"/>
  <c r="F193" i="4"/>
  <c r="G193" i="4"/>
  <c r="J193" i="4"/>
  <c r="K193" i="4"/>
  <c r="L193" i="4"/>
  <c r="M193" i="4"/>
  <c r="C192" i="4"/>
  <c r="D192" i="4"/>
  <c r="E192" i="4"/>
  <c r="F192" i="4"/>
  <c r="G192" i="4"/>
  <c r="J192" i="4"/>
  <c r="K192" i="4"/>
  <c r="L192" i="4"/>
  <c r="M192" i="4"/>
  <c r="C191" i="4"/>
  <c r="D191" i="4"/>
  <c r="E191" i="4"/>
  <c r="F191" i="4"/>
  <c r="G191" i="4"/>
  <c r="J191" i="4"/>
  <c r="K191" i="4"/>
  <c r="L191" i="4"/>
  <c r="M191" i="4"/>
  <c r="C190" i="4"/>
  <c r="D190" i="4"/>
  <c r="E190" i="4"/>
  <c r="F190" i="4"/>
  <c r="G190" i="4"/>
  <c r="J190" i="4"/>
  <c r="K190" i="4"/>
  <c r="L190" i="4"/>
  <c r="M190" i="4"/>
  <c r="C189" i="4"/>
  <c r="D189" i="4"/>
  <c r="L189" i="4" s="1"/>
  <c r="E189" i="4"/>
  <c r="F189" i="4"/>
  <c r="G189" i="4"/>
  <c r="J189" i="4"/>
  <c r="K189" i="4"/>
  <c r="M189" i="4"/>
  <c r="C188" i="4"/>
  <c r="D188" i="4"/>
  <c r="E188" i="4"/>
  <c r="F188" i="4"/>
  <c r="G188" i="4"/>
  <c r="J188" i="4"/>
  <c r="K188" i="4"/>
  <c r="L188" i="4"/>
  <c r="M188" i="4"/>
  <c r="C187" i="4"/>
  <c r="D187" i="4"/>
  <c r="E187" i="4"/>
  <c r="F187" i="4"/>
  <c r="G187" i="4"/>
  <c r="J187" i="4"/>
  <c r="K187" i="4"/>
  <c r="L187" i="4"/>
  <c r="M187" i="4"/>
  <c r="C186" i="4"/>
  <c r="D186" i="4"/>
  <c r="E186" i="4"/>
  <c r="F186" i="4"/>
  <c r="G186" i="4"/>
  <c r="J186" i="4"/>
  <c r="K186" i="4"/>
  <c r="L186" i="4"/>
  <c r="M186" i="4"/>
  <c r="C185" i="4"/>
  <c r="D185" i="4"/>
  <c r="L185" i="4" s="1"/>
  <c r="E185" i="4"/>
  <c r="F185" i="4"/>
  <c r="G185" i="4"/>
  <c r="J185" i="4"/>
  <c r="K185" i="4"/>
  <c r="M185" i="4"/>
  <c r="C184" i="4"/>
  <c r="D184" i="4"/>
  <c r="E184" i="4"/>
  <c r="F184" i="4"/>
  <c r="G184" i="4"/>
  <c r="J184" i="4"/>
  <c r="K184" i="4"/>
  <c r="L184" i="4"/>
  <c r="M184" i="4"/>
  <c r="C183" i="4"/>
  <c r="D183" i="4"/>
  <c r="E183" i="4"/>
  <c r="F183" i="4"/>
  <c r="G183" i="4"/>
  <c r="J183" i="4"/>
  <c r="K183" i="4"/>
  <c r="L183" i="4"/>
  <c r="M183" i="4"/>
  <c r="C182" i="4"/>
  <c r="D182" i="4"/>
  <c r="E182" i="4"/>
  <c r="F182" i="4"/>
  <c r="G182" i="4"/>
  <c r="J182" i="4"/>
  <c r="K182" i="4"/>
  <c r="L182" i="4"/>
  <c r="M182" i="4"/>
  <c r="C181" i="4"/>
  <c r="D181" i="4"/>
  <c r="E181" i="4"/>
  <c r="F181" i="4"/>
  <c r="G181" i="4"/>
  <c r="J181" i="4"/>
  <c r="K181" i="4"/>
  <c r="L181" i="4"/>
  <c r="M181" i="4"/>
  <c r="C180" i="4"/>
  <c r="D180" i="4"/>
  <c r="E180" i="4"/>
  <c r="F180" i="4"/>
  <c r="G180" i="4"/>
  <c r="J180" i="4"/>
  <c r="K180" i="4"/>
  <c r="L180" i="4"/>
  <c r="M180" i="4"/>
  <c r="C179" i="4"/>
  <c r="D179" i="4"/>
  <c r="E179" i="4"/>
  <c r="F179" i="4"/>
  <c r="G179" i="4"/>
  <c r="J179" i="4"/>
  <c r="K179" i="4"/>
  <c r="L179" i="4"/>
  <c r="M179" i="4"/>
  <c r="C178" i="4"/>
  <c r="D178" i="4"/>
  <c r="E178" i="4"/>
  <c r="F178" i="4"/>
  <c r="G178" i="4"/>
  <c r="J178" i="4"/>
  <c r="K178" i="4"/>
  <c r="L178" i="4"/>
  <c r="M178" i="4"/>
  <c r="C177" i="4"/>
  <c r="D177" i="4"/>
  <c r="E177" i="4"/>
  <c r="F177" i="4"/>
  <c r="G177" i="4"/>
  <c r="J177" i="4"/>
  <c r="K177" i="4"/>
  <c r="L177" i="4"/>
  <c r="M177" i="4"/>
  <c r="C176" i="4"/>
  <c r="D176" i="4"/>
  <c r="E176" i="4"/>
  <c r="F176" i="4"/>
  <c r="G176" i="4"/>
  <c r="J176" i="4"/>
  <c r="K176" i="4"/>
  <c r="L176" i="4"/>
  <c r="M176" i="4"/>
  <c r="C175" i="4"/>
  <c r="D175" i="4"/>
  <c r="E175" i="4"/>
  <c r="F175" i="4"/>
  <c r="G175" i="4"/>
  <c r="J175" i="4"/>
  <c r="K175" i="4"/>
  <c r="L175" i="4"/>
  <c r="M175" i="4"/>
  <c r="C174" i="4"/>
  <c r="D174" i="4"/>
  <c r="E174" i="4"/>
  <c r="F174" i="4"/>
  <c r="G174" i="4"/>
  <c r="J174" i="4"/>
  <c r="K174" i="4"/>
  <c r="L174" i="4"/>
  <c r="M174" i="4"/>
  <c r="C173" i="4"/>
  <c r="D173" i="4"/>
  <c r="E173" i="4"/>
  <c r="F173" i="4"/>
  <c r="G173" i="4"/>
  <c r="J173" i="4"/>
  <c r="K173" i="4"/>
  <c r="L173" i="4"/>
  <c r="M173" i="4"/>
  <c r="C172" i="4"/>
  <c r="D172" i="4"/>
  <c r="L172" i="4" s="1"/>
  <c r="E172" i="4"/>
  <c r="F172" i="4"/>
  <c r="G172" i="4"/>
  <c r="J172" i="4"/>
  <c r="K172" i="4"/>
  <c r="M172" i="4"/>
  <c r="C171" i="4"/>
  <c r="D171" i="4"/>
  <c r="E171" i="4"/>
  <c r="F171" i="4"/>
  <c r="G171" i="4"/>
  <c r="J171" i="4"/>
  <c r="K171" i="4"/>
  <c r="L171" i="4"/>
  <c r="M171" i="4"/>
  <c r="C170" i="4"/>
  <c r="D170" i="4"/>
  <c r="E170" i="4"/>
  <c r="F170" i="4"/>
  <c r="G170" i="4"/>
  <c r="J170" i="4"/>
  <c r="K170" i="4"/>
  <c r="L170" i="4"/>
  <c r="M170" i="4"/>
  <c r="C169" i="4"/>
  <c r="D169" i="4"/>
  <c r="E169" i="4"/>
  <c r="F169" i="4"/>
  <c r="G169" i="4"/>
  <c r="J169" i="4"/>
  <c r="K169" i="4"/>
  <c r="L169" i="4"/>
  <c r="M169" i="4"/>
  <c r="C168" i="4"/>
  <c r="D168" i="4"/>
  <c r="E168" i="4"/>
  <c r="F168" i="4"/>
  <c r="G168" i="4"/>
  <c r="J168" i="4"/>
  <c r="K168" i="4"/>
  <c r="L168" i="4"/>
  <c r="M168" i="4"/>
  <c r="C167" i="4"/>
  <c r="D167" i="4"/>
  <c r="E167" i="4"/>
  <c r="F167" i="4"/>
  <c r="G167" i="4"/>
  <c r="J167" i="4"/>
  <c r="K167" i="4"/>
  <c r="L167" i="4"/>
  <c r="M167" i="4"/>
  <c r="C166" i="4"/>
  <c r="D166" i="4"/>
  <c r="E166" i="4"/>
  <c r="F166" i="4"/>
  <c r="G166" i="4"/>
  <c r="J166" i="4"/>
  <c r="K166" i="4"/>
  <c r="L166" i="4"/>
  <c r="M166" i="4"/>
  <c r="C165" i="4"/>
  <c r="D165" i="4"/>
  <c r="E165" i="4"/>
  <c r="F165" i="4"/>
  <c r="G165" i="4"/>
  <c r="J165" i="4"/>
  <c r="K165" i="4"/>
  <c r="L165" i="4"/>
  <c r="M165" i="4"/>
  <c r="C164" i="4"/>
  <c r="D164" i="4"/>
  <c r="L164" i="4" s="1"/>
  <c r="E164" i="4"/>
  <c r="F164" i="4"/>
  <c r="G164" i="4"/>
  <c r="J164" i="4"/>
  <c r="K164" i="4"/>
  <c r="M164" i="4"/>
  <c r="C163" i="4"/>
  <c r="D163" i="4"/>
  <c r="E163" i="4"/>
  <c r="F163" i="4"/>
  <c r="G163" i="4"/>
  <c r="J163" i="4"/>
  <c r="K163" i="4"/>
  <c r="L163" i="4"/>
  <c r="M163" i="4"/>
  <c r="C162" i="4"/>
  <c r="D162" i="4"/>
  <c r="E162" i="4"/>
  <c r="F162" i="4"/>
  <c r="G162" i="4"/>
  <c r="J162" i="4"/>
  <c r="K162" i="4"/>
  <c r="L162" i="4"/>
  <c r="M162" i="4"/>
  <c r="C161" i="4"/>
  <c r="D161" i="4"/>
  <c r="E161" i="4"/>
  <c r="F161" i="4"/>
  <c r="G161" i="4"/>
  <c r="J161" i="4"/>
  <c r="K161" i="4"/>
  <c r="L161" i="4"/>
  <c r="M161" i="4"/>
  <c r="C160" i="4"/>
  <c r="D160" i="4"/>
  <c r="E160" i="4"/>
  <c r="F160" i="4"/>
  <c r="G160" i="4"/>
  <c r="J160" i="4"/>
  <c r="K160" i="4"/>
  <c r="L160" i="4"/>
  <c r="M160" i="4"/>
  <c r="C159" i="4"/>
  <c r="D159" i="4"/>
  <c r="E159" i="4"/>
  <c r="F159" i="4"/>
  <c r="G159" i="4"/>
  <c r="J159" i="4"/>
  <c r="K159" i="4"/>
  <c r="L159" i="4"/>
  <c r="M159" i="4"/>
  <c r="C158" i="4"/>
  <c r="D158" i="4"/>
  <c r="L158" i="4" s="1"/>
  <c r="E158" i="4"/>
  <c r="F158" i="4"/>
  <c r="G158" i="4"/>
  <c r="J158" i="4"/>
  <c r="K158" i="4"/>
  <c r="M158" i="4"/>
  <c r="C157" i="4"/>
  <c r="D157" i="4"/>
  <c r="E157" i="4"/>
  <c r="F157" i="4"/>
  <c r="G157" i="4"/>
  <c r="J157" i="4"/>
  <c r="K157" i="4"/>
  <c r="L157" i="4"/>
  <c r="M157" i="4"/>
  <c r="C156" i="4"/>
  <c r="D156" i="4"/>
  <c r="E156" i="4"/>
  <c r="F156" i="4"/>
  <c r="G156" i="4"/>
  <c r="J156" i="4"/>
  <c r="K156" i="4"/>
  <c r="L156" i="4"/>
  <c r="M156" i="4"/>
  <c r="C155" i="4"/>
  <c r="D155" i="4"/>
  <c r="E155" i="4"/>
  <c r="F155" i="4"/>
  <c r="G155" i="4"/>
  <c r="J155" i="4"/>
  <c r="K155" i="4"/>
  <c r="L155" i="4"/>
  <c r="M155" i="4"/>
  <c r="C154" i="4"/>
  <c r="D154" i="4"/>
  <c r="L154" i="4" s="1"/>
  <c r="E154" i="4"/>
  <c r="F154" i="4"/>
  <c r="G154" i="4"/>
  <c r="J154" i="4"/>
  <c r="K154" i="4"/>
  <c r="M154" i="4"/>
  <c r="C153" i="4"/>
  <c r="D153" i="4"/>
  <c r="E153" i="4"/>
  <c r="F153" i="4"/>
  <c r="G153" i="4"/>
  <c r="J153" i="4"/>
  <c r="K153" i="4"/>
  <c r="L153" i="4"/>
  <c r="M153" i="4"/>
  <c r="C152" i="4"/>
  <c r="D152" i="4"/>
  <c r="E152" i="4"/>
  <c r="F152" i="4"/>
  <c r="G152" i="4"/>
  <c r="J152" i="4"/>
  <c r="K152" i="4"/>
  <c r="L152" i="4"/>
  <c r="M152" i="4"/>
  <c r="C151" i="4"/>
  <c r="D151" i="4"/>
  <c r="E151" i="4"/>
  <c r="F151" i="4"/>
  <c r="G151" i="4"/>
  <c r="J151" i="4"/>
  <c r="K151" i="4"/>
  <c r="L151" i="4"/>
  <c r="M151" i="4"/>
  <c r="C150" i="4"/>
  <c r="D150" i="4"/>
  <c r="E150" i="4"/>
  <c r="F150" i="4"/>
  <c r="G150" i="4"/>
  <c r="J150" i="4"/>
  <c r="K150" i="4"/>
  <c r="L150" i="4"/>
  <c r="M150" i="4"/>
  <c r="C149" i="4"/>
  <c r="D149" i="4"/>
  <c r="E149" i="4"/>
  <c r="F149" i="4"/>
  <c r="G149" i="4"/>
  <c r="J149" i="4"/>
  <c r="K149" i="4"/>
  <c r="L149" i="4"/>
  <c r="M149" i="4"/>
  <c r="C148" i="4"/>
  <c r="D148" i="4"/>
  <c r="E148" i="4"/>
  <c r="F148" i="4"/>
  <c r="G148" i="4"/>
  <c r="J148" i="4"/>
  <c r="K148" i="4"/>
  <c r="L148" i="4"/>
  <c r="M148" i="4"/>
  <c r="C147" i="4"/>
  <c r="D147" i="4"/>
  <c r="E147" i="4"/>
  <c r="F147" i="4"/>
  <c r="G147" i="4"/>
  <c r="J147" i="4"/>
  <c r="K147" i="4"/>
  <c r="L147" i="4"/>
  <c r="M147" i="4"/>
  <c r="D146" i="4"/>
  <c r="E146" i="4"/>
  <c r="F146" i="4"/>
  <c r="G146" i="4"/>
  <c r="J146" i="4"/>
  <c r="K146" i="4"/>
  <c r="L146" i="4"/>
  <c r="M146" i="4"/>
  <c r="C146" i="4"/>
  <c r="K142" i="4"/>
  <c r="C142" i="4"/>
  <c r="G142" i="4"/>
  <c r="E142" i="4"/>
  <c r="F142" i="4"/>
  <c r="J142" i="4"/>
  <c r="M142" i="4"/>
  <c r="D142" i="4"/>
  <c r="L142" i="4" s="1"/>
  <c r="J141" i="4"/>
  <c r="F141" i="4"/>
  <c r="M141" i="4"/>
  <c r="E141" i="4"/>
  <c r="G141" i="4"/>
  <c r="C141" i="4"/>
  <c r="D141" i="4"/>
  <c r="L141" i="4" s="1"/>
  <c r="K141" i="4"/>
  <c r="F109" i="4"/>
  <c r="M109" i="4"/>
  <c r="E109" i="4"/>
  <c r="C109" i="4"/>
  <c r="J109" i="4"/>
  <c r="G109" i="4"/>
  <c r="D109" i="4"/>
  <c r="K109" i="4"/>
  <c r="L109" i="4"/>
  <c r="C101" i="4"/>
  <c r="K101" i="4"/>
  <c r="F101" i="4"/>
  <c r="M101" i="4"/>
  <c r="G101" i="4"/>
  <c r="D101" i="4"/>
  <c r="E101" i="4"/>
  <c r="J101" i="4"/>
  <c r="L101" i="4"/>
  <c r="K91" i="4"/>
  <c r="C91" i="4"/>
  <c r="G91" i="4"/>
  <c r="J91" i="4"/>
  <c r="M91" i="4"/>
  <c r="E91" i="4"/>
  <c r="D91" i="4"/>
  <c r="F91" i="4"/>
  <c r="L91" i="4"/>
  <c r="E67" i="4"/>
  <c r="C67" i="4"/>
  <c r="F67" i="4"/>
  <c r="J67" i="4"/>
  <c r="D67" i="4"/>
  <c r="G67" i="4"/>
  <c r="K67" i="4"/>
  <c r="M67" i="4"/>
  <c r="L67" i="4"/>
  <c r="C66" i="4"/>
  <c r="D66" i="4"/>
  <c r="E66" i="4"/>
  <c r="F66" i="4"/>
  <c r="G66" i="4"/>
  <c r="J66" i="4"/>
  <c r="K66" i="4"/>
  <c r="L66" i="4"/>
  <c r="M66" i="4"/>
  <c r="C65" i="4"/>
  <c r="D65" i="4"/>
  <c r="E65" i="4"/>
  <c r="F65" i="4"/>
  <c r="G65" i="4"/>
  <c r="J65" i="4"/>
  <c r="K65" i="4"/>
  <c r="L65" i="4"/>
  <c r="M65" i="4"/>
  <c r="C64" i="4"/>
  <c r="D64" i="4"/>
  <c r="E64" i="4"/>
  <c r="F64" i="4"/>
  <c r="G64" i="4"/>
  <c r="J64" i="4"/>
  <c r="K64" i="4"/>
  <c r="L64" i="4"/>
  <c r="M64" i="4"/>
  <c r="C63" i="4"/>
  <c r="D63" i="4"/>
  <c r="L63" i="4" s="1"/>
  <c r="E63" i="4"/>
  <c r="F63" i="4"/>
  <c r="G63" i="4"/>
  <c r="J63" i="4"/>
  <c r="K63" i="4"/>
  <c r="M63" i="4"/>
  <c r="C62" i="4"/>
  <c r="D62" i="4"/>
  <c r="E62" i="4"/>
  <c r="F62" i="4"/>
  <c r="G62" i="4"/>
  <c r="J62" i="4"/>
  <c r="K62" i="4"/>
  <c r="L62" i="4"/>
  <c r="M62" i="4"/>
  <c r="C61" i="4"/>
  <c r="D61" i="4"/>
  <c r="E61" i="4"/>
  <c r="F61" i="4"/>
  <c r="G61" i="4"/>
  <c r="J61" i="4"/>
  <c r="K61" i="4"/>
  <c r="L61" i="4"/>
  <c r="M61" i="4"/>
  <c r="C60" i="4"/>
  <c r="D60" i="4"/>
  <c r="E60" i="4"/>
  <c r="F60" i="4"/>
  <c r="G60" i="4"/>
  <c r="J60" i="4"/>
  <c r="K60" i="4"/>
  <c r="L60" i="4"/>
  <c r="M60" i="4"/>
  <c r="C59" i="4"/>
  <c r="D59" i="4"/>
  <c r="E59" i="4"/>
  <c r="F59" i="4"/>
  <c r="G59" i="4"/>
  <c r="J59" i="4"/>
  <c r="K59" i="4"/>
  <c r="L59" i="4"/>
  <c r="M59" i="4"/>
  <c r="C58" i="4"/>
  <c r="D58" i="4"/>
  <c r="E58" i="4"/>
  <c r="F58" i="4"/>
  <c r="G58" i="4"/>
  <c r="J58" i="4"/>
  <c r="K58" i="4"/>
  <c r="L58" i="4"/>
  <c r="M58" i="4"/>
  <c r="C57" i="4"/>
  <c r="D57" i="4"/>
  <c r="E57" i="4"/>
  <c r="F57" i="4"/>
  <c r="G57" i="4"/>
  <c r="J57" i="4"/>
  <c r="K57" i="4"/>
  <c r="L57" i="4"/>
  <c r="M57" i="4"/>
  <c r="C56" i="4"/>
  <c r="D56" i="4"/>
  <c r="E56" i="4"/>
  <c r="F56" i="4"/>
  <c r="G56" i="4"/>
  <c r="J56" i="4"/>
  <c r="K56" i="4"/>
  <c r="L56" i="4"/>
  <c r="M56" i="4"/>
  <c r="C55" i="4"/>
  <c r="D55" i="4"/>
  <c r="E55" i="4"/>
  <c r="F55" i="4"/>
  <c r="G55" i="4"/>
  <c r="J55" i="4"/>
  <c r="K55" i="4"/>
  <c r="L55" i="4"/>
  <c r="M55" i="4"/>
  <c r="C54" i="4"/>
  <c r="D54" i="4"/>
  <c r="E54" i="4"/>
  <c r="F54" i="4"/>
  <c r="G54" i="4"/>
  <c r="J54" i="4"/>
  <c r="K54" i="4"/>
  <c r="L54" i="4"/>
  <c r="M54" i="4"/>
  <c r="C53" i="4"/>
  <c r="D53" i="4"/>
  <c r="E53" i="4"/>
  <c r="F53" i="4"/>
  <c r="G53" i="4"/>
  <c r="J53" i="4"/>
  <c r="K53" i="4"/>
  <c r="L53" i="4"/>
  <c r="M53" i="4"/>
  <c r="C52" i="4"/>
  <c r="D52" i="4"/>
  <c r="E52" i="4"/>
  <c r="F52" i="4"/>
  <c r="G52" i="4"/>
  <c r="J52" i="4"/>
  <c r="K52" i="4"/>
  <c r="L52" i="4"/>
  <c r="M52" i="4"/>
  <c r="C51" i="4"/>
  <c r="D51" i="4"/>
  <c r="E51" i="4"/>
  <c r="F51" i="4"/>
  <c r="G51" i="4"/>
  <c r="J51" i="4"/>
  <c r="K51" i="4"/>
  <c r="L51" i="4"/>
  <c r="M51" i="4"/>
  <c r="C50" i="4"/>
  <c r="D50" i="4"/>
  <c r="E50" i="4"/>
  <c r="F50" i="4"/>
  <c r="G50" i="4"/>
  <c r="J50" i="4"/>
  <c r="K50" i="4"/>
  <c r="L50" i="4"/>
  <c r="M50" i="4"/>
  <c r="C49" i="4"/>
  <c r="D49" i="4"/>
  <c r="E49" i="4"/>
  <c r="F49" i="4"/>
  <c r="G49" i="4"/>
  <c r="J49" i="4"/>
  <c r="K49" i="4"/>
  <c r="L49" i="4"/>
  <c r="M49" i="4"/>
  <c r="C48" i="4"/>
  <c r="D48" i="4"/>
  <c r="E48" i="4"/>
  <c r="F48" i="4"/>
  <c r="G48" i="4"/>
  <c r="J48" i="4"/>
  <c r="K48" i="4"/>
  <c r="L48" i="4"/>
  <c r="M48" i="4"/>
  <c r="C47" i="4"/>
  <c r="D47" i="4"/>
  <c r="E47" i="4"/>
  <c r="F47" i="4"/>
  <c r="G47" i="4"/>
  <c r="J47" i="4"/>
  <c r="K47" i="4"/>
  <c r="L47" i="4"/>
  <c r="M47" i="4"/>
  <c r="C46" i="4"/>
  <c r="D46" i="4"/>
  <c r="E46" i="4"/>
  <c r="F46" i="4"/>
  <c r="G46" i="4"/>
  <c r="J46" i="4"/>
  <c r="K46" i="4"/>
  <c r="L46" i="4"/>
  <c r="M46" i="4"/>
  <c r="C45" i="4"/>
  <c r="D45" i="4"/>
  <c r="L45" i="4" s="1"/>
  <c r="E45" i="4"/>
  <c r="F45" i="4"/>
  <c r="G45" i="4"/>
  <c r="J45" i="4"/>
  <c r="K45" i="4"/>
  <c r="M45" i="4"/>
  <c r="C44" i="4"/>
  <c r="D44" i="4"/>
  <c r="E44" i="4"/>
  <c r="F44" i="4"/>
  <c r="G44" i="4"/>
  <c r="J44" i="4"/>
  <c r="K44" i="4"/>
  <c r="L44" i="4"/>
  <c r="M44" i="4"/>
  <c r="C43" i="4"/>
  <c r="D43" i="4"/>
  <c r="E43" i="4"/>
  <c r="F43" i="4"/>
  <c r="G43" i="4"/>
  <c r="J43" i="4"/>
  <c r="K43" i="4"/>
  <c r="L43" i="4"/>
  <c r="M43" i="4"/>
  <c r="C42" i="4"/>
  <c r="D42" i="4"/>
  <c r="E42" i="4"/>
  <c r="F42" i="4"/>
  <c r="G42" i="4"/>
  <c r="J42" i="4"/>
  <c r="K42" i="4"/>
  <c r="L42" i="4"/>
  <c r="M42" i="4"/>
  <c r="C41" i="4"/>
  <c r="D41" i="4"/>
  <c r="E41" i="4"/>
  <c r="F41" i="4"/>
  <c r="G41" i="4"/>
  <c r="J41" i="4"/>
  <c r="K41" i="4"/>
  <c r="L41" i="4"/>
  <c r="M41" i="4"/>
  <c r="C40" i="4"/>
  <c r="D40" i="4"/>
  <c r="E40" i="4"/>
  <c r="F40" i="4"/>
  <c r="G40" i="4"/>
  <c r="J40" i="4"/>
  <c r="K40" i="4"/>
  <c r="L40" i="4"/>
  <c r="M40" i="4"/>
  <c r="C39" i="4"/>
  <c r="D39" i="4"/>
  <c r="E39" i="4"/>
  <c r="F39" i="4"/>
  <c r="G39" i="4"/>
  <c r="J39" i="4"/>
  <c r="K39" i="4"/>
  <c r="L39" i="4"/>
  <c r="M39" i="4"/>
  <c r="C38" i="4"/>
  <c r="D38" i="4"/>
  <c r="E38" i="4"/>
  <c r="F38" i="4"/>
  <c r="G38" i="4"/>
  <c r="J38" i="4"/>
  <c r="K38" i="4"/>
  <c r="L38" i="4"/>
  <c r="M38" i="4"/>
  <c r="C37" i="4"/>
  <c r="D37" i="4"/>
  <c r="L37" i="4" s="1"/>
  <c r="E37" i="4"/>
  <c r="F37" i="4"/>
  <c r="G37" i="4"/>
  <c r="J37" i="4"/>
  <c r="K37" i="4"/>
  <c r="M37" i="4"/>
  <c r="C36" i="4"/>
  <c r="D36" i="4"/>
  <c r="E36" i="4"/>
  <c r="F36" i="4"/>
  <c r="G36" i="4"/>
  <c r="J36" i="4"/>
  <c r="K36" i="4"/>
  <c r="L36" i="4"/>
  <c r="M36" i="4"/>
  <c r="C35" i="4"/>
  <c r="D35" i="4"/>
  <c r="E35" i="4"/>
  <c r="F35" i="4"/>
  <c r="G35" i="4"/>
  <c r="J35" i="4"/>
  <c r="K35" i="4"/>
  <c r="L35" i="4"/>
  <c r="M35" i="4"/>
  <c r="C34" i="4"/>
  <c r="D34" i="4"/>
  <c r="E34" i="4"/>
  <c r="F34" i="4"/>
  <c r="G34" i="4"/>
  <c r="J34" i="4"/>
  <c r="K34" i="4"/>
  <c r="L34" i="4"/>
  <c r="M34" i="4"/>
  <c r="C33" i="4"/>
  <c r="D33" i="4"/>
  <c r="E33" i="4"/>
  <c r="F33" i="4"/>
  <c r="G33" i="4"/>
  <c r="J33" i="4"/>
  <c r="K33" i="4"/>
  <c r="L33" i="4"/>
  <c r="M33" i="4"/>
  <c r="C32" i="4"/>
  <c r="D32" i="4"/>
  <c r="E32" i="4"/>
  <c r="F32" i="4"/>
  <c r="G32" i="4"/>
  <c r="J32" i="4"/>
  <c r="K32" i="4"/>
  <c r="L32" i="4"/>
  <c r="M32" i="4"/>
  <c r="C31" i="4"/>
  <c r="D31" i="4"/>
  <c r="E31" i="4"/>
  <c r="F31" i="4"/>
  <c r="G31" i="4"/>
  <c r="J31" i="4"/>
  <c r="K31" i="4"/>
  <c r="L31" i="4"/>
  <c r="M31" i="4"/>
  <c r="C30" i="4"/>
  <c r="D30" i="4"/>
  <c r="E30" i="4"/>
  <c r="F30" i="4"/>
  <c r="G30" i="4"/>
  <c r="J30" i="4"/>
  <c r="K30" i="4"/>
  <c r="L30" i="4"/>
  <c r="M30" i="4"/>
  <c r="C29" i="4"/>
  <c r="D29" i="4"/>
  <c r="E29" i="4"/>
  <c r="F29" i="4"/>
  <c r="G29" i="4"/>
  <c r="J29" i="4"/>
  <c r="K29" i="4"/>
  <c r="L29" i="4"/>
  <c r="M29" i="4"/>
  <c r="C28" i="4"/>
  <c r="D28" i="4"/>
  <c r="E28" i="4"/>
  <c r="F28" i="4"/>
  <c r="G28" i="4"/>
  <c r="J28" i="4"/>
  <c r="K28" i="4"/>
  <c r="L28" i="4"/>
  <c r="M28" i="4"/>
  <c r="C27" i="4"/>
  <c r="D27" i="4"/>
  <c r="L27" i="4" s="1"/>
  <c r="E27" i="4"/>
  <c r="F27" i="4"/>
  <c r="G27" i="4"/>
  <c r="J27" i="4"/>
  <c r="K27" i="4"/>
  <c r="M27" i="4"/>
  <c r="C26" i="4"/>
  <c r="D26" i="4"/>
  <c r="E26" i="4"/>
  <c r="F26" i="4"/>
  <c r="G26" i="4"/>
  <c r="J26" i="4"/>
  <c r="K26" i="4"/>
  <c r="L26" i="4"/>
  <c r="M26" i="4"/>
  <c r="C25" i="4"/>
  <c r="D25" i="4"/>
  <c r="E25" i="4"/>
  <c r="F25" i="4"/>
  <c r="G25" i="4"/>
  <c r="J25" i="4"/>
  <c r="K25" i="4"/>
  <c r="L25" i="4"/>
  <c r="M25" i="4"/>
  <c r="C24" i="4"/>
  <c r="D24" i="4"/>
  <c r="E24" i="4"/>
  <c r="F24" i="4"/>
  <c r="G24" i="4"/>
  <c r="J24" i="4"/>
  <c r="K24" i="4"/>
  <c r="L24" i="4"/>
  <c r="M24" i="4"/>
  <c r="C23" i="4"/>
  <c r="D23" i="4"/>
  <c r="E23" i="4"/>
  <c r="F23" i="4"/>
  <c r="G23" i="4"/>
  <c r="J23" i="4"/>
  <c r="K23" i="4"/>
  <c r="L23" i="4"/>
  <c r="M23" i="4"/>
  <c r="C22" i="4"/>
  <c r="D22" i="4"/>
  <c r="E22" i="4"/>
  <c r="F22" i="4"/>
  <c r="G22" i="4"/>
  <c r="J22" i="4"/>
  <c r="K22" i="4"/>
  <c r="L22" i="4"/>
  <c r="M22" i="4"/>
  <c r="C21" i="4"/>
  <c r="D21" i="4"/>
  <c r="E21" i="4"/>
  <c r="F21" i="4"/>
  <c r="G21" i="4"/>
  <c r="J21" i="4"/>
  <c r="K21" i="4"/>
  <c r="L21" i="4"/>
  <c r="M21" i="4"/>
  <c r="C20" i="4"/>
  <c r="D20" i="4"/>
  <c r="E20" i="4"/>
  <c r="F20" i="4"/>
  <c r="G20" i="4"/>
  <c r="J20" i="4"/>
  <c r="K20" i="4"/>
  <c r="L20" i="4"/>
  <c r="M20" i="4"/>
  <c r="C19" i="4"/>
  <c r="D19" i="4"/>
  <c r="E19" i="4"/>
  <c r="F19" i="4"/>
  <c r="G19" i="4"/>
  <c r="J19" i="4"/>
  <c r="K19" i="4"/>
  <c r="L19" i="4"/>
  <c r="M19" i="4"/>
  <c r="C18" i="4"/>
  <c r="D18" i="4"/>
  <c r="E18" i="4"/>
  <c r="F18" i="4"/>
  <c r="G18" i="4"/>
  <c r="J18" i="4"/>
  <c r="K18" i="4"/>
  <c r="L18" i="4"/>
  <c r="M18" i="4"/>
  <c r="C17" i="4"/>
  <c r="D17" i="4"/>
  <c r="E17" i="4"/>
  <c r="F17" i="4"/>
  <c r="G17" i="4"/>
  <c r="J17" i="4"/>
  <c r="K17" i="4"/>
  <c r="L17" i="4"/>
  <c r="M17" i="4"/>
  <c r="C16" i="4"/>
  <c r="D16" i="4"/>
  <c r="E16" i="4"/>
  <c r="F16" i="4"/>
  <c r="G16" i="4"/>
  <c r="J16" i="4"/>
  <c r="K16" i="4"/>
  <c r="L16" i="4"/>
  <c r="M16" i="4"/>
  <c r="C15" i="4"/>
  <c r="D15" i="4"/>
  <c r="E15" i="4"/>
  <c r="F15" i="4"/>
  <c r="G15" i="4"/>
  <c r="J15" i="4"/>
  <c r="K15" i="4"/>
  <c r="L15" i="4"/>
  <c r="M15" i="4"/>
  <c r="C14" i="4"/>
  <c r="D14" i="4"/>
  <c r="E14" i="4"/>
  <c r="G14" i="4" s="1"/>
  <c r="F14" i="4"/>
  <c r="J14" i="4"/>
  <c r="K14" i="4"/>
  <c r="L14" i="4"/>
  <c r="M14" i="4"/>
  <c r="C13" i="4"/>
  <c r="D13" i="4"/>
  <c r="E13" i="4"/>
  <c r="G13" i="4" s="1"/>
  <c r="F13" i="4"/>
  <c r="J13" i="4"/>
  <c r="K13" i="4"/>
  <c r="L13" i="4"/>
  <c r="M13" i="4"/>
  <c r="C12" i="4"/>
  <c r="D12" i="4"/>
  <c r="L12" i="4" s="1"/>
  <c r="E12" i="4"/>
  <c r="G12" i="4" s="1"/>
  <c r="F12" i="4"/>
  <c r="J12" i="4"/>
  <c r="K12" i="4"/>
  <c r="M12" i="4"/>
  <c r="C11" i="4"/>
  <c r="D11" i="4"/>
  <c r="L11" i="4" s="1"/>
  <c r="E11" i="4"/>
  <c r="F11" i="4"/>
  <c r="J11" i="4"/>
  <c r="K11" i="4"/>
  <c r="M11" i="4"/>
  <c r="C10" i="4"/>
  <c r="D10" i="4"/>
  <c r="L10" i="4" s="1"/>
  <c r="E10" i="4"/>
  <c r="G10" i="4" s="1"/>
  <c r="F10" i="4"/>
  <c r="J10" i="4"/>
  <c r="K10" i="4"/>
  <c r="M10" i="4"/>
  <c r="G11" i="4" l="1"/>
  <c r="G40" i="5"/>
  <c r="I40" i="5"/>
  <c r="G22" i="5"/>
  <c r="I22" i="5"/>
  <c r="I207" i="5"/>
  <c r="G207" i="5"/>
  <c r="I28" i="5"/>
  <c r="G28" i="5"/>
  <c r="G24" i="5"/>
  <c r="I24" i="5"/>
  <c r="G166" i="5"/>
  <c r="I166" i="5"/>
  <c r="G146" i="5"/>
  <c r="I146" i="5"/>
  <c r="G88" i="5"/>
  <c r="I88" i="5"/>
  <c r="D68" i="3"/>
  <c r="E68" i="3"/>
  <c r="D67" i="3"/>
  <c r="F67" i="3" s="1"/>
  <c r="E67" i="3"/>
  <c r="G67" i="3"/>
  <c r="H67" i="3"/>
  <c r="I67" i="3"/>
  <c r="J67" i="3"/>
  <c r="B67" i="3"/>
  <c r="D66" i="3"/>
  <c r="F66" i="3" s="1"/>
  <c r="E66" i="3"/>
  <c r="G66" i="3"/>
  <c r="H66" i="3"/>
  <c r="I66" i="3"/>
  <c r="J66" i="3"/>
  <c r="B66" i="3"/>
  <c r="F65" i="3"/>
  <c r="G65" i="3"/>
  <c r="H65" i="3"/>
  <c r="I65" i="3"/>
  <c r="J65" i="3"/>
  <c r="B65" i="3"/>
  <c r="G127" i="5"/>
  <c r="I127" i="5"/>
  <c r="K15" i="6"/>
  <c r="U99" i="2" s="1"/>
  <c r="J15" i="6"/>
  <c r="O99" i="2"/>
  <c r="J18" i="6"/>
  <c r="O102" i="2"/>
  <c r="K18" i="6"/>
  <c r="U102" i="2" s="1"/>
  <c r="O100" i="2"/>
  <c r="K16" i="6"/>
  <c r="U100" i="2" s="1"/>
  <c r="J16" i="6"/>
  <c r="C23" i="2"/>
  <c r="J13" i="6"/>
  <c r="K13" i="6"/>
  <c r="U97" i="2" s="1"/>
  <c r="O97" i="2"/>
  <c r="D35" i="2"/>
  <c r="O103" i="2"/>
  <c r="K19" i="6"/>
  <c r="U103" i="2" s="1"/>
  <c r="J19" i="6"/>
  <c r="J14" i="6"/>
  <c r="O98" i="2"/>
  <c r="K14" i="6"/>
  <c r="U98" i="2" s="1"/>
  <c r="J26" i="3"/>
  <c r="G26" i="3"/>
  <c r="I26" i="3"/>
  <c r="B42" i="6"/>
  <c r="E26" i="3"/>
  <c r="F26" i="3"/>
  <c r="B42" i="7"/>
  <c r="B26" i="3"/>
  <c r="H26" i="3"/>
  <c r="D26" i="3"/>
  <c r="H23" i="3"/>
  <c r="F23" i="3"/>
  <c r="B39" i="6"/>
  <c r="I23" i="3"/>
  <c r="G23" i="3"/>
  <c r="B39" i="7"/>
  <c r="D23" i="3"/>
  <c r="J23" i="3"/>
  <c r="E23" i="3"/>
  <c r="B23" i="3"/>
  <c r="B27" i="6"/>
  <c r="I217" i="5"/>
  <c r="G217" i="5"/>
  <c r="D217" i="5"/>
  <c r="B217" i="5"/>
  <c r="D215" i="5"/>
  <c r="I11" i="3"/>
  <c r="J217" i="5"/>
  <c r="E217" i="5"/>
  <c r="D11" i="3"/>
  <c r="F11" i="3" s="1"/>
  <c r="E11" i="3"/>
  <c r="H217" i="5"/>
  <c r="C217" i="5"/>
  <c r="J11" i="3"/>
  <c r="F217" i="5"/>
  <c r="H11" i="3"/>
  <c r="G11" i="3"/>
  <c r="B27" i="7"/>
  <c r="B11" i="3"/>
  <c r="B20" i="3"/>
  <c r="D20" i="3"/>
  <c r="I20" i="3"/>
  <c r="G20" i="3"/>
  <c r="H20" i="3"/>
  <c r="B36" i="7"/>
  <c r="B36" i="6"/>
  <c r="F20" i="3"/>
  <c r="J20" i="3"/>
  <c r="E20" i="3"/>
  <c r="B37" i="6"/>
  <c r="F21" i="3"/>
  <c r="J21" i="3"/>
  <c r="H21" i="3"/>
  <c r="B37" i="7"/>
  <c r="E21" i="3"/>
  <c r="I21" i="3"/>
  <c r="G21" i="3"/>
  <c r="B21" i="3"/>
  <c r="D21" i="3"/>
  <c r="J218" i="5"/>
  <c r="B12" i="3"/>
  <c r="E12" i="3"/>
  <c r="E218" i="5"/>
  <c r="G218" i="5"/>
  <c r="G12" i="3"/>
  <c r="B218" i="5"/>
  <c r="J12" i="3"/>
  <c r="H12" i="3"/>
  <c r="F218" i="5"/>
  <c r="B28" i="7"/>
  <c r="H218" i="5"/>
  <c r="D218" i="5"/>
  <c r="B28" i="6"/>
  <c r="C218" i="5"/>
  <c r="D12" i="3"/>
  <c r="F12" i="3" s="1"/>
  <c r="I218" i="5"/>
  <c r="E215" i="5"/>
  <c r="I12" i="3"/>
  <c r="J25" i="3"/>
  <c r="B41" i="6"/>
  <c r="B41" i="7"/>
  <c r="I25" i="3"/>
  <c r="H25" i="3"/>
  <c r="B25" i="3"/>
  <c r="G25" i="3"/>
  <c r="F25" i="3"/>
  <c r="D25" i="3"/>
  <c r="E25" i="3"/>
  <c r="I29" i="3"/>
  <c r="F29" i="3"/>
  <c r="B45" i="6"/>
  <c r="E29" i="3"/>
  <c r="G29" i="3"/>
  <c r="B45" i="7"/>
  <c r="D29" i="3"/>
  <c r="B29" i="3"/>
  <c r="J29" i="3"/>
  <c r="H29" i="3"/>
  <c r="H24" i="3"/>
  <c r="I24" i="3"/>
  <c r="D24" i="3"/>
  <c r="J24" i="3"/>
  <c r="B40" i="7"/>
  <c r="E24" i="3"/>
  <c r="G24" i="3"/>
  <c r="B24" i="3"/>
  <c r="F24" i="3"/>
  <c r="B40" i="6"/>
  <c r="F32" i="3"/>
  <c r="D32" i="3"/>
  <c r="J32" i="3"/>
  <c r="E32" i="3"/>
  <c r="B32" i="3"/>
  <c r="H32" i="3"/>
  <c r="B48" i="7"/>
  <c r="B48" i="6"/>
  <c r="G32" i="3"/>
  <c r="I32" i="3"/>
  <c r="B47" i="6"/>
  <c r="B31" i="3"/>
  <c r="H31" i="3"/>
  <c r="G31" i="3"/>
  <c r="D31" i="3"/>
  <c r="J31" i="3"/>
  <c r="E31" i="3"/>
  <c r="F31" i="3"/>
  <c r="B47" i="7"/>
  <c r="I31" i="3"/>
  <c r="D16" i="3"/>
  <c r="H16" i="3"/>
  <c r="E16" i="3"/>
  <c r="B16" i="3"/>
  <c r="J222" i="5"/>
  <c r="H222" i="5"/>
  <c r="G222" i="5"/>
  <c r="E222" i="5"/>
  <c r="C222" i="5"/>
  <c r="B222" i="5"/>
  <c r="G16" i="3"/>
  <c r="B32" i="7"/>
  <c r="I215" i="5"/>
  <c r="B32" i="6"/>
  <c r="J16" i="3"/>
  <c r="F16" i="3"/>
  <c r="I16" i="3"/>
  <c r="I222" i="5"/>
  <c r="F222" i="5"/>
  <c r="D222" i="5"/>
  <c r="F221" i="5"/>
  <c r="D15" i="3"/>
  <c r="F15" i="3" s="1"/>
  <c r="G15" i="3"/>
  <c r="B31" i="6"/>
  <c r="J221" i="5"/>
  <c r="I221" i="5"/>
  <c r="G221" i="5"/>
  <c r="E221" i="5"/>
  <c r="B221" i="5"/>
  <c r="J15" i="3"/>
  <c r="E15" i="3"/>
  <c r="B31" i="7"/>
  <c r="I15" i="3"/>
  <c r="H215" i="5"/>
  <c r="B15" i="3"/>
  <c r="H221" i="5"/>
  <c r="D221" i="5"/>
  <c r="C221" i="5"/>
  <c r="H15" i="3"/>
  <c r="J49" i="3"/>
  <c r="H49" i="3"/>
  <c r="B65" i="6"/>
  <c r="B65" i="7"/>
  <c r="B49" i="3"/>
  <c r="D49" i="3"/>
  <c r="E49" i="3"/>
  <c r="F49" i="3"/>
  <c r="G49" i="3"/>
  <c r="I49" i="3"/>
  <c r="E48" i="3"/>
  <c r="F48" i="3"/>
  <c r="G48" i="3"/>
  <c r="H48" i="3"/>
  <c r="I48" i="3"/>
  <c r="J48" i="3"/>
  <c r="B64" i="6"/>
  <c r="B64" i="7"/>
  <c r="B48" i="3"/>
  <c r="D48" i="3"/>
  <c r="D47" i="3"/>
  <c r="E47" i="3"/>
  <c r="B47" i="3"/>
  <c r="B63" i="7"/>
  <c r="B63" i="6"/>
  <c r="J47" i="3"/>
  <c r="I47" i="3"/>
  <c r="H47" i="3"/>
  <c r="G47" i="3"/>
  <c r="F47" i="3"/>
  <c r="G46" i="3"/>
  <c r="H46" i="3"/>
  <c r="F46" i="3"/>
  <c r="I46" i="3"/>
  <c r="J46" i="3"/>
  <c r="B62" i="6"/>
  <c r="B62" i="7"/>
  <c r="B46" i="3"/>
  <c r="D46" i="3"/>
  <c r="E46" i="3"/>
  <c r="D45" i="3"/>
  <c r="B45" i="3"/>
  <c r="B61" i="7"/>
  <c r="B61" i="6"/>
  <c r="J45" i="3"/>
  <c r="H45" i="3"/>
  <c r="G45" i="3"/>
  <c r="I45" i="3"/>
  <c r="F45" i="3"/>
  <c r="E45" i="3"/>
  <c r="B44" i="3"/>
  <c r="B60" i="7"/>
  <c r="B60" i="6"/>
  <c r="J44" i="3"/>
  <c r="I44" i="3"/>
  <c r="H44" i="3"/>
  <c r="F44" i="3"/>
  <c r="E44" i="3"/>
  <c r="D44" i="3"/>
  <c r="G44" i="3"/>
  <c r="B59" i="7"/>
  <c r="B43" i="3"/>
  <c r="D43" i="3"/>
  <c r="E43" i="3"/>
  <c r="F43" i="3"/>
  <c r="G43" i="3"/>
  <c r="H43" i="3"/>
  <c r="I43" i="3"/>
  <c r="J43" i="3"/>
  <c r="B59" i="6"/>
  <c r="H42" i="3"/>
  <c r="D42" i="3"/>
  <c r="E42" i="3"/>
  <c r="F42" i="3"/>
  <c r="G42" i="3"/>
  <c r="I42" i="3"/>
  <c r="J42" i="3"/>
  <c r="B58" i="7"/>
  <c r="B58" i="6"/>
  <c r="B42" i="3"/>
  <c r="B57" i="6"/>
  <c r="B57" i="7"/>
  <c r="B41" i="3"/>
  <c r="J41" i="3"/>
  <c r="I41" i="3"/>
  <c r="H41" i="3"/>
  <c r="G41" i="3"/>
  <c r="F41" i="3"/>
  <c r="E41" i="3"/>
  <c r="D41" i="3"/>
  <c r="B40" i="3"/>
  <c r="J40" i="3"/>
  <c r="I40" i="3"/>
  <c r="D40" i="3"/>
  <c r="E40" i="3"/>
  <c r="H40" i="3"/>
  <c r="F40" i="3"/>
  <c r="G40" i="3"/>
  <c r="B56" i="7"/>
  <c r="B56" i="6"/>
  <c r="B55" i="6"/>
  <c r="D39" i="3"/>
  <c r="E39" i="3"/>
  <c r="F39" i="3"/>
  <c r="G39" i="3"/>
  <c r="H39" i="3"/>
  <c r="I39" i="3"/>
  <c r="J39" i="3"/>
  <c r="B55" i="7"/>
  <c r="B39" i="3"/>
  <c r="B38" i="3"/>
  <c r="B54" i="7"/>
  <c r="J38" i="3"/>
  <c r="I38" i="3"/>
  <c r="H38" i="3"/>
  <c r="G38" i="3"/>
  <c r="B54" i="6"/>
  <c r="E38" i="3"/>
  <c r="F38" i="3"/>
  <c r="D38" i="3"/>
  <c r="B37" i="3"/>
  <c r="B53" i="7"/>
  <c r="B53" i="6"/>
  <c r="J37" i="3"/>
  <c r="I37" i="3"/>
  <c r="H37" i="3"/>
  <c r="G37" i="3"/>
  <c r="F37" i="3"/>
  <c r="E37" i="3"/>
  <c r="D37" i="3"/>
  <c r="I36" i="3"/>
  <c r="B52" i="7"/>
  <c r="B52" i="6"/>
  <c r="J36" i="3"/>
  <c r="B36" i="3"/>
  <c r="H36" i="3"/>
  <c r="G36" i="3"/>
  <c r="F36" i="3"/>
  <c r="E36" i="3"/>
  <c r="D36" i="3"/>
  <c r="F35" i="3"/>
  <c r="B51" i="6"/>
  <c r="B51" i="7"/>
  <c r="B35" i="3"/>
  <c r="J35" i="3"/>
  <c r="D35" i="3"/>
  <c r="E35" i="3"/>
  <c r="I35" i="3"/>
  <c r="H35" i="3"/>
  <c r="G35" i="3"/>
  <c r="D34" i="3"/>
  <c r="E34" i="3"/>
  <c r="F34" i="3"/>
  <c r="G34" i="3"/>
  <c r="H34" i="3"/>
  <c r="I34" i="3"/>
  <c r="J34" i="3"/>
  <c r="B50" i="7"/>
  <c r="B50" i="6"/>
  <c r="B34" i="3"/>
  <c r="I33" i="3"/>
  <c r="B33" i="3"/>
  <c r="D33" i="3"/>
  <c r="E33" i="3"/>
  <c r="F33" i="3"/>
  <c r="G33" i="3"/>
  <c r="H33" i="3"/>
  <c r="J33" i="3"/>
  <c r="B49" i="6"/>
  <c r="B49" i="7"/>
  <c r="E22" i="3"/>
  <c r="I22" i="3"/>
  <c r="B38" i="6"/>
  <c r="B22" i="3"/>
  <c r="F22" i="3"/>
  <c r="J22" i="3"/>
  <c r="B38" i="7"/>
  <c r="D22" i="3"/>
  <c r="H22" i="3"/>
  <c r="G22" i="3"/>
  <c r="J18" i="3"/>
  <c r="G18" i="3"/>
  <c r="H18" i="3"/>
  <c r="D18" i="3"/>
  <c r="F18" i="3" s="1"/>
  <c r="B34" i="6"/>
  <c r="E18" i="3"/>
  <c r="B34" i="7"/>
  <c r="I18" i="3"/>
  <c r="B18" i="3"/>
  <c r="B46" i="6"/>
  <c r="E30" i="3"/>
  <c r="H30" i="3"/>
  <c r="F30" i="3"/>
  <c r="J30" i="3"/>
  <c r="B46" i="7"/>
  <c r="B30" i="3"/>
  <c r="G30" i="3"/>
  <c r="I30" i="3"/>
  <c r="D30" i="3"/>
  <c r="B44" i="7"/>
  <c r="D28" i="3"/>
  <c r="E28" i="3"/>
  <c r="J28" i="3"/>
  <c r="G28" i="3"/>
  <c r="I28" i="3"/>
  <c r="H28" i="3"/>
  <c r="B44" i="6"/>
  <c r="F28" i="3"/>
  <c r="B28" i="3"/>
  <c r="E27" i="3"/>
  <c r="H27" i="3"/>
  <c r="I27" i="3"/>
  <c r="F27" i="3"/>
  <c r="G27" i="3"/>
  <c r="D27" i="3"/>
  <c r="B27" i="3"/>
  <c r="B43" i="7"/>
  <c r="B43" i="6"/>
  <c r="J27" i="3"/>
  <c r="B35" i="7"/>
  <c r="D19" i="3"/>
  <c r="F19" i="3" s="1"/>
  <c r="G19" i="3"/>
  <c r="I19" i="3"/>
  <c r="B35" i="6"/>
  <c r="E19" i="3"/>
  <c r="J19" i="3"/>
  <c r="B19" i="3"/>
  <c r="H19" i="3"/>
  <c r="J17" i="3"/>
  <c r="J215" i="5"/>
  <c r="D17" i="3"/>
  <c r="B33" i="7"/>
  <c r="I223" i="5"/>
  <c r="F223" i="5"/>
  <c r="D223" i="5"/>
  <c r="B223" i="5"/>
  <c r="F17" i="3"/>
  <c r="G17" i="3"/>
  <c r="E17" i="3"/>
  <c r="I17" i="3"/>
  <c r="C223" i="5"/>
  <c r="H17" i="3"/>
  <c r="B17" i="3"/>
  <c r="B33" i="6"/>
  <c r="J223" i="5"/>
  <c r="H223" i="5"/>
  <c r="G223" i="5"/>
  <c r="E223" i="5"/>
  <c r="B14" i="3"/>
  <c r="E220" i="5"/>
  <c r="J220" i="5"/>
  <c r="H220" i="5"/>
  <c r="C220" i="5"/>
  <c r="G215" i="5"/>
  <c r="J14" i="3"/>
  <c r="B220" i="5"/>
  <c r="E14" i="3"/>
  <c r="B30" i="7"/>
  <c r="B30" i="6"/>
  <c r="D14" i="3"/>
  <c r="I220" i="5"/>
  <c r="G220" i="5"/>
  <c r="F220" i="5"/>
  <c r="D220" i="5"/>
  <c r="I14" i="3"/>
  <c r="G14" i="3"/>
  <c r="F14" i="3"/>
  <c r="H14" i="3"/>
  <c r="J13" i="3"/>
  <c r="H13" i="3"/>
  <c r="J219" i="5"/>
  <c r="E219" i="5"/>
  <c r="D219" i="5"/>
  <c r="D13" i="3"/>
  <c r="I13" i="3"/>
  <c r="B29" i="7"/>
  <c r="F215" i="5"/>
  <c r="G13" i="3"/>
  <c r="G219" i="5"/>
  <c r="B219" i="5"/>
  <c r="E13" i="3"/>
  <c r="I219" i="5"/>
  <c r="H219" i="5"/>
  <c r="F219" i="5"/>
  <c r="C219" i="5"/>
  <c r="F13" i="3"/>
  <c r="B29" i="6"/>
  <c r="B13" i="3"/>
  <c r="F216" i="5"/>
  <c r="I216" i="5"/>
  <c r="J216" i="5"/>
  <c r="H10" i="3"/>
  <c r="C215" i="5"/>
  <c r="B216" i="5"/>
  <c r="H216" i="5"/>
  <c r="I10" i="3"/>
  <c r="B10" i="3"/>
  <c r="G10" i="3"/>
  <c r="G216" i="5"/>
  <c r="E216" i="5"/>
  <c r="E10" i="3"/>
  <c r="B26" i="7"/>
  <c r="D216" i="5"/>
  <c r="J10" i="3"/>
  <c r="D10" i="3"/>
  <c r="F10" i="3" s="1"/>
  <c r="B26" i="6"/>
  <c r="C216" i="5"/>
  <c r="D70" i="3"/>
  <c r="B70" i="3"/>
  <c r="J70" i="3"/>
  <c r="I70" i="3"/>
  <c r="H70" i="3"/>
  <c r="G70" i="3"/>
  <c r="F70" i="3"/>
  <c r="E70" i="3"/>
  <c r="B69" i="3"/>
  <c r="J69" i="3"/>
  <c r="I69" i="3"/>
  <c r="H69" i="3"/>
  <c r="G69" i="3"/>
  <c r="E69" i="3"/>
  <c r="D69" i="3"/>
  <c r="F69" i="3" s="1"/>
  <c r="B68" i="3"/>
  <c r="J68" i="3"/>
  <c r="I68" i="3"/>
  <c r="H68" i="3"/>
  <c r="G68" i="3"/>
  <c r="F68" i="3"/>
  <c r="G29" i="5"/>
  <c r="I29" i="5"/>
  <c r="I201" i="5"/>
  <c r="G201" i="5"/>
  <c r="G182" i="5"/>
  <c r="I182" i="5"/>
  <c r="G89" i="5"/>
  <c r="I89" i="5"/>
  <c r="O13" i="2"/>
  <c r="K17" i="6"/>
  <c r="U101" i="2" s="1"/>
  <c r="J17" i="6"/>
  <c r="O101" i="2"/>
  <c r="D26" i="6"/>
  <c r="F26" i="6"/>
  <c r="G26" i="6"/>
  <c r="C26" i="6"/>
  <c r="C26" i="7"/>
  <c r="E26" i="7"/>
  <c r="H26" i="7"/>
  <c r="F29" i="6"/>
  <c r="C29" i="6"/>
  <c r="D29" i="6"/>
  <c r="G29" i="6"/>
  <c r="H29" i="7"/>
  <c r="E29" i="7"/>
  <c r="C29" i="7"/>
  <c r="D29" i="7" s="1"/>
  <c r="E30" i="7"/>
  <c r="F30" i="7" s="1"/>
  <c r="C30" i="7"/>
  <c r="D30" i="7" s="1"/>
  <c r="H30" i="7"/>
  <c r="G30" i="7"/>
  <c r="G30" i="6"/>
  <c r="F30" i="6"/>
  <c r="C30" i="6"/>
  <c r="D30" i="6"/>
  <c r="C33" i="7"/>
  <c r="E33" i="7"/>
  <c r="G33" i="7" s="1"/>
  <c r="H33" i="7"/>
  <c r="D33" i="6"/>
  <c r="G33" i="6"/>
  <c r="F33" i="6"/>
  <c r="C33" i="6"/>
  <c r="G35" i="7"/>
  <c r="C35" i="7"/>
  <c r="E35" i="7"/>
  <c r="F35" i="7" s="1"/>
  <c r="H35" i="7"/>
  <c r="D35" i="6"/>
  <c r="F35" i="6"/>
  <c r="C35" i="6"/>
  <c r="G35" i="6"/>
  <c r="F43" i="6"/>
  <c r="D43" i="6"/>
  <c r="C43" i="6"/>
  <c r="G43" i="6"/>
  <c r="E43" i="7"/>
  <c r="H43" i="7"/>
  <c r="C43" i="7"/>
  <c r="G43" i="7"/>
  <c r="D43" i="7"/>
  <c r="F43" i="7"/>
  <c r="G44" i="6"/>
  <c r="D44" i="6"/>
  <c r="F44" i="6"/>
  <c r="C44" i="6"/>
  <c r="F44" i="7"/>
  <c r="G44" i="7"/>
  <c r="H44" i="7"/>
  <c r="C44" i="7"/>
  <c r="D44" i="7" s="1"/>
  <c r="E44" i="7"/>
  <c r="G46" i="6"/>
  <c r="F46" i="6"/>
  <c r="C46" i="6"/>
  <c r="D46" i="6"/>
  <c r="G46" i="7"/>
  <c r="E46" i="7"/>
  <c r="C46" i="7"/>
  <c r="D46" i="7" s="1"/>
  <c r="F46" i="7"/>
  <c r="H46" i="7"/>
  <c r="E34" i="7"/>
  <c r="F34" i="7" s="1"/>
  <c r="G34" i="7"/>
  <c r="H34" i="7"/>
  <c r="C34" i="7"/>
  <c r="G34" i="6"/>
  <c r="C34" i="6"/>
  <c r="D34" i="6"/>
  <c r="F34" i="6"/>
  <c r="F38" i="6"/>
  <c r="G38" i="6"/>
  <c r="C38" i="6"/>
  <c r="D38" i="6"/>
  <c r="H38" i="7"/>
  <c r="F38" i="7"/>
  <c r="G38" i="7"/>
  <c r="E38" i="7"/>
  <c r="C38" i="7"/>
  <c r="D38" i="7" s="1"/>
  <c r="G49" i="6"/>
  <c r="F49" i="6"/>
  <c r="C49" i="6"/>
  <c r="D49" i="6"/>
  <c r="E49" i="7"/>
  <c r="F49" i="7"/>
  <c r="G49" i="7"/>
  <c r="C49" i="7"/>
  <c r="D49" i="7" s="1"/>
  <c r="H49" i="7"/>
  <c r="E50" i="7"/>
  <c r="G50" i="7"/>
  <c r="C50" i="7"/>
  <c r="D50" i="7" s="1"/>
  <c r="F50" i="7"/>
  <c r="H50" i="7"/>
  <c r="G50" i="6"/>
  <c r="C50" i="6"/>
  <c r="F50" i="6"/>
  <c r="D50" i="6"/>
  <c r="F51" i="6"/>
  <c r="C51" i="6"/>
  <c r="G51" i="6"/>
  <c r="D51" i="6"/>
  <c r="G51" i="7"/>
  <c r="C51" i="7"/>
  <c r="D51" i="7" s="1"/>
  <c r="F51" i="7"/>
  <c r="E51" i="7"/>
  <c r="H51" i="7"/>
  <c r="F52" i="6"/>
  <c r="D52" i="6"/>
  <c r="C52" i="6"/>
  <c r="G52" i="6"/>
  <c r="G52" i="7"/>
  <c r="E52" i="7"/>
  <c r="F52" i="7"/>
  <c r="C52" i="7"/>
  <c r="D52" i="7" s="1"/>
  <c r="H52" i="7"/>
  <c r="D53" i="6"/>
  <c r="C53" i="6"/>
  <c r="G53" i="6"/>
  <c r="F53" i="6"/>
  <c r="E53" i="7"/>
  <c r="G53" i="7"/>
  <c r="C53" i="7"/>
  <c r="F53" i="7"/>
  <c r="H53" i="7"/>
  <c r="D53" i="7"/>
  <c r="D54" i="6"/>
  <c r="G54" i="6"/>
  <c r="C54" i="6"/>
  <c r="F54" i="6"/>
  <c r="E54" i="7"/>
  <c r="C57" i="6"/>
  <c r="D57" i="6"/>
  <c r="G57" i="6"/>
  <c r="F57" i="6"/>
  <c r="F57" i="7"/>
  <c r="G57" i="7"/>
  <c r="E57" i="7"/>
  <c r="C57" i="7"/>
  <c r="D57" i="7" s="1"/>
  <c r="H57" i="7"/>
  <c r="F58" i="7"/>
  <c r="C58" i="7"/>
  <c r="D58" i="7" s="1"/>
  <c r="H58" i="7"/>
  <c r="E58" i="7"/>
  <c r="G58" i="7"/>
  <c r="G58" i="6"/>
  <c r="D58" i="6"/>
  <c r="C58" i="6"/>
  <c r="F58" i="6"/>
  <c r="D59" i="6"/>
  <c r="G59" i="6"/>
  <c r="C59" i="6"/>
  <c r="F59" i="6"/>
  <c r="H59" i="7"/>
  <c r="C59" i="7"/>
  <c r="D59" i="7" s="1"/>
  <c r="F59" i="7"/>
  <c r="E59" i="7"/>
  <c r="G59" i="7"/>
  <c r="F60" i="6"/>
  <c r="D60" i="6"/>
  <c r="C60" i="6"/>
  <c r="G60" i="6"/>
  <c r="F60" i="7"/>
  <c r="E60" i="7"/>
  <c r="H130" i="4"/>
  <c r="I130" i="4"/>
  <c r="I128" i="4"/>
  <c r="H128" i="4"/>
  <c r="I123" i="4"/>
  <c r="H123" i="4"/>
  <c r="I119" i="4"/>
  <c r="H119" i="4"/>
  <c r="I116" i="4"/>
  <c r="H116" i="4"/>
  <c r="H96" i="4"/>
  <c r="I96" i="4"/>
  <c r="H90" i="4"/>
  <c r="I90" i="4"/>
  <c r="I89" i="4"/>
  <c r="H89" i="4"/>
  <c r="H71" i="4"/>
  <c r="I71" i="4"/>
  <c r="H140" i="4"/>
  <c r="I140" i="4"/>
  <c r="I129" i="4"/>
  <c r="H129" i="4"/>
  <c r="I127" i="4"/>
  <c r="H127" i="4"/>
  <c r="H126" i="4"/>
  <c r="I126" i="4"/>
  <c r="H103" i="4"/>
  <c r="I103" i="4"/>
  <c r="H102" i="4"/>
  <c r="I102" i="4"/>
  <c r="I95" i="4"/>
  <c r="H95" i="4"/>
  <c r="I79" i="4"/>
  <c r="H79" i="4"/>
  <c r="H76" i="4"/>
  <c r="I76" i="4"/>
  <c r="H75" i="4"/>
  <c r="I75" i="4"/>
  <c r="I74" i="4"/>
  <c r="H74" i="4"/>
  <c r="H73" i="4"/>
  <c r="I73" i="4"/>
  <c r="I138" i="4"/>
  <c r="H138" i="4"/>
  <c r="I137" i="4"/>
  <c r="H137" i="4"/>
  <c r="I136" i="4"/>
  <c r="H136" i="4"/>
  <c r="I133" i="4"/>
  <c r="H133" i="4"/>
  <c r="I131" i="4"/>
  <c r="H131" i="4"/>
  <c r="H120" i="4"/>
  <c r="I120" i="4"/>
  <c r="I118" i="4"/>
  <c r="H118" i="4"/>
  <c r="I115" i="4"/>
  <c r="H115" i="4"/>
  <c r="H110" i="4"/>
  <c r="I110" i="4"/>
  <c r="I92" i="4"/>
  <c r="H92" i="4"/>
  <c r="I88" i="4"/>
  <c r="H88" i="4"/>
  <c r="I87" i="4"/>
  <c r="H87" i="4"/>
  <c r="I82" i="4"/>
  <c r="H82" i="4"/>
  <c r="I77" i="4"/>
  <c r="H77" i="4"/>
  <c r="H143" i="4"/>
  <c r="I143" i="4"/>
  <c r="I124" i="4"/>
  <c r="H124" i="4"/>
  <c r="I113" i="4"/>
  <c r="H113" i="4"/>
  <c r="I111" i="4"/>
  <c r="H111" i="4"/>
  <c r="I108" i="4"/>
  <c r="H108" i="4"/>
  <c r="I83" i="4"/>
  <c r="H83" i="4"/>
  <c r="H78" i="4"/>
  <c r="I78" i="4"/>
  <c r="I69" i="4"/>
  <c r="H69" i="4"/>
  <c r="I145" i="4"/>
  <c r="H145" i="4"/>
  <c r="H144" i="4"/>
  <c r="I144" i="4"/>
  <c r="I139" i="4"/>
  <c r="H139" i="4"/>
  <c r="I135" i="4"/>
  <c r="H135" i="4"/>
  <c r="H125" i="4"/>
  <c r="I125" i="4"/>
  <c r="I121" i="4"/>
  <c r="H121" i="4"/>
  <c r="I114" i="4"/>
  <c r="H114" i="4"/>
  <c r="I112" i="4"/>
  <c r="H112" i="4"/>
  <c r="I105" i="4"/>
  <c r="H105" i="4"/>
  <c r="I104" i="4"/>
  <c r="H104" i="4"/>
  <c r="H100" i="4"/>
  <c r="I100" i="4"/>
  <c r="I99" i="4"/>
  <c r="H99" i="4"/>
  <c r="I94" i="4"/>
  <c r="H94" i="4"/>
  <c r="I93" i="4"/>
  <c r="H93" i="4"/>
  <c r="H86" i="4"/>
  <c r="I86" i="4"/>
  <c r="I80" i="4"/>
  <c r="H80" i="4"/>
  <c r="I72" i="4"/>
  <c r="H72" i="4"/>
  <c r="H68" i="4"/>
  <c r="I68" i="4"/>
  <c r="H132" i="4"/>
  <c r="I132" i="4"/>
  <c r="I107" i="4"/>
  <c r="H107" i="4"/>
  <c r="I84" i="4"/>
  <c r="H84" i="4"/>
  <c r="I134" i="4"/>
  <c r="H134" i="4"/>
  <c r="I122" i="4"/>
  <c r="H122" i="4"/>
  <c r="H117" i="4"/>
  <c r="I117" i="4"/>
  <c r="I106" i="4"/>
  <c r="H106" i="4"/>
  <c r="I98" i="4"/>
  <c r="H98" i="4"/>
  <c r="H97" i="4"/>
  <c r="I97" i="4"/>
  <c r="I85" i="4"/>
  <c r="H85" i="4"/>
  <c r="I81" i="4"/>
  <c r="H81" i="4"/>
  <c r="H70" i="4"/>
  <c r="I70" i="4"/>
  <c r="H209" i="4"/>
  <c r="I209" i="4"/>
  <c r="H208" i="4"/>
  <c r="I208" i="4"/>
  <c r="H207" i="4"/>
  <c r="I207" i="4"/>
  <c r="H206" i="4"/>
  <c r="I206" i="4"/>
  <c r="H205" i="4"/>
  <c r="I205" i="4"/>
  <c r="H204" i="4"/>
  <c r="I204" i="4"/>
  <c r="H203" i="4"/>
  <c r="I203" i="4"/>
  <c r="H202" i="4"/>
  <c r="I202" i="4"/>
  <c r="H201" i="4"/>
  <c r="I201" i="4"/>
  <c r="H200" i="4"/>
  <c r="I200" i="4"/>
  <c r="H199" i="4"/>
  <c r="I199" i="4"/>
  <c r="H198" i="4"/>
  <c r="I198" i="4"/>
  <c r="H197" i="4"/>
  <c r="I197" i="4"/>
  <c r="H196" i="4"/>
  <c r="I196" i="4"/>
  <c r="H195" i="4"/>
  <c r="I195" i="4"/>
  <c r="H194" i="4"/>
  <c r="I194" i="4"/>
  <c r="H193" i="4"/>
  <c r="I193" i="4"/>
  <c r="H192" i="4"/>
  <c r="I192" i="4"/>
  <c r="H191" i="4"/>
  <c r="I191" i="4"/>
  <c r="H190" i="4"/>
  <c r="I190" i="4"/>
  <c r="H189" i="4"/>
  <c r="I189" i="4"/>
  <c r="H188" i="4"/>
  <c r="I188" i="4"/>
  <c r="H187" i="4"/>
  <c r="I187" i="4"/>
  <c r="H186" i="4"/>
  <c r="I186" i="4"/>
  <c r="H185" i="4"/>
  <c r="I185" i="4"/>
  <c r="H184" i="4"/>
  <c r="I184" i="4"/>
  <c r="H183" i="4"/>
  <c r="I183" i="4"/>
  <c r="H182" i="4"/>
  <c r="I182" i="4"/>
  <c r="H181" i="4"/>
  <c r="I181" i="4"/>
  <c r="H180" i="4"/>
  <c r="I180" i="4"/>
  <c r="H179" i="4"/>
  <c r="I179" i="4"/>
  <c r="H178" i="4"/>
  <c r="I178" i="4"/>
  <c r="H177" i="4"/>
  <c r="I177" i="4"/>
  <c r="H176" i="4"/>
  <c r="I176" i="4"/>
  <c r="H175" i="4"/>
  <c r="I175" i="4"/>
  <c r="H174" i="4"/>
  <c r="I174" i="4"/>
  <c r="H173" i="4"/>
  <c r="I173" i="4"/>
  <c r="H172" i="4"/>
  <c r="I172" i="4"/>
  <c r="H171" i="4"/>
  <c r="I171" i="4"/>
  <c r="H170" i="4"/>
  <c r="I170" i="4"/>
  <c r="H169" i="4"/>
  <c r="I169" i="4"/>
  <c r="H168" i="4"/>
  <c r="I168" i="4"/>
  <c r="H167" i="4"/>
  <c r="I167" i="4"/>
  <c r="H166" i="4"/>
  <c r="I166" i="4"/>
  <c r="H165" i="4"/>
  <c r="I165" i="4"/>
  <c r="H164" i="4"/>
  <c r="I164" i="4"/>
  <c r="H163" i="4"/>
  <c r="I163" i="4"/>
  <c r="H162" i="4"/>
  <c r="I162" i="4"/>
  <c r="H161" i="4"/>
  <c r="I161" i="4"/>
  <c r="H160" i="4"/>
  <c r="I160" i="4"/>
  <c r="H159" i="4"/>
  <c r="I159" i="4"/>
  <c r="H158" i="4"/>
  <c r="I158" i="4"/>
  <c r="H157" i="4"/>
  <c r="I157" i="4"/>
  <c r="H156" i="4"/>
  <c r="I156" i="4"/>
  <c r="H155" i="4"/>
  <c r="I155" i="4"/>
  <c r="H154" i="4"/>
  <c r="I154" i="4"/>
  <c r="H153" i="4"/>
  <c r="I153" i="4"/>
  <c r="H152" i="4"/>
  <c r="I152" i="4"/>
  <c r="H151" i="4"/>
  <c r="I151" i="4"/>
  <c r="H150" i="4"/>
  <c r="I150" i="4"/>
  <c r="H149" i="4"/>
  <c r="I149" i="4"/>
  <c r="H148" i="4"/>
  <c r="I148" i="4"/>
  <c r="H147" i="4"/>
  <c r="I147" i="4"/>
  <c r="H146" i="4"/>
  <c r="I146" i="4"/>
  <c r="I142" i="4"/>
  <c r="H142" i="4"/>
  <c r="H141" i="4"/>
  <c r="I141" i="4"/>
  <c r="I109" i="4"/>
  <c r="H109" i="4"/>
  <c r="I101" i="4"/>
  <c r="H101" i="4"/>
  <c r="H91" i="4"/>
  <c r="I91" i="4"/>
  <c r="I67" i="4"/>
  <c r="H67" i="4"/>
  <c r="H66" i="4"/>
  <c r="I66" i="4"/>
  <c r="H65" i="4"/>
  <c r="I65" i="4"/>
  <c r="H64" i="4"/>
  <c r="I64" i="4"/>
  <c r="H63" i="4"/>
  <c r="I63" i="4"/>
  <c r="H62" i="4"/>
  <c r="I62" i="4"/>
  <c r="H61" i="4"/>
  <c r="I61" i="4"/>
  <c r="H60" i="4"/>
  <c r="I60" i="4"/>
  <c r="H59" i="4"/>
  <c r="I59" i="4"/>
  <c r="H58" i="4"/>
  <c r="I58" i="4"/>
  <c r="H57" i="4"/>
  <c r="I57" i="4"/>
  <c r="H56" i="4"/>
  <c r="I56" i="4"/>
  <c r="H55" i="4"/>
  <c r="I55" i="4"/>
  <c r="H54" i="4"/>
  <c r="I54" i="4"/>
  <c r="H53" i="4"/>
  <c r="I53" i="4"/>
  <c r="H52" i="4"/>
  <c r="I52" i="4"/>
  <c r="H51" i="4"/>
  <c r="I51" i="4"/>
  <c r="H50" i="4"/>
  <c r="I50" i="4"/>
  <c r="H49" i="4"/>
  <c r="I49" i="4"/>
  <c r="H48" i="4"/>
  <c r="I48" i="4"/>
  <c r="H47" i="4"/>
  <c r="I47" i="4"/>
  <c r="H46" i="4"/>
  <c r="I46" i="4"/>
  <c r="H45" i="4"/>
  <c r="I45" i="4"/>
  <c r="H44" i="4"/>
  <c r="I44" i="4"/>
  <c r="H43" i="4"/>
  <c r="I43" i="4"/>
  <c r="H42" i="4"/>
  <c r="I42" i="4"/>
  <c r="H41" i="4"/>
  <c r="I41" i="4"/>
  <c r="H40" i="4"/>
  <c r="I40" i="4"/>
  <c r="H39" i="4"/>
  <c r="I39" i="4"/>
  <c r="H38" i="4"/>
  <c r="I38" i="4"/>
  <c r="H37" i="4"/>
  <c r="I37" i="4"/>
  <c r="H36" i="4"/>
  <c r="I36" i="4"/>
  <c r="H35" i="4"/>
  <c r="I35" i="4"/>
  <c r="H34" i="4"/>
  <c r="I34" i="4"/>
  <c r="H33" i="4"/>
  <c r="I33" i="4"/>
  <c r="H32" i="4"/>
  <c r="I32" i="4"/>
  <c r="H31" i="4"/>
  <c r="I31" i="4"/>
  <c r="H30" i="4"/>
  <c r="I30" i="4"/>
  <c r="H29" i="4"/>
  <c r="I29" i="4"/>
  <c r="H28" i="4"/>
  <c r="I28" i="4"/>
  <c r="H27" i="4"/>
  <c r="I27" i="4"/>
  <c r="H26" i="4"/>
  <c r="I26" i="4"/>
  <c r="H25" i="4"/>
  <c r="I25" i="4"/>
  <c r="H24" i="4"/>
  <c r="I24" i="4"/>
  <c r="H23" i="4"/>
  <c r="I23" i="4"/>
  <c r="H22" i="4"/>
  <c r="I22" i="4"/>
  <c r="H21" i="4"/>
  <c r="I21" i="4"/>
  <c r="H20" i="4"/>
  <c r="I20" i="4"/>
  <c r="H19" i="4"/>
  <c r="I19" i="4"/>
  <c r="H18" i="4"/>
  <c r="I18" i="4"/>
  <c r="H17" i="4"/>
  <c r="I17" i="4"/>
  <c r="H16" i="4"/>
  <c r="I16" i="4"/>
  <c r="H15" i="4"/>
  <c r="I15" i="4"/>
  <c r="H14" i="4"/>
  <c r="I14" i="4"/>
  <c r="H13" i="4"/>
  <c r="I13" i="4"/>
  <c r="H12" i="4"/>
  <c r="I12" i="4"/>
  <c r="H10" i="4"/>
  <c r="I10" i="4"/>
  <c r="C16" i="8"/>
  <c r="G50" i="5"/>
  <c r="I50" i="5"/>
  <c r="I18" i="5"/>
  <c r="G18" i="5"/>
  <c r="G52" i="5"/>
  <c r="I52" i="5"/>
  <c r="I41" i="5"/>
  <c r="G41" i="5"/>
  <c r="G38" i="5"/>
  <c r="I38" i="5"/>
  <c r="G12" i="5"/>
  <c r="I12" i="5"/>
  <c r="G35" i="5"/>
  <c r="I35" i="5"/>
  <c r="G16" i="5"/>
  <c r="I16" i="5"/>
  <c r="I34" i="5"/>
  <c r="G34" i="5"/>
  <c r="I15" i="5"/>
  <c r="G15" i="5"/>
  <c r="I19" i="5"/>
  <c r="G19" i="5"/>
  <c r="I45" i="5"/>
  <c r="G45" i="5"/>
  <c r="I36" i="5"/>
  <c r="G36" i="5"/>
  <c r="I23" i="5"/>
  <c r="G23" i="5"/>
  <c r="G14" i="5"/>
  <c r="I14" i="5"/>
  <c r="I11" i="5"/>
  <c r="G11" i="5"/>
  <c r="G202" i="5"/>
  <c r="I202" i="5"/>
  <c r="I129" i="5"/>
  <c r="G129" i="5"/>
  <c r="G107" i="5"/>
  <c r="I107" i="5"/>
  <c r="I106" i="5"/>
  <c r="G106" i="5"/>
  <c r="G93" i="5"/>
  <c r="I93" i="5"/>
  <c r="I87" i="5"/>
  <c r="G87" i="5"/>
  <c r="G82" i="5"/>
  <c r="I82" i="5"/>
  <c r="G79" i="5"/>
  <c r="I79" i="5"/>
  <c r="G78" i="5"/>
  <c r="I78" i="5"/>
  <c r="G77" i="5"/>
  <c r="I77" i="5"/>
  <c r="G76" i="5"/>
  <c r="I76" i="5"/>
  <c r="G74" i="5"/>
  <c r="I74" i="5"/>
  <c r="G73" i="5"/>
  <c r="I73" i="5"/>
  <c r="I71" i="5"/>
  <c r="G71" i="5"/>
  <c r="I68" i="5"/>
  <c r="G68" i="5"/>
  <c r="G67" i="5"/>
  <c r="I67" i="5"/>
  <c r="G66" i="5"/>
  <c r="I66" i="5"/>
  <c r="I64" i="5"/>
  <c r="G64" i="5"/>
  <c r="I59" i="5"/>
  <c r="G59" i="5"/>
  <c r="I58" i="5"/>
  <c r="G58" i="5"/>
  <c r="I54" i="5"/>
  <c r="G54" i="5"/>
  <c r="I11" i="4" l="1"/>
  <c r="H11" i="4"/>
  <c r="D31" i="2" s="1"/>
  <c r="G47" i="7"/>
  <c r="C47" i="7"/>
  <c r="D47" i="7" s="1"/>
  <c r="F47" i="7"/>
  <c r="E47" i="7"/>
  <c r="H47" i="7"/>
  <c r="H32" i="7"/>
  <c r="G32" i="7"/>
  <c r="C32" i="7"/>
  <c r="D32" i="7" s="1"/>
  <c r="E32" i="7"/>
  <c r="F32" i="7" s="1"/>
  <c r="D32" i="6"/>
  <c r="G32" i="6"/>
  <c r="F32" i="6"/>
  <c r="C32" i="6"/>
  <c r="G31" i="6"/>
  <c r="D31" i="6"/>
  <c r="F31" i="6"/>
  <c r="C31" i="6"/>
  <c r="H31" i="7"/>
  <c r="E31" i="7"/>
  <c r="C31" i="7"/>
  <c r="D31" i="7" s="1"/>
  <c r="G65" i="6"/>
  <c r="D65" i="6"/>
  <c r="C65" i="6"/>
  <c r="F65" i="6"/>
  <c r="H65" i="7"/>
  <c r="F65" i="7"/>
  <c r="G65" i="7"/>
  <c r="E65" i="7"/>
  <c r="C65" i="7"/>
  <c r="D65" i="7" s="1"/>
  <c r="F64" i="6"/>
  <c r="D64" i="6"/>
  <c r="C64" i="6"/>
  <c r="G64" i="6"/>
  <c r="C64" i="7"/>
  <c r="D64" i="7" s="1"/>
  <c r="H64" i="7"/>
  <c r="F64" i="7"/>
  <c r="G64" i="7"/>
  <c r="E64" i="7"/>
  <c r="H63" i="7"/>
  <c r="F63" i="7"/>
  <c r="C63" i="7"/>
  <c r="D63" i="7" s="1"/>
  <c r="G63" i="7"/>
  <c r="E63" i="7"/>
  <c r="G63" i="6"/>
  <c r="F63" i="6"/>
  <c r="D63" i="6"/>
  <c r="C63" i="6"/>
  <c r="G62" i="6"/>
  <c r="F62" i="6"/>
  <c r="C62" i="6"/>
  <c r="D62" i="6"/>
  <c r="G62" i="7"/>
  <c r="E62" i="7"/>
  <c r="H62" i="7"/>
  <c r="C62" i="7"/>
  <c r="D62" i="7" s="1"/>
  <c r="F62" i="7"/>
  <c r="E61" i="7"/>
  <c r="F61" i="7"/>
  <c r="C61" i="7"/>
  <c r="D61" i="7" s="1"/>
  <c r="G61" i="7"/>
  <c r="H61" i="7"/>
  <c r="D61" i="6"/>
  <c r="C61" i="6"/>
  <c r="G61" i="6"/>
  <c r="F61" i="6"/>
  <c r="H60" i="7"/>
  <c r="C60" i="7"/>
  <c r="D60" i="7" s="1"/>
  <c r="G60" i="7"/>
  <c r="F56" i="7"/>
  <c r="E56" i="7"/>
  <c r="C56" i="7"/>
  <c r="D56" i="7" s="1"/>
  <c r="G56" i="7"/>
  <c r="H56" i="7"/>
  <c r="D56" i="6"/>
  <c r="F56" i="6"/>
  <c r="G56" i="6"/>
  <c r="C56" i="6"/>
  <c r="D55" i="6"/>
  <c r="F55" i="6"/>
  <c r="C55" i="6"/>
  <c r="G55" i="6"/>
  <c r="H55" i="7"/>
  <c r="F55" i="7"/>
  <c r="C55" i="7"/>
  <c r="D55" i="7" s="1"/>
  <c r="G55" i="7"/>
  <c r="E55" i="7"/>
  <c r="F54" i="7"/>
  <c r="H54" i="7"/>
  <c r="C54" i="7"/>
  <c r="D54" i="7" s="1"/>
  <c r="G54" i="7"/>
  <c r="G29" i="7"/>
  <c r="F29" i="7"/>
  <c r="D26" i="7"/>
  <c r="D35" i="7"/>
  <c r="D34" i="7"/>
  <c r="F26" i="7"/>
  <c r="G26" i="7"/>
  <c r="F42" i="6"/>
  <c r="G42" i="6"/>
  <c r="D42" i="6"/>
  <c r="C42" i="6"/>
  <c r="F42" i="7"/>
  <c r="C42" i="7"/>
  <c r="D42" i="7" s="1"/>
  <c r="E42" i="7"/>
  <c r="H42" i="7"/>
  <c r="G42" i="7"/>
  <c r="D39" i="6"/>
  <c r="G39" i="6"/>
  <c r="F39" i="6"/>
  <c r="C39" i="6"/>
  <c r="C39" i="7"/>
  <c r="D39" i="7" s="1"/>
  <c r="H39" i="7"/>
  <c r="E39" i="7"/>
  <c r="F39" i="7"/>
  <c r="G39" i="7"/>
  <c r="F27" i="6"/>
  <c r="D27" i="6"/>
  <c r="G27" i="6"/>
  <c r="C27" i="6"/>
  <c r="C27" i="7"/>
  <c r="H27" i="7"/>
  <c r="E27" i="7"/>
  <c r="E36" i="7"/>
  <c r="G36" i="7" s="1"/>
  <c r="C36" i="7"/>
  <c r="D36" i="7" s="1"/>
  <c r="F36" i="7"/>
  <c r="H36" i="7"/>
  <c r="F36" i="6"/>
  <c r="D36" i="6"/>
  <c r="C36" i="6"/>
  <c r="G36" i="6"/>
  <c r="D37" i="6"/>
  <c r="G37" i="6"/>
  <c r="F37" i="6"/>
  <c r="C37" i="6"/>
  <c r="G37" i="7"/>
  <c r="F37" i="7"/>
  <c r="H37" i="7"/>
  <c r="C37" i="7"/>
  <c r="D37" i="7" s="1"/>
  <c r="E37" i="7"/>
  <c r="C28" i="7"/>
  <c r="E28" i="7"/>
  <c r="F28" i="7" s="1"/>
  <c r="G28" i="7"/>
  <c r="H28" i="7"/>
  <c r="C28" i="6"/>
  <c r="D28" i="6"/>
  <c r="F28" i="6"/>
  <c r="G28" i="6"/>
  <c r="F41" i="6"/>
  <c r="D41" i="6"/>
  <c r="G41" i="6"/>
  <c r="C41" i="6"/>
  <c r="E41" i="7"/>
  <c r="H41" i="7"/>
  <c r="F41" i="7"/>
  <c r="C41" i="7"/>
  <c r="D41" i="7" s="1"/>
  <c r="G41" i="7"/>
  <c r="F45" i="6"/>
  <c r="G45" i="6"/>
  <c r="C45" i="6"/>
  <c r="D45" i="6"/>
  <c r="H45" i="7"/>
  <c r="C45" i="7"/>
  <c r="D45" i="7" s="1"/>
  <c r="E45" i="7"/>
  <c r="G45" i="7"/>
  <c r="F45" i="7"/>
  <c r="H40" i="7"/>
  <c r="C40" i="7"/>
  <c r="D40" i="7" s="1"/>
  <c r="G40" i="7"/>
  <c r="F40" i="7"/>
  <c r="E40" i="7"/>
  <c r="G40" i="6"/>
  <c r="D40" i="6"/>
  <c r="F40" i="6"/>
  <c r="C40" i="6"/>
  <c r="E48" i="7"/>
  <c r="G48" i="7"/>
  <c r="F48" i="7"/>
  <c r="C48" i="7"/>
  <c r="D48" i="7" s="1"/>
  <c r="H48" i="7"/>
  <c r="G48" i="6"/>
  <c r="D48" i="6"/>
  <c r="C48" i="6"/>
  <c r="F48" i="6"/>
  <c r="D47" i="6"/>
  <c r="F47" i="6"/>
  <c r="C47" i="6"/>
  <c r="G47" i="6"/>
  <c r="F33" i="7"/>
  <c r="D33" i="7"/>
  <c r="K26" i="6"/>
  <c r="J26" i="6"/>
  <c r="K29" i="6"/>
  <c r="J29" i="6"/>
  <c r="J30" i="6"/>
  <c r="K30" i="6"/>
  <c r="K33" i="6"/>
  <c r="J33" i="6"/>
  <c r="J35" i="6"/>
  <c r="K35" i="6"/>
  <c r="K43" i="6"/>
  <c r="J43" i="6"/>
  <c r="K44" i="6"/>
  <c r="J44" i="6"/>
  <c r="J46" i="6"/>
  <c r="K46" i="6"/>
  <c r="K34" i="6"/>
  <c r="J34" i="6"/>
  <c r="J38" i="6"/>
  <c r="K38" i="6"/>
  <c r="J49" i="6"/>
  <c r="K49" i="6"/>
  <c r="K50" i="6"/>
  <c r="J50" i="6"/>
  <c r="K51" i="6"/>
  <c r="J51" i="6"/>
  <c r="J52" i="6"/>
  <c r="K52" i="6"/>
  <c r="K53" i="6"/>
  <c r="J53" i="6"/>
  <c r="K54" i="6"/>
  <c r="J54" i="6"/>
  <c r="J55" i="6"/>
  <c r="K55" i="6"/>
  <c r="K57" i="6"/>
  <c r="J57" i="6"/>
  <c r="K58" i="6"/>
  <c r="J58" i="6"/>
  <c r="J59" i="6"/>
  <c r="K59" i="6"/>
  <c r="K60" i="6"/>
  <c r="J60" i="6"/>
  <c r="C14" i="7"/>
  <c r="K32" i="6" l="1"/>
  <c r="J32" i="6"/>
  <c r="J31" i="6"/>
  <c r="K31" i="6"/>
  <c r="G31" i="7"/>
  <c r="F31" i="7"/>
  <c r="K65" i="6"/>
  <c r="J65" i="6"/>
  <c r="K64" i="6"/>
  <c r="J64" i="6"/>
  <c r="K63" i="6"/>
  <c r="J63" i="6"/>
  <c r="J62" i="6"/>
  <c r="K62" i="6"/>
  <c r="J61" i="6"/>
  <c r="K61" i="6"/>
  <c r="K56" i="6"/>
  <c r="J56" i="6"/>
  <c r="F27" i="7"/>
  <c r="G27" i="7"/>
  <c r="D27" i="7"/>
  <c r="D28" i="7"/>
  <c r="J42" i="6"/>
  <c r="K42" i="6"/>
  <c r="K39" i="6"/>
  <c r="J39" i="6"/>
  <c r="J27" i="6"/>
  <c r="K27" i="6"/>
  <c r="K36" i="6"/>
  <c r="J36" i="6"/>
  <c r="K37" i="6"/>
  <c r="J37" i="6"/>
  <c r="J28" i="6"/>
  <c r="K28" i="6"/>
  <c r="K41" i="6"/>
  <c r="J41" i="6"/>
  <c r="K45" i="6"/>
  <c r="J45" i="6"/>
  <c r="K40" i="6"/>
  <c r="J40" i="6"/>
  <c r="J48" i="6"/>
  <c r="K48" i="6"/>
  <c r="K47" i="6"/>
  <c r="J47" i="6"/>
</calcChain>
</file>

<file path=xl/sharedStrings.xml><?xml version="1.0" encoding="utf-8"?>
<sst xmlns="http://schemas.openxmlformats.org/spreadsheetml/2006/main" count="1006" uniqueCount="500">
  <si>
    <t>F L U X   A N A L Y S E R</t>
  </si>
  <si>
    <t>Drop an export in. Read the Report.</t>
  </si>
  <si>
    <t>Nothing to configure to get a first answer.</t>
  </si>
  <si>
    <t>1</t>
  </si>
  <si>
    <t>Export from FLUX</t>
  </si>
  <si>
    <t>In FLUX, open Reports, choose the range you want and export as CSV. The XLSX export works too, but the CSV carries full timestamps and this workbook is built on those.</t>
  </si>
  <si>
    <t>2</t>
  </si>
  <si>
    <t>Paste it into the Data tab</t>
  </si>
  <si>
    <t>Open the CSV, select everything below the header row, and paste into cell A2 of the Data tab. Column order must match the headers already there — it will, if the export is untouched. Paste over the top to refresh; you never need to clear first.</t>
  </si>
  <si>
    <t>3</t>
  </si>
  <si>
    <t>Set your timezone once</t>
  </si>
  <si>
    <t>Settings, first row: the UTC offset for where you work. FLUX writes the date in local time but the timestamps in UTC, so this is what keeps “when the work happens” honest. New Zealand is 12 in winter, 13 in daylight saving.</t>
  </si>
  <si>
    <t>4</t>
  </si>
  <si>
    <t>Read the Report</t>
  </si>
  <si>
    <t>It fills itself in. Everything on it is calculated live from what you pasted — there are no typed-in numbers anywhere in this workbook.</t>
  </si>
  <si>
    <t>5</t>
  </si>
  <si>
    <t>Optional: fill in the rate card</t>
  </si>
  <si>
    <t>Settings lists every field found in your export and lets you put an hourly rate against each. Do that and the Value tab prices the whole period, field by field.</t>
  </si>
  <si>
    <t>WHAT EACH TAB IS FOR</t>
  </si>
  <si>
    <t>Report</t>
  </si>
  <si>
    <t>The one page to look at. Everything else is its working.</t>
  </si>
  <si>
    <t>Where it goes</t>
  </si>
  <si>
    <t>Fields and tasks, ranked, with share and value.</t>
  </si>
  <si>
    <t>Rhythm</t>
  </si>
  <si>
    <t>Day by day: when it started, when it ended, how much of that span is accounted for.</t>
  </si>
  <si>
    <t>Focus</t>
  </si>
  <si>
    <t>Switching and focus blocks, plus a matrix of which field hands off to which.</t>
  </si>
  <si>
    <t>Compare</t>
  </si>
  <si>
    <t>The range split in half and put side by side. The app cannot do this.</t>
  </si>
  <si>
    <t>Value</t>
  </si>
  <si>
    <t>Hours priced through the rate card.</t>
  </si>
  <si>
    <t>Data quality</t>
  </si>
  <si>
    <t>The entries worth checking before anyone reports on them.</t>
  </si>
  <si>
    <t>Settings</t>
  </si>
  <si>
    <t>Five numbers and the rate card.</t>
  </si>
  <si>
    <t>Data</t>
  </si>
  <si>
    <t>Your paste, plus the grey helper columns that everything is built on.</t>
  </si>
  <si>
    <t>The one thing to know</t>
  </si>
  <si>
    <t>A task left running overnight does not just inflate its own total — it inflates its field, its day, its half of the comparison and its value, all at once. The Data quality tab lists those entries so they can be corrected in FLUX before anybody reports on them.</t>
  </si>
  <si>
    <t>Where the time actually went</t>
  </si>
  <si>
    <t>THE HEADLINE</t>
  </si>
  <si>
    <t>HOURS LOGGED</t>
  </si>
  <si>
    <t>A TYPICAL DAY</t>
  </si>
  <si>
    <t>CAPTURE RATE</t>
  </si>
  <si>
    <t>VALUE OF THE PERIOD</t>
  </si>
  <si>
    <t>SWITCHES A DAY</t>
  </si>
  <si>
    <t>DEEP WORK</t>
  </si>
  <si>
    <t>BUSIEST HOUR</t>
  </si>
  <si>
    <t>NEEDS REVIEW</t>
  </si>
  <si>
    <t>WHAT THE NUMBERS SAY</t>
  </si>
  <si>
    <t>Written from the same cells as the tiles above — change a setting and the wording follows.</t>
  </si>
  <si>
    <t>THE SHAPE OF IT</t>
  </si>
  <si>
    <t xml:space="preserve">  Days outside the export read as zero.</t>
  </si>
  <si>
    <t>WHEN THE WORK HAPPENS</t>
  </si>
  <si>
    <t>Hours logged in each hour of each weekday, summed over the whole period. An entry counts against the hour it started in. This is the view the app has no room for.</t>
  </si>
  <si>
    <t>Mon</t>
  </si>
  <si>
    <t>Tue</t>
  </si>
  <si>
    <t>Wed</t>
  </si>
  <si>
    <t>Thu</t>
  </si>
  <si>
    <t>Fri</t>
  </si>
  <si>
    <t>Sat</t>
  </si>
  <si>
    <t>Sun</t>
  </si>
  <si>
    <t>00</t>
  </si>
  <si>
    <t>02</t>
  </si>
  <si>
    <t>04</t>
  </si>
  <si>
    <t>06</t>
  </si>
  <si>
    <t>08</t>
  </si>
  <si>
    <t>10</t>
  </si>
  <si>
    <t>12</t>
  </si>
  <si>
    <t>14</t>
  </si>
  <si>
    <t>16</t>
  </si>
  <si>
    <t>18</t>
  </si>
  <si>
    <t>20</t>
  </si>
  <si>
    <t>22</t>
  </si>
  <si>
    <t>Quieter</t>
  </si>
  <si>
    <t>Busier</t>
  </si>
  <si>
    <t>THEN AND NOW</t>
  </si>
  <si>
    <t>The export split down the middle by date, measured per active day so that halves of different length still compare honestly.</t>
  </si>
  <si>
    <t>PER ACTIVE DAY</t>
  </si>
  <si>
    <t>EARLIER</t>
  </si>
  <si>
    <t>LATER</t>
  </si>
  <si>
    <t>CHANGE</t>
  </si>
  <si>
    <t>Logged hours per active day</t>
  </si>
  <si>
    <t>Entries per active day</t>
  </si>
  <si>
    <t>Average entry length</t>
  </si>
  <si>
    <t>Field switches per active day</t>
  </si>
  <si>
    <t>Share of time in focus blocks</t>
  </si>
  <si>
    <t>Interruptions per active day</t>
  </si>
  <si>
    <t>Value per active day</t>
  </si>
  <si>
    <t>Every figure on this page recalculates from the Data tab. Nothing is typed in.</t>
  </si>
  <si>
    <t>Every field and task in the export, ranked. The bars are live — they redraw against whatever you paste.</t>
  </si>
  <si>
    <t>FIELDS</t>
  </si>
  <si>
    <t>Ordered by hours. “Share” is of all logged time; “value” prices each field through the rate card on Settings.</t>
  </si>
  <si>
    <t>#</t>
  </si>
  <si>
    <t>FIELD</t>
  </si>
  <si>
    <t>HOURS</t>
  </si>
  <si>
    <t>SHARE</t>
  </si>
  <si>
    <t>ENTRIES</t>
  </si>
  <si>
    <t>AVG ENTRY</t>
  </si>
  <si>
    <t>INTERRUPTIONS</t>
  </si>
  <si>
    <t>VALUE</t>
  </si>
  <si>
    <t>TOP 15 TASKS</t>
  </si>
  <si>
    <t>The individual jobs that ate the most time, with the field each belongs to.</t>
  </si>
  <si>
    <t>TASK</t>
  </si>
  <si>
    <t>When each day started, when it ended, and how much of that span carries a timestamp.</t>
  </si>
  <si>
    <t>DAY BY DAY</t>
  </si>
  <si>
    <t>Span runs from the earliest start to the latest stop of the day, and can never be less than the time logged inside it. Unlogged is the rest of that span. A day whose only entry is still running shows no unlogged time — there is nothing yet to measure it against.</t>
  </si>
  <si>
    <t>DAY</t>
  </si>
  <si>
    <t>LOGGED</t>
  </si>
  <si>
    <t>FIRST</t>
  </si>
  <si>
    <t>LAST</t>
  </si>
  <si>
    <t>SPAN</t>
  </si>
  <si>
    <t>UNLOGGED</t>
  </si>
  <si>
    <t>CAPTURE</t>
  </si>
  <si>
    <t>SWITCHES</t>
  </si>
  <si>
    <t>IN FOCUS</t>
  </si>
  <si>
    <t>BY HOUR OF THE DAY</t>
  </si>
  <si>
    <t>An entry is counted against the hour it started in. Times are local — they go through the UTC offset on Settings.</t>
  </si>
  <si>
    <t>HOUR</t>
  </si>
  <si>
    <t>MON</t>
  </si>
  <si>
    <t>TUE</t>
  </si>
  <si>
    <t>WED</t>
  </si>
  <si>
    <t>THU</t>
  </si>
  <si>
    <t>FRI</t>
  </si>
  <si>
    <t>SAT</t>
  </si>
  <si>
    <t>SUN</t>
  </si>
  <si>
    <t>ALL WEEK</t>
  </si>
  <si>
    <t>00:00</t>
  </si>
  <si>
    <t>01:00</t>
  </si>
  <si>
    <t>02:00</t>
  </si>
  <si>
    <t>03:00</t>
  </si>
  <si>
    <t>04:00</t>
  </si>
  <si>
    <t>05:00</t>
  </si>
  <si>
    <t>06:00</t>
  </si>
  <si>
    <t>07:00</t>
  </si>
  <si>
    <t>08:00</t>
  </si>
  <si>
    <t>09:00</t>
  </si>
  <si>
    <t>10:00</t>
  </si>
  <si>
    <t>11:00</t>
  </si>
  <si>
    <t>12:00</t>
  </si>
  <si>
    <t>13:00</t>
  </si>
  <si>
    <t>14:00</t>
  </si>
  <si>
    <t>15:00</t>
  </si>
  <si>
    <t>16:00</t>
  </si>
  <si>
    <t>17:00</t>
  </si>
  <si>
    <t>18:00</t>
  </si>
  <si>
    <t>19:00</t>
  </si>
  <si>
    <t>20:00</t>
  </si>
  <si>
    <t>21:00</t>
  </si>
  <si>
    <t>22:00</t>
  </si>
  <si>
    <t>23:00</t>
  </si>
  <si>
    <t>LAST 28 DAYS, DAY BY DAY</t>
  </si>
  <si>
    <t>A calendar-complete window: every slot is a real date, so a day with no entry shows as zero rather than disappearing. This is what the trend on the Report plots.</t>
  </si>
  <si>
    <t>Focus and switching</t>
  </si>
  <si>
    <t>A day of eight one-hour jobs and a day of sixteen half-hour jobs bill the same and feel nothing alike. This tab measures the difference.</t>
  </si>
  <si>
    <t>PER DAY</t>
  </si>
  <si>
    <t>A switch is an entry whose field differs from the entry before it, same day. A focus block is a single entry at or above the focus minimum on Settings.</t>
  </si>
  <si>
    <t>PER HOUR</t>
  </si>
  <si>
    <t>FOCUS BLOCKS</t>
  </si>
  <si>
    <t>DEAD TIME</t>
  </si>
  <si>
    <t>WHO HANDS OFF TO WHOM</t>
  </si>
  <si>
    <t>Rows are the field being left, columns the field picked up next, same day. Top 8 fields by hours; the diagonal is empty by definition.</t>
  </si>
  <si>
    <t>FROM  ↓   TO  →</t>
  </si>
  <si>
    <t>Then and now</t>
  </si>
  <si>
    <t>The export is split down the middle by date and the two halves put side by side. The app holds one range at a time, so this comparison cannot be made inside it.</t>
  </si>
  <si>
    <t>THE TWO HALVES</t>
  </si>
  <si>
    <t>Halves rarely hold the same number of active days, so every comparison below is made per active day, not on raw totals.</t>
  </si>
  <si>
    <t>EARLIER HALF</t>
  </si>
  <si>
    <t>LATER HALF</t>
  </si>
  <si>
    <t>FIELD BY FIELD</t>
  </si>
  <si>
    <t>Hours per active day in each half. A field that grew while the total held flat took that time from somewhere else.</t>
  </si>
  <si>
    <t>/DAY</t>
  </si>
  <si>
    <t>CHANGE /DAY</t>
  </si>
  <si>
    <t>What the time is worth</t>
  </si>
  <si>
    <t>Hours priced through the rate card on Settings. Set a rate per field there and this whole tab re-prices itself.</t>
  </si>
  <si>
    <t>HEADLINE</t>
  </si>
  <si>
    <t>Value of logged time</t>
  </si>
  <si>
    <t>Every timed entry at its field’s rate.</t>
  </si>
  <si>
    <t>Blended rate achieved</t>
  </si>
  <si>
    <t>What an hour of your logged time actually earned, across all fields.</t>
  </si>
  <si>
    <t>Averaged over days that carry at least one entry.</t>
  </si>
  <si>
    <t>Unrecorded inside the working day</t>
  </si>
  <si>
    <t>Hours sitting between a stop and the next start. Not necessarily billable — but not visible either.</t>
  </si>
  <si>
    <t>That time at the default rate</t>
  </si>
  <si>
    <t>The ceiling on what better capture could be worth. Treat it as an upper bound, not a forecast.</t>
  </si>
  <si>
    <t>Sitting in entries flagged for review</t>
  </si>
  <si>
    <t>Value inside entries longer than the runaway threshold. Fix these before anyone invoices them.</t>
  </si>
  <si>
    <t>BY FIELD</t>
  </si>
  <si>
    <t>“Rate applied” is the field’s own rate from the card, or the default where you have not set one.</t>
  </si>
  <si>
    <t>RATE APPLIED</t>
  </si>
  <si>
    <t>SHARE OF VALUE</t>
  </si>
  <si>
    <t>SHARE OF TIME</t>
  </si>
  <si>
    <t>Where a field earns a bigger share of value than of time, its rate is doing the work. Where the two shares match, everything is priced the same and the rate card is not yet set up.</t>
  </si>
  <si>
    <t>Worth a look</t>
  </si>
  <si>
    <t>Nothing here is necessarily wrong. These are the entries that would quietly distort a week of reporting if nobody checked them.</t>
  </si>
  <si>
    <t>COUNTS</t>
  </si>
  <si>
    <t>Rows pasted</t>
  </si>
  <si>
    <t>Everything in the paste area, timed or not.</t>
  </si>
  <si>
    <t>Timed entries</t>
  </si>
  <si>
    <t>Only these carry duration.</t>
  </si>
  <si>
    <t>Active days</t>
  </si>
  <si>
    <t>Days with at least one entry.</t>
  </si>
  <si>
    <t>Entries longer than the threshold</t>
  </si>
  <si>
    <t>A task left running is the classic case. Correct it in FLUX and re-export.</t>
  </si>
  <si>
    <t>Hours inside those entries</t>
  </si>
  <si>
    <t>How much of the total rests on entries nobody has confirmed.</t>
  </si>
  <si>
    <t>Still running at export</t>
  </si>
  <si>
    <t>No stop timestamp. These count as zero minutes and leave their day without a measurable span.</t>
  </si>
  <si>
    <t>Rows whose date could not be read</t>
  </si>
  <si>
    <t>Should be zero. Anything else and Rhythm, Focus and Compare cannot fill in for those rows — every one of those tabs is keyed on the date. Re-paste column A, or check it against the yyyy-mm-dd the export writes.</t>
  </si>
  <si>
    <t>Entries with no field</t>
  </si>
  <si>
    <t>They still count toward the total but cannot be attributed or priced.</t>
  </si>
  <si>
    <t>Days with under an hour logged</t>
  </si>
  <si>
    <t>Usually a day where tracking was forgotten rather than a genuinely quiet one.</t>
  </si>
  <si>
    <t>Gaps over an hour inside a day</t>
  </si>
  <si>
    <t>Stretches between a stop and the next start. Lunch, or an untracked job.</t>
  </si>
  <si>
    <t>Longest single entry</t>
  </si>
  <si>
    <t>The single biggest thing to sanity-check.</t>
  </si>
  <si>
    <t>THE FLAGGED ENTRIES</t>
  </si>
  <si>
    <t>Longest first. Each one is a real row in your export — find it in FLUX by task and date, correct it there, and paste a fresh export over the Data tab.</t>
  </si>
  <si>
    <t>DATE</t>
  </si>
  <si>
    <t>LENGTH</t>
  </si>
  <si>
    <t>Empty is the answer you want. Anything listed is inflating a field total, a day total and a value figure at the same time.</t>
  </si>
  <si>
    <t>Five numbers shape the whole report. The rate card below fills its own field names once you paste an export.</t>
  </si>
  <si>
    <t>CALCULATION</t>
  </si>
  <si>
    <t>UTC offset of your timezone (hours)</t>
  </si>
  <si>
    <t>FLUX writes the date in local time but the timestamps in UTC. NZST = 12, NZDT = 13. Get this wrong and every hour-of-day figure shifts.</t>
  </si>
  <si>
    <t>Runaway entry threshold (minutes)</t>
  </si>
  <si>
    <t>Any timed entry longer than this is flagged for review. 240 = 4 hours.</t>
  </si>
  <si>
    <t>Focus block minimum (minutes)</t>
  </si>
  <si>
    <t>An entry at least this long counts as deep work rather than a fragment.</t>
  </si>
  <si>
    <t>Default hourly rate</t>
  </si>
  <si>
    <t>Used for any field with no rate of its own in the card below.</t>
  </si>
  <si>
    <t>Target logged hours per day</t>
  </si>
  <si>
    <t>What a fully captured working day looks like for you. Drives the capture score.</t>
  </si>
  <si>
    <t>WORKED OUT FROM YOUR DATA</t>
  </si>
  <si>
    <t>Period starts</t>
  </si>
  <si>
    <t>Period ends</t>
  </si>
  <si>
    <t>Midpoint (splits Compare)</t>
  </si>
  <si>
    <t>Days in the range</t>
  </si>
  <si>
    <t>RATE CARD  —  FIELD</t>
  </si>
  <si>
    <t>RATE / HOUR</t>
  </si>
  <si>
    <t>HOURS LOGGED IN THIS EXPORT</t>
  </si>
  <si>
    <t>Leave a rate blank and that field is priced at the default rate above. Field names appear on their own — do not type over them.</t>
  </si>
  <si>
    <t>date</t>
  </si>
  <si>
    <t>task</t>
  </si>
  <si>
    <t>field</t>
  </si>
  <si>
    <t>recurring</t>
  </si>
  <si>
    <t>type</t>
  </si>
  <si>
    <t>start_iso</t>
  </si>
  <si>
    <t>stop_iso</t>
  </si>
  <si>
    <t>duration_minutes</t>
  </si>
  <si>
    <t>task_interruptions</t>
  </si>
  <si>
    <t>carried_from</t>
  </si>
  <si>
    <t>state</t>
  </si>
  <si>
    <t>note</t>
  </si>
  <si>
    <t>minutes</t>
  </si>
  <si>
    <t>start local</t>
  </si>
  <si>
    <t>stop local</t>
  </si>
  <si>
    <t>hour</t>
  </si>
  <si>
    <t>weekday</t>
  </si>
  <si>
    <t>day</t>
  </si>
  <si>
    <t>field 1st</t>
  </si>
  <si>
    <t>field #</t>
  </si>
  <si>
    <t>task 1st</t>
  </si>
  <si>
    <t>task #</t>
  </si>
  <si>
    <t>day 1st</t>
  </si>
  <si>
    <t>day #</t>
  </si>
  <si>
    <t>runaway</t>
  </si>
  <si>
    <t>still running</t>
  </si>
  <si>
    <t>interruptions</t>
  </si>
  <si>
    <t>sort key</t>
  </si>
  <si>
    <t>order</t>
  </si>
  <si>
    <t>prev field</t>
  </si>
  <si>
    <t>prev stop</t>
  </si>
  <si>
    <t>switch</t>
  </si>
  <si>
    <t>gap mins</t>
  </si>
  <si>
    <t>focus</t>
  </si>
  <si>
    <t>half</t>
  </si>
  <si>
    <t>rate</t>
  </si>
  <si>
    <t>value</t>
  </si>
  <si>
    <t>prev day</t>
  </si>
  <si>
    <t>flag key</t>
  </si>
  <si>
    <t>stop key</t>
  </si>
  <si>
    <t>day first</t>
  </si>
  <si>
    <t>day last</t>
  </si>
  <si>
    <t>←  worked out from your paste. Leave these alone.</t>
  </si>
  <si>
    <t>Email</t>
  </si>
  <si>
    <t>no</t>
  </si>
  <si>
    <t>timed</t>
  </si>
  <si>
    <t>2026-08-30T19:43:06.575Z</t>
  </si>
  <si>
    <t>2026-08-30T20:16:47.730Z</t>
  </si>
  <si>
    <t>done</t>
  </si>
  <si>
    <t>Zendesk Tickets</t>
  </si>
  <si>
    <t>2026-08-30T20:17:07.532Z</t>
  </si>
  <si>
    <t>2026-08-30T20:19:35.384Z</t>
  </si>
  <si>
    <t>Teams Communications</t>
  </si>
  <si>
    <t>2026-08-30T20:25:16.183Z</t>
  </si>
  <si>
    <t>Caleb</t>
  </si>
  <si>
    <t>2026-08-30T20:32:41.697Z</t>
  </si>
  <si>
    <t>2026-08-30T20:33:14.842Z</t>
  </si>
  <si>
    <t>2026-08-30T20:33:17.557Z</t>
  </si>
  <si>
    <t>2026-08-30T20:58:26.703Z</t>
  </si>
  <si>
    <t>Dev Tickets - ADO's</t>
  </si>
  <si>
    <t>2026-08-30T20:58:27.878Z</t>
  </si>
  <si>
    <t>2026-08-30T21:03:43.814Z</t>
  </si>
  <si>
    <t>2026-08-30T21:07:21.859Z</t>
  </si>
  <si>
    <t>Internal email regarding CI request</t>
  </si>
  <si>
    <t>2026-08-30T22:32:24.820Z</t>
  </si>
  <si>
    <t>2026-08-30T22:32:26.725Z</t>
  </si>
  <si>
    <t>2026-08-31T00:18:37.342Z</t>
  </si>
  <si>
    <t>Lunch Break</t>
  </si>
  <si>
    <t>2026-08-31T00:18:40.267Z</t>
  </si>
  <si>
    <t>2026-08-31T00:49:58.471Z</t>
  </si>
  <si>
    <t>2026-08-31T00:50:03.725Z</t>
  </si>
  <si>
    <t>2026-08-31T00:53:47.887Z</t>
  </si>
  <si>
    <t>2026-08-31T00:53:51.361Z</t>
  </si>
  <si>
    <t>2026-08-31T02:46:40.665Z</t>
  </si>
  <si>
    <t>2026-08-31T02:46:48.637Z</t>
  </si>
  <si>
    <t>2026-08-31T03:06:08.034Z</t>
  </si>
  <si>
    <t>2026-08-31T03:06:10.183Z</t>
  </si>
  <si>
    <t>2026-08-31T03:36:00.592Z</t>
  </si>
  <si>
    <t>Admin</t>
  </si>
  <si>
    <t>2026-08-31T03:36:03.661Z</t>
  </si>
  <si>
    <t>2026-08-31T03:58:14.990Z</t>
  </si>
  <si>
    <t>2026-08-31T05:54:38.221Z</t>
  </si>
  <si>
    <t>2026-08-31T05:54:42.680Z</t>
  </si>
  <si>
    <t>2026-08-31T19:34:17.803Z</t>
  </si>
  <si>
    <t>2026-08-31T20:17:52.947Z</t>
  </si>
  <si>
    <t>2026-08-31T20:17:56.125Z</t>
  </si>
  <si>
    <t>2026-08-31T21:22:26.565Z</t>
  </si>
  <si>
    <t>2026-08-31T21:23:12.822Z</t>
  </si>
  <si>
    <t>2026-08-31T22:07:00.803Z</t>
  </si>
  <si>
    <t>2026-08-31T22:07:02.130Z</t>
  </si>
  <si>
    <t>2026-08-31T22:29:53.698Z</t>
  </si>
  <si>
    <t>Pete</t>
  </si>
  <si>
    <t>2026-08-31T22:29:55.868Z</t>
  </si>
  <si>
    <t>2026-08-31T22:33:31.734Z</t>
  </si>
  <si>
    <t>2026-08-31T22:36:33.430Z</t>
  </si>
  <si>
    <t>2026-08-31T22:36:40.468Z</t>
  </si>
  <si>
    <t>2026-08-31T22:36:43.656Z</t>
  </si>
  <si>
    <t>2026-08-31T23:36:50.119Z</t>
  </si>
  <si>
    <t>Project work</t>
  </si>
  <si>
    <t>2026-08-31T23:36:51.243Z</t>
  </si>
  <si>
    <t>2026-09-01T01:09:38.816Z</t>
  </si>
  <si>
    <t>Creating a form for user requests to create fixtures, competitions etc | Needed to find the email from Chris</t>
  </si>
  <si>
    <t>2026-09-01T01:09:40.099Z</t>
  </si>
  <si>
    <t>2026-09-01T01:15:13.548Z</t>
  </si>
  <si>
    <t>2026-09-01T01:15:15.177Z</t>
  </si>
  <si>
    <t>2026-09-01T01:32:10.653Z</t>
  </si>
  <si>
    <t>2026-09-01T01:32:11.804Z</t>
  </si>
  <si>
    <t>2026-09-01T01:59:57.891Z</t>
  </si>
  <si>
    <t>2026-09-01T02:00:08.066Z</t>
  </si>
  <si>
    <t>2026-09-01T03:56:12.889Z</t>
  </si>
  <si>
    <t>2026-09-01T03:56:15.685Z</t>
  </si>
  <si>
    <t>2026-09-01T04:16:41.892Z</t>
  </si>
  <si>
    <t>2026-09-01T04:16:51.083Z</t>
  </si>
  <si>
    <t>2026-09-01T04:20:56.784Z</t>
  </si>
  <si>
    <t>2026-09-01T19:21:58.572Z</t>
  </si>
  <si>
    <t>2026-09-01T19:33:55.558Z</t>
  </si>
  <si>
    <t>2026-09-01T19:33:57.598Z</t>
  </si>
  <si>
    <t>2026-09-01T20:17:39.093Z</t>
  </si>
  <si>
    <t>2026-09-01T20:17:40.718Z</t>
  </si>
  <si>
    <t>2026-09-01T20:30:47.527Z</t>
  </si>
  <si>
    <t>2026-09-01T20:30:48.969Z</t>
  </si>
  <si>
    <t>2026-09-01T20:54:29.705Z</t>
  </si>
  <si>
    <t>2026-09-01T20:54:36.485Z</t>
  </si>
  <si>
    <t>2026-09-01T21:06:02.043Z</t>
  </si>
  <si>
    <t>2026-09-01T21:06:04.322Z</t>
  </si>
  <si>
    <t>2026-09-01T21:09:16.525Z</t>
  </si>
  <si>
    <t>2026-09-01T21:09:18.231Z</t>
  </si>
  <si>
    <t>2026-09-01T21:19:24.327Z</t>
  </si>
  <si>
    <t>2026-09-01T21:23:58.262Z</t>
  </si>
  <si>
    <t>Kenneth - updating ado ticket</t>
  </si>
  <si>
    <t>2026-09-01T21:23:59.626Z</t>
  </si>
  <si>
    <t>2026-09-01T21:24:10.773Z</t>
  </si>
  <si>
    <t>2026-09-01T21:24:20.527Z</t>
  </si>
  <si>
    <t>2026-09-01T21:26:39.985Z</t>
  </si>
  <si>
    <t>Creating new user for CMC Tennant</t>
  </si>
  <si>
    <t>2026-09-01T21:30:20.654Z</t>
  </si>
  <si>
    <t>2026-09-01T21:30:22.661Z</t>
  </si>
  <si>
    <t>2026-09-01T21:41:40.899Z</t>
  </si>
  <si>
    <t>Meetings</t>
  </si>
  <si>
    <t>2026-09-01T21:43:22.708Z</t>
  </si>
  <si>
    <t>2026-09-01T21:57:07.179Z</t>
  </si>
  <si>
    <t>9:45am Stand-up</t>
  </si>
  <si>
    <t>2026-09-01T21:57:14.858Z</t>
  </si>
  <si>
    <t>2026-09-02T00:08:54.118Z</t>
  </si>
  <si>
    <t>2026-09-02T00:08:55.768Z</t>
  </si>
  <si>
    <t>2026-09-02T00:57:15.224Z</t>
  </si>
  <si>
    <t>2026-09-02T00:57:18.034Z</t>
  </si>
  <si>
    <t>2026-09-02T01:38:09.120Z</t>
  </si>
  <si>
    <t>2026-09-02T01:38:15.459Z</t>
  </si>
  <si>
    <t>2026-09-02T02:59:21.346Z</t>
  </si>
  <si>
    <t>2026-09-02T03:39:23.470Z</t>
  </si>
  <si>
    <t>2026-09-02T03:48:31.596Z</t>
  </si>
  <si>
    <t>2026-09-02T03:49:00.000Z</t>
  </si>
  <si>
    <t>2026-09-02T03:50:00.000Z</t>
  </si>
  <si>
    <t>2026-09-02T19:23:55.081Z</t>
  </si>
  <si>
    <t>2026-09-02T19:58:27.858Z</t>
  </si>
  <si>
    <t>2026-09-02T19:58:30.767Z</t>
  </si>
  <si>
    <t>2026-09-02T21:16:51.700Z</t>
  </si>
  <si>
    <t>2026-09-02T21:16:54.588Z</t>
  </si>
  <si>
    <t>2026-09-02T21:49:48.074Z</t>
  </si>
  <si>
    <t>Kenneth &amp; Andy - regarding Issue tickets</t>
  </si>
  <si>
    <t>2026-09-02T21:49:49.558Z</t>
  </si>
  <si>
    <t>2026-09-02T22:34:25.369Z</t>
  </si>
  <si>
    <t>2026-09-02T22:34:26.961Z</t>
  </si>
  <si>
    <t>2026-09-03T01:26:51.530Z</t>
  </si>
  <si>
    <t>Working on a guide for Tel - ticket 15046 for his new Video Replay Screen feature</t>
  </si>
  <si>
    <t>2026-09-03T01:26:52.779Z</t>
  </si>
  <si>
    <t>2026-09-03T02:15:37.984Z</t>
  </si>
  <si>
    <t>2026-09-03T02:15:43.909Z</t>
  </si>
  <si>
    <t>2026-09-03T03:21:48.427Z</t>
  </si>
  <si>
    <t>2026-09-03T03:21:56.085Z</t>
  </si>
  <si>
    <t>2026-09-03T04:06:10.085Z</t>
  </si>
  <si>
    <t>2026-09-03T04:06:18.810Z</t>
  </si>
  <si>
    <t>2026-09-03T04:24:01.449Z</t>
  </si>
  <si>
    <t>2026-09-03T04:24:24.152Z</t>
  </si>
  <si>
    <t>2026-09-03T04:51:54.745Z</t>
  </si>
  <si>
    <t>2026-09-03T19:26:54.142Z</t>
  </si>
  <si>
    <t>2026-09-03T19:26:56.070Z</t>
  </si>
  <si>
    <t>2026-09-03T19:26:57.895Z</t>
  </si>
  <si>
    <t>2026-09-03T19:56:43.921Z</t>
  </si>
  <si>
    <t>2026-09-03T19:56:46.008Z</t>
  </si>
  <si>
    <t>2026-09-03T20:24:35.317Z</t>
  </si>
  <si>
    <t>2026-09-03T20:24:44.570Z</t>
  </si>
  <si>
    <t>2026-09-03T20:24:53.047Z</t>
  </si>
  <si>
    <t>Caleb looking for passwords</t>
  </si>
  <si>
    <t>2026-09-03T20:28:24.804Z</t>
  </si>
  <si>
    <t>2026-09-03T20:42:37.805Z</t>
  </si>
  <si>
    <t>2026-09-03T20:51:38.079Z</t>
  </si>
  <si>
    <t>2026-09-03T20:51:39.313Z</t>
  </si>
  <si>
    <t>2026-09-03T20:52:20.506Z</t>
  </si>
  <si>
    <t>2026-09-03T20:52:22.075Z</t>
  </si>
  <si>
    <t>2026-09-03T20:56:45.350Z</t>
  </si>
  <si>
    <t>2026-09-03T21:45:16.895Z</t>
  </si>
  <si>
    <t>2026-09-03T21:45:22.852Z</t>
  </si>
  <si>
    <t>2026-09-03T22:01:24.877Z</t>
  </si>
  <si>
    <t>Stand-up meeting</t>
  </si>
  <si>
    <t>2026-09-03T22:01:38.437Z</t>
  </si>
  <si>
    <t>2026-09-03T22:05:40.309Z</t>
  </si>
  <si>
    <t>Issues Tickets, templates and Claude | Meeting postponed due to Andy not logging on</t>
  </si>
  <si>
    <t>2026-09-03T22:05:43.231Z</t>
  </si>
  <si>
    <t>2026-09-03T22:30:32.649Z</t>
  </si>
  <si>
    <t>2026-09-03T22:30:35.447Z</t>
  </si>
  <si>
    <t>2026-09-03T22:37:20.521Z</t>
  </si>
  <si>
    <t>Caleb - trying to get google forums working</t>
  </si>
  <si>
    <t>2026-09-03T22:37:24.499Z</t>
  </si>
  <si>
    <t>2026-09-03T23:28:11.449Z</t>
  </si>
  <si>
    <t>Email from Matt</t>
  </si>
  <si>
    <t>2026-09-03T23:28:42.933Z</t>
  </si>
  <si>
    <t>2026-09-03T23:32:04.029Z</t>
  </si>
  <si>
    <t>2026-09-03T23:32:10.881Z</t>
  </si>
  <si>
    <t>2026-09-04T00:06:36.742Z</t>
  </si>
  <si>
    <t>Just added a new note dictation feature.</t>
  </si>
  <si>
    <t>2026-09-04T00:06:38.865Z</t>
  </si>
  <si>
    <t>2026-09-04T00:23:51.358Z</t>
  </si>
  <si>
    <t>2026-09-04T00:23:54.396Z</t>
  </si>
  <si>
    <t>2026-09-04T00:59:36.877Z</t>
  </si>
  <si>
    <t>Pete just needs a hand getting some diagnostics. Sorted by. Claude.</t>
  </si>
  <si>
    <t>2026-09-04T00:59:40.490Z</t>
  </si>
  <si>
    <t>2026-09-04T02:13:27.107Z</t>
  </si>
  <si>
    <t>Helping fix the Google 2 factor authentication.</t>
  </si>
  <si>
    <t>2026-09-04T02:13:32.685Z</t>
  </si>
  <si>
    <t>2026-09-04T02:41:33.072Z</t>
  </si>
  <si>
    <t>Support</t>
  </si>
  <si>
    <t>2026-09-04T02:41:35.563Z</t>
  </si>
  <si>
    <t>2026-09-04T03:52:33.075Z</t>
  </si>
  <si>
    <t>2026-09-04T03:52:40.835Z</t>
  </si>
  <si>
    <t>2026-09-04T04:03:35.410Z</t>
  </si>
  <si>
    <t>Finish for the Day</t>
  </si>
  <si>
    <t>2026-09-04T04:17:34.031Z</t>
  </si>
  <si>
    <t>2026-09-04T04:17:41.288Z</t>
  </si>
  <si>
    <t>Complete new form to send to customers for creation of fixtures</t>
  </si>
  <si>
    <t>To-do</t>
  </si>
  <si>
    <t>todo_closed</t>
  </si>
  <si>
    <t>2026-09-01T04:24:17.222Z</t>
  </si>
  <si>
    <t>High priority</t>
  </si>
  <si>
    <t>New trial tickets</t>
  </si>
  <si>
    <t>2026-09-01T21:30:32.096Z</t>
  </si>
  <si>
    <t>Medium priority</t>
  </si>
  <si>
    <t>Emails</t>
  </si>
  <si>
    <t>2026-09-01T21:30:38.829Z</t>
  </si>
  <si>
    <t>Stand-up meeting at 9:45am</t>
  </si>
  <si>
    <t>2026-09-01T21:57:20.711Z</t>
  </si>
  <si>
    <t>11am meeting - Support &amp; Service</t>
  </si>
  <si>
    <t>2026-09-01T23:30:59.921Z</t>
  </si>
  <si>
    <t>Ticket updates</t>
  </si>
  <si>
    <t>2026-09-01T23:31:03.626Z</t>
  </si>
  <si>
    <t>Hand specialist - 1pm</t>
  </si>
  <si>
    <t>2026-09-02T01:01:29.785Z</t>
  </si>
  <si>
    <t>Take lunch at 12pm</t>
  </si>
  <si>
    <t>2026-09-02T01:01:31.270Z</t>
  </si>
  <si>
    <t>9:45am Stand-up Meeting</t>
  </si>
  <si>
    <t>2026-09-03T01:27:14.707Z</t>
  </si>
  <si>
    <t>Take dog to vet</t>
  </si>
  <si>
    <t>2026-09-03T03:05:02.218Z</t>
  </si>
  <si>
    <t>10am meeting</t>
  </si>
  <si>
    <t>2026-09-04T03:54:05.292Z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</si>
</sst>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
    <numFmt numFmtId="165" formatCode="\$#,##0"/>
    <numFmt numFmtId="166" formatCode="0.0"/>
    <numFmt numFmtId="167" formatCode="0.0;0.0;;"/>
    <numFmt numFmtId="168" formatCode="#,##0.0\h"/>
    <numFmt numFmtId="169" formatCode="\+0%;\-0%;0%"/>
    <numFmt numFmtId="170" formatCode="#,##0\m"/>
    <numFmt numFmtId="171" formatCode="ddd\ d\ mmm"/>
    <numFmt numFmtId="172" formatCode="hh:mm"/>
    <numFmt numFmtId="173" formatCode="\+0.00;\-0.00;0.00"/>
    <numFmt numFmtId="174" formatCode="\$#,##0.00"/>
    <numFmt numFmtId="175" formatCode="yyyy\-mm\-dd"/>
    <numFmt numFmtId="176" formatCode="yyyy\-mm\-dd\ hh:mm"/>
  </numFmts>
  <fonts count="42" x14ac:knownFonts="1">
    <font>
      <sz val="11"/>
      <color theme="1"/>
      <name val="Calibri"/>
      <family val="2"/>
      <charset val="1"/>
    </font>
    <font>
      <b/>
      <sz val="8"/>
      <color rgb="FFB9CDFA"/>
      <name val="Arial"/>
      <family val="2"/>
    </font>
    <font>
      <b/>
      <sz val="20"/>
      <color rgb="FFFFFFFF"/>
      <name val="Arial"/>
      <family val="2"/>
    </font>
    <font>
      <sz val="10"/>
      <color rgb="FFB9CDFA"/>
      <name val="Arial"/>
      <family val="2"/>
    </font>
    <font>
      <b/>
      <sz val="12"/>
      <color rgb="FF2A78D6"/>
      <name val="Arial"/>
      <family val="2"/>
    </font>
    <font>
      <b/>
      <sz val="12"/>
      <color rgb="FF0B0F19"/>
      <name val="Arial"/>
      <family val="2"/>
    </font>
    <font>
      <sz val="10"/>
      <color rgb="FF4B5568"/>
      <name val="Arial"/>
      <family val="2"/>
    </font>
    <font>
      <b/>
      <sz val="9"/>
      <color rgb="FF0B0F19"/>
      <name val="Arial"/>
      <family val="2"/>
    </font>
    <font>
      <b/>
      <sz val="10"/>
      <color rgb="FF0B0F19"/>
      <name val="Arial"/>
      <family val="2"/>
    </font>
    <font>
      <b/>
      <sz val="11"/>
      <color rgb="FF0B0F19"/>
      <name val="Arial"/>
      <family val="2"/>
    </font>
    <font>
      <b/>
      <sz val="24"/>
      <color rgb="FFFFFFFF"/>
      <name val="Arial"/>
      <family val="2"/>
    </font>
    <font>
      <b/>
      <sz val="8"/>
      <color rgb="FF7D8798"/>
      <name val="Arial"/>
      <family val="2"/>
    </font>
    <font>
      <b/>
      <sz val="22"/>
      <color rgb="FF0B0F19"/>
      <name val="Arial"/>
      <family val="2"/>
    </font>
    <font>
      <sz val="9"/>
      <color rgb="FF4B5568"/>
      <name val="Arial"/>
      <family val="2"/>
    </font>
    <font>
      <b/>
      <sz val="9"/>
      <color rgb="FF7D8798"/>
      <name val="Arial"/>
      <family val="2"/>
    </font>
    <font>
      <b/>
      <sz val="9"/>
      <color rgb="FFD03B3B"/>
      <name val="Arial"/>
      <family val="2"/>
    </font>
    <font>
      <sz val="9"/>
      <color rgb="FF7D8798"/>
      <name val="Arial"/>
      <family val="2"/>
    </font>
    <font>
      <sz val="10"/>
      <color rgb="FF0B0F19"/>
      <name val="Arial"/>
      <family val="2"/>
    </font>
    <font>
      <sz val="8"/>
      <color rgb="FF7D8798"/>
      <name val="Arial"/>
      <family val="2"/>
    </font>
    <font>
      <b/>
      <sz val="9"/>
      <color rgb="FF4B5568"/>
      <name val="Arial"/>
      <family val="2"/>
    </font>
    <font>
      <sz val="9"/>
      <color rgb="FF0B0F19"/>
      <name val="Arial"/>
      <family val="2"/>
    </font>
    <font>
      <sz val="8"/>
      <color rgb="FFF5F7FB"/>
      <name val="Arial"/>
      <family val="2"/>
    </font>
    <font>
      <b/>
      <sz val="18"/>
      <color rgb="FF0B0F19"/>
      <name val="Arial"/>
      <family val="2"/>
    </font>
    <font>
      <sz val="9"/>
      <color rgb="FFFFFFFF"/>
      <name val="Arial"/>
      <family val="2"/>
    </font>
    <font>
      <sz val="10"/>
      <color rgb="FFE2E6F0"/>
      <name val="Arial"/>
      <family val="2"/>
    </font>
    <font>
      <b/>
      <sz val="9"/>
      <color rgb="FF2A78D6"/>
      <name val="Arial"/>
      <family val="2"/>
    </font>
    <font>
      <b/>
      <sz val="9"/>
      <color rgb="FFEB6834"/>
      <name val="Arial"/>
      <family val="2"/>
    </font>
    <font>
      <b/>
      <sz val="10"/>
      <color rgb="FF2A78D6"/>
      <name val="Arial"/>
      <family val="2"/>
    </font>
    <font>
      <b/>
      <sz val="10"/>
      <color rgb="FFEB6834"/>
      <name val="Arial"/>
      <family val="2"/>
    </font>
    <font>
      <b/>
      <sz val="14"/>
      <color rgb="FF0B0F19"/>
      <name val="Arial"/>
      <family val="2"/>
    </font>
    <font>
      <b/>
      <sz val="14"/>
      <color rgb="FFEC835A"/>
      <name val="Arial"/>
      <family val="2"/>
    </font>
    <font>
      <sz val="10"/>
      <color rgb="FF7D8798"/>
      <name val="Arial"/>
      <family val="2"/>
    </font>
    <font>
      <b/>
      <sz val="10"/>
      <color rgb="FFD03B3B"/>
      <name val="Arial"/>
      <family val="2"/>
    </font>
    <font>
      <b/>
      <sz val="20"/>
      <color rgb="FF0B0F19"/>
      <name val="Arial"/>
      <family val="2"/>
    </font>
    <font>
      <b/>
      <sz val="11"/>
      <color rgb="FF2F4A99"/>
      <name val="Arial"/>
      <family val="2"/>
    </font>
    <font>
      <b/>
      <sz val="10"/>
      <color rgb="FF4B5568"/>
      <name val="Arial"/>
      <family val="2"/>
    </font>
    <font>
      <b/>
      <sz val="10"/>
      <color rgb="FF2F4A99"/>
      <name val="Arial"/>
      <family val="2"/>
    </font>
    <font>
      <b/>
      <sz val="9"/>
      <color rgb="FFFFFFFF"/>
      <name val="Arial"/>
      <family val="2"/>
    </font>
    <font>
      <b/>
      <sz val="8"/>
      <color rgb="FFFFFFFF"/>
      <name val="Arial"/>
      <family val="2"/>
    </font>
    <font>
      <u/>
      <sz val="11"/>
      <color theme="10"/>
      <name val="Calibri"/>
      <family val="2"/>
      <charset val="1"/>
    </font>
    <font>
      <sz val="11"/>
      <color rgb="FFFFFFFF"/>
      <name val="Calibri"/>
      <family val="2"/>
    </font>
    <font>
      <sz val="11"/>
      <color theme="1"/>
      <name val="Calibri"/>
      <family val="2"/>
    </font>
  </fonts>
  <fills count="14">
    <fill>
      <patternFill patternType="none"/>
    </fill>
    <fill>
      <patternFill patternType="gray125"/>
    </fill>
    <fill>
      <patternFill patternType="solid">
        <fgColor rgb="FFF5F7FB"/>
        <bgColor rgb="FFF5F7FB"/>
      </patternFill>
    </fill>
    <fill>
      <patternFill patternType="solid">
        <fgColor rgb="FF0A1120"/>
        <bgColor rgb="FF2F4A99"/>
      </patternFill>
    </fill>
    <fill>
      <patternFill patternType="solid">
        <fgColor rgb="FFFFFFFF"/>
        <bgColor rgb="FFF5F7FB"/>
      </patternFill>
    </fill>
    <fill>
      <patternFill patternType="solid">
        <fgColor rgb="FFF5F7FB"/>
        <bgColor rgb="FFF5F7FB"/>
      </patternFill>
    </fill>
    <fill>
      <patternFill patternType="solid">
        <fgColor rgb="FFDBE5FD"/>
        <bgColor rgb="FFB9CDFA"/>
      </patternFill>
    </fill>
    <fill>
      <patternFill patternType="solid">
        <fgColor rgb="FFB9CDFA"/>
        <bgColor rgb="FFB9CDFA"/>
      </patternFill>
    </fill>
    <fill>
      <patternFill patternType="solid">
        <fgColor rgb="FF93AEF5"/>
        <bgColor rgb="FFB9CDFA"/>
      </patternFill>
    </fill>
    <fill>
      <patternFill patternType="solid">
        <fgColor rgb="FF6A8BEA"/>
        <bgColor rgb="FF2A78D6"/>
      </patternFill>
    </fill>
    <fill>
      <patternFill patternType="solid">
        <fgColor rgb="FF4566C9"/>
        <bgColor rgb="FF2A78D6"/>
      </patternFill>
    </fill>
    <fill>
      <patternFill patternType="solid">
        <fgColor rgb="FF2F4A99"/>
        <bgColor rgb="FF2F4A99"/>
      </patternFill>
    </fill>
    <fill>
      <patternFill patternType="solid">
        <fgColor rgb="FFFEF3D6"/>
        <bgColor rgb="FFF5F7FB"/>
      </patternFill>
    </fill>
    <fill>
      <patternFill patternType="solid">
        <fgColor rgb="FF7D8798"/>
        <bgColor rgb="FF9AA3B4"/>
      </patternFill>
    </fill>
  </fills>
  <borders count="18">
    <border>
      <left/>
      <right/>
      <top/>
      <bottom/>
      <diagonal/>
    </border>
    <border>
      <left style="thin">
        <color rgb="FFE2E6F0"/>
      </left>
      <right/>
      <top style="thin">
        <color rgb="FFE2E6F0"/>
      </top>
      <bottom/>
      <diagonal/>
    </border>
    <border>
      <left/>
      <right/>
      <top style="thin">
        <color rgb="FFE2E6F0"/>
      </top>
      <bottom/>
      <diagonal/>
    </border>
    <border>
      <left/>
      <right style="thin">
        <color rgb="FFE2E6F0"/>
      </right>
      <top style="thin">
        <color rgb="FFE2E6F0"/>
      </top>
      <bottom/>
      <diagonal/>
    </border>
    <border>
      <left style="thin">
        <color rgb="FFE2E6F0"/>
      </left>
      <right/>
      <top/>
      <bottom/>
      <diagonal/>
    </border>
    <border>
      <left/>
      <right style="thin">
        <color rgb="FFE2E6F0"/>
      </right>
      <top/>
      <bottom/>
      <diagonal/>
    </border>
    <border>
      <left style="thin">
        <color rgb="FFE2E6F0"/>
      </left>
      <right/>
      <top/>
      <bottom style="thin">
        <color rgb="FFE2E6F0"/>
      </bottom>
      <diagonal/>
    </border>
    <border>
      <left/>
      <right/>
      <top/>
      <bottom style="thin">
        <color rgb="FFE2E6F0"/>
      </bottom>
      <diagonal/>
    </border>
    <border>
      <left/>
      <right style="thin">
        <color rgb="FFE2E6F0"/>
      </right>
      <top/>
      <bottom style="thin">
        <color rgb="FFE2E6F0"/>
      </bottom>
      <diagonal/>
    </border>
    <border>
      <left/>
      <right/>
      <top/>
      <bottom style="thin">
        <color rgb="FF4B5568"/>
      </bottom>
      <diagonal/>
    </border>
    <border>
      <left/>
      <right/>
      <top/>
      <bottom style="thin">
        <color rgb="FFD3D9E5"/>
      </bottom>
      <diagonal/>
    </border>
    <border>
      <left style="thin">
        <color rgb="FFE2E6F0"/>
      </left>
      <right style="thin">
        <color rgb="FFE2E6F0"/>
      </right>
      <top/>
      <bottom/>
      <diagonal/>
    </border>
    <border>
      <left style="thin">
        <color rgb="FFE2E6F0"/>
      </left>
      <right style="thin">
        <color rgb="FFE2E6F0"/>
      </right>
      <top/>
      <bottom style="thin">
        <color rgb="FFE2E6F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diagonal/>
    </border>
    <border>
      <left/>
      <right/>
      <top/>
      <bottom style="hair">
        <color rgb="FFE2E6F0"/>
      </bottom>
      <diagonal/>
    </border>
    <border>
      <left style="thin">
        <color rgb="FFE2E6F0"/>
      </left>
      <right style="thin">
        <color rgb="FFE2E6F0"/>
      </right>
      <top style="thin">
        <color rgb="FFE2E6F0"/>
      </top>
      <bottom style="thin">
        <color rgb="FFE2E6F0"/>
      </bottom>
      <diagonal/>
    </border>
    <border>
      <left/>
      <right/>
      <top style="thin">
        <color rgb="FF4B5568"/>
      </top>
      <bottom/>
      <diagonal/>
    </border>
  </borders>
  <cellStyleXfs count="2">
    <xf numFmtId="0" fontId="0" fillId="0" borderId="0"/>
    <xf numFmtId="0" fontId="39" fillId="0" borderId="0" applyNumberFormat="0" applyFill="0" applyBorder="0" applyAlignment="0" applyProtection="0"/>
  </cellStyleXfs>
  <cellXfs count="163">
    <xf numFmtId="0" fontId="0" fillId="0" borderId="0" xfId="0"/>
    <xf numFmtId="0" fontId="0" fillId="2" borderId="0" xfId="0" applyFill="1"/>
    <xf numFmtId="0" fontId="0" fillId="3" borderId="0" xfId="0" applyFill="1"/>
    <xf numFmtId="0" fontId="1" fillId="3" borderId="0" xfId="0" applyFont="1" applyFill="1"/>
    <xf numFmtId="0" fontId="2" fillId="3" borderId="0" xfId="0" applyFont="1" applyFill="1"/>
    <xf numFmtId="0" fontId="3" fillId="3" borderId="0" xfId="0" applyFont="1" applyFill="1"/>
    <xf numFmtId="0" fontId="4" fillId="4" borderId="1" xfId="0" applyFont="1" applyFill="1" applyBorder="1" applyAlignment="1">
      <alignment horizontal="center" vertical="center"/>
    </xf>
    <xf numFmtId="0" fontId="5" fillId="4" borderId="2" xfId="0" applyFont="1" applyFill="1" applyBorder="1"/>
    <xf numFmtId="0" fontId="0" fillId="4" borderId="3" xfId="0" applyFill="1" applyBorder="1"/>
    <xf numFmtId="0" fontId="0" fillId="4" borderId="4" xfId="0" applyFill="1" applyBorder="1"/>
    <xf numFmtId="0" fontId="6" fillId="4" borderId="0" xfId="0" applyFont="1" applyFill="1" applyAlignment="1">
      <alignment horizontal="left" vertical="top" wrapText="1"/>
    </xf>
    <xf numFmtId="0" fontId="0" fillId="4" borderId="5" xfId="0" applyFill="1" applyBorder="1"/>
    <xf numFmtId="0" fontId="0" fillId="4" borderId="6" xfId="0" applyFill="1" applyBorder="1"/>
    <xf numFmtId="0" fontId="0" fillId="4" borderId="7" xfId="0" applyFill="1" applyBorder="1"/>
    <xf numFmtId="0" fontId="0" fillId="4" borderId="8" xfId="0" applyFill="1" applyBorder="1"/>
    <xf numFmtId="0" fontId="0" fillId="2" borderId="9" xfId="0" applyFill="1" applyBorder="1"/>
    <xf numFmtId="0" fontId="7" fillId="2" borderId="9" xfId="0" applyFont="1" applyFill="1" applyBorder="1"/>
    <xf numFmtId="0" fontId="8" fillId="2" borderId="0" xfId="0" applyFont="1" applyFill="1"/>
    <xf numFmtId="0" fontId="6" fillId="2" borderId="0" xfId="0" applyFont="1" applyFill="1"/>
    <xf numFmtId="0" fontId="9" fillId="2" borderId="0" xfId="0" applyFont="1" applyFill="1"/>
    <xf numFmtId="0" fontId="0" fillId="2" borderId="10" xfId="0" applyFill="1" applyBorder="1"/>
    <xf numFmtId="0" fontId="0" fillId="4" borderId="1" xfId="0" applyFill="1" applyBorder="1"/>
    <xf numFmtId="0" fontId="0" fillId="4" borderId="2" xfId="0" applyFill="1" applyBorder="1"/>
    <xf numFmtId="0" fontId="0" fillId="4" borderId="0" xfId="0" applyFill="1"/>
    <xf numFmtId="0" fontId="18" fillId="4" borderId="6" xfId="0" applyFont="1" applyFill="1" applyBorder="1"/>
    <xf numFmtId="0" fontId="0" fillId="5" borderId="14" xfId="0" applyFill="1" applyBorder="1"/>
    <xf numFmtId="0" fontId="0" fillId="6" borderId="14" xfId="0" applyFill="1" applyBorder="1"/>
    <xf numFmtId="0" fontId="0" fillId="7" borderId="14" xfId="0" applyFill="1" applyBorder="1"/>
    <xf numFmtId="0" fontId="0" fillId="8" borderId="14" xfId="0" applyFill="1" applyBorder="1"/>
    <xf numFmtId="0" fontId="0" fillId="9" borderId="14" xfId="0" applyFill="1" applyBorder="1"/>
    <xf numFmtId="0" fontId="0" fillId="10" borderId="14" xfId="0" applyFill="1" applyBorder="1"/>
    <xf numFmtId="0" fontId="0" fillId="11" borderId="14" xfId="0" applyFill="1" applyBorder="1"/>
    <xf numFmtId="0" fontId="21" fillId="2" borderId="0" xfId="0" applyFont="1" applyFill="1"/>
    <xf numFmtId="0" fontId="0" fillId="4" borderId="9" xfId="0" applyFill="1" applyBorder="1"/>
    <xf numFmtId="0" fontId="0" fillId="4" borderId="15" xfId="0" applyFill="1" applyBorder="1"/>
    <xf numFmtId="0" fontId="22" fillId="0" borderId="0" xfId="0" applyFont="1"/>
    <xf numFmtId="0" fontId="13" fillId="0" borderId="0" xfId="0" applyFont="1"/>
    <xf numFmtId="0" fontId="7" fillId="0" borderId="9" xfId="0" applyFont="1" applyBorder="1"/>
    <xf numFmtId="0" fontId="0" fillId="0" borderId="9" xfId="0" applyBorder="1"/>
    <xf numFmtId="0" fontId="16" fillId="0" borderId="0" xfId="0" applyFont="1"/>
    <xf numFmtId="0" fontId="11" fillId="0" borderId="9" xfId="0" applyFont="1" applyBorder="1" applyAlignment="1">
      <alignment horizontal="left"/>
    </xf>
    <xf numFmtId="0" fontId="11" fillId="0" borderId="9" xfId="0" applyFont="1" applyBorder="1" applyAlignment="1">
      <alignment horizontal="right"/>
    </xf>
    <xf numFmtId="0" fontId="16" fillId="0" borderId="0" xfId="0" applyFont="1" applyAlignment="1">
      <alignment horizontal="left" vertical="center"/>
    </xf>
    <xf numFmtId="0" fontId="17" fillId="0" borderId="0" xfId="0" applyFont="1"/>
    <xf numFmtId="168" fontId="8" fillId="0" borderId="0" xfId="0" applyNumberFormat="1" applyFont="1" applyAlignment="1">
      <alignment horizontal="right" vertical="center"/>
    </xf>
    <xf numFmtId="9" fontId="17" fillId="0" borderId="0" xfId="0" applyNumberFormat="1" applyFont="1" applyAlignment="1">
      <alignment horizontal="right" vertical="center"/>
    </xf>
    <xf numFmtId="168" fontId="23" fillId="0" borderId="0" xfId="0" applyNumberFormat="1" applyFont="1" applyAlignment="1">
      <alignment horizontal="left" vertical="center"/>
    </xf>
    <xf numFmtId="3" fontId="17" fillId="0" borderId="0" xfId="0" applyNumberFormat="1" applyFont="1" applyAlignment="1">
      <alignment horizontal="right" vertical="center"/>
    </xf>
    <xf numFmtId="170" fontId="17" fillId="0" borderId="0" xfId="0" applyNumberFormat="1" applyFont="1" applyAlignment="1">
      <alignment horizontal="right" vertical="center"/>
    </xf>
    <xf numFmtId="165" fontId="17" fillId="0" borderId="0" xfId="0" applyNumberFormat="1" applyFont="1" applyAlignment="1">
      <alignment horizontal="right" vertical="center"/>
    </xf>
    <xf numFmtId="0" fontId="6" fillId="0" borderId="0" xfId="0" applyFont="1" applyAlignment="1">
      <alignment horizontal="left" vertical="center"/>
    </xf>
    <xf numFmtId="171" fontId="17" fillId="0" borderId="0" xfId="0" applyNumberFormat="1" applyFont="1" applyAlignment="1">
      <alignment horizontal="left" vertical="center"/>
    </xf>
    <xf numFmtId="172" fontId="17" fillId="0" borderId="0" xfId="0" applyNumberFormat="1" applyFont="1" applyAlignment="1">
      <alignment horizontal="right" vertical="center"/>
    </xf>
    <xf numFmtId="168" fontId="17" fillId="0" borderId="0" xfId="0" applyNumberFormat="1" applyFont="1" applyAlignment="1">
      <alignment horizontal="right" vertical="center"/>
    </xf>
    <xf numFmtId="166" fontId="17" fillId="0" borderId="0" xfId="0" applyNumberFormat="1" applyFont="1" applyAlignment="1">
      <alignment horizontal="right" vertical="center"/>
    </xf>
    <xf numFmtId="2" fontId="8" fillId="0" borderId="0" xfId="0" applyNumberFormat="1" applyFont="1" applyAlignment="1">
      <alignment horizontal="right" vertical="center"/>
    </xf>
    <xf numFmtId="3" fontId="8" fillId="0" borderId="0" xfId="0" applyNumberFormat="1" applyFont="1" applyAlignment="1">
      <alignment horizontal="right" vertical="center"/>
    </xf>
    <xf numFmtId="0" fontId="11" fillId="0" borderId="9" xfId="0" applyFont="1" applyBorder="1" applyAlignment="1">
      <alignment horizontal="left" vertical="center"/>
    </xf>
    <xf numFmtId="0" fontId="11" fillId="0" borderId="9" xfId="0" applyFont="1" applyBorder="1" applyAlignment="1">
      <alignment horizontal="center" textRotation="45"/>
    </xf>
    <xf numFmtId="0" fontId="17" fillId="0" borderId="0" xfId="0" applyFont="1" applyAlignment="1">
      <alignment horizontal="left" vertical="center"/>
    </xf>
    <xf numFmtId="0" fontId="24" fillId="0" borderId="13" xfId="0" applyFont="1" applyBorder="1" applyAlignment="1">
      <alignment horizontal="center" vertical="center"/>
    </xf>
    <xf numFmtId="3" fontId="17" fillId="0" borderId="13" xfId="0" applyNumberFormat="1" applyFont="1" applyBorder="1" applyAlignment="1">
      <alignment horizontal="center" vertical="center"/>
    </xf>
    <xf numFmtId="0" fontId="25" fillId="0" borderId="9" xfId="0" applyFont="1" applyBorder="1"/>
    <xf numFmtId="0" fontId="26" fillId="0" borderId="9" xfId="0" applyFont="1" applyBorder="1"/>
    <xf numFmtId="0" fontId="14" fillId="0" borderId="9" xfId="0" applyFont="1" applyBorder="1"/>
    <xf numFmtId="0" fontId="6" fillId="0" borderId="0" xfId="0" applyFont="1"/>
    <xf numFmtId="0" fontId="17" fillId="0" borderId="15" xfId="0" applyFont="1" applyBorder="1" applyAlignment="1">
      <alignment horizontal="left" vertical="center"/>
    </xf>
    <xf numFmtId="168" fontId="9" fillId="0" borderId="15" xfId="0" applyNumberFormat="1" applyFont="1" applyBorder="1" applyAlignment="1">
      <alignment horizontal="right" vertical="center"/>
    </xf>
    <xf numFmtId="0" fontId="0" fillId="0" borderId="15" xfId="0" applyBorder="1"/>
    <xf numFmtId="168" fontId="17" fillId="0" borderId="15" xfId="0" applyNumberFormat="1" applyFont="1" applyBorder="1" applyAlignment="1">
      <alignment horizontal="right" vertical="center"/>
    </xf>
    <xf numFmtId="169" fontId="8" fillId="0" borderId="15" xfId="0" applyNumberFormat="1" applyFont="1" applyBorder="1" applyAlignment="1">
      <alignment horizontal="right" vertical="center"/>
    </xf>
    <xf numFmtId="166" fontId="9" fillId="0" borderId="15" xfId="0" applyNumberFormat="1" applyFont="1" applyBorder="1" applyAlignment="1">
      <alignment horizontal="right" vertical="center"/>
    </xf>
    <xf numFmtId="166" fontId="17" fillId="0" borderId="15" xfId="0" applyNumberFormat="1" applyFont="1" applyBorder="1" applyAlignment="1">
      <alignment horizontal="right" vertical="center"/>
    </xf>
    <xf numFmtId="170" fontId="9" fillId="0" borderId="15" xfId="0" applyNumberFormat="1" applyFont="1" applyBorder="1" applyAlignment="1">
      <alignment horizontal="right" vertical="center"/>
    </xf>
    <xf numFmtId="170" fontId="17" fillId="0" borderId="15" xfId="0" applyNumberFormat="1" applyFont="1" applyBorder="1" applyAlignment="1">
      <alignment horizontal="right" vertical="center"/>
    </xf>
    <xf numFmtId="9" fontId="9" fillId="0" borderId="15" xfId="0" applyNumberFormat="1" applyFont="1" applyBorder="1" applyAlignment="1">
      <alignment horizontal="right" vertical="center"/>
    </xf>
    <xf numFmtId="9" fontId="17" fillId="0" borderId="15" xfId="0" applyNumberFormat="1" applyFont="1" applyBorder="1" applyAlignment="1">
      <alignment horizontal="right" vertical="center"/>
    </xf>
    <xf numFmtId="165" fontId="9" fillId="0" borderId="15" xfId="0" applyNumberFormat="1" applyFont="1" applyBorder="1" applyAlignment="1">
      <alignment horizontal="right" vertical="center"/>
    </xf>
    <xf numFmtId="165" fontId="17" fillId="0" borderId="15" xfId="0" applyNumberFormat="1" applyFont="1" applyBorder="1" applyAlignment="1">
      <alignment horizontal="right" vertical="center"/>
    </xf>
    <xf numFmtId="2" fontId="27" fillId="0" borderId="0" xfId="0" applyNumberFormat="1" applyFont="1" applyAlignment="1">
      <alignment horizontal="right" vertical="center"/>
    </xf>
    <xf numFmtId="2" fontId="28" fillId="0" borderId="0" xfId="0" applyNumberFormat="1" applyFont="1" applyAlignment="1">
      <alignment horizontal="right" vertical="center"/>
    </xf>
    <xf numFmtId="173" fontId="17" fillId="0" borderId="0" xfId="0" applyNumberFormat="1" applyFont="1" applyAlignment="1">
      <alignment horizontal="right" vertical="center"/>
    </xf>
    <xf numFmtId="169" fontId="17" fillId="0" borderId="0" xfId="0" applyNumberFormat="1" applyFont="1" applyAlignment="1">
      <alignment horizontal="right" vertical="center"/>
    </xf>
    <xf numFmtId="165" fontId="29" fillId="0" borderId="0" xfId="0" applyNumberFormat="1" applyFont="1" applyAlignment="1">
      <alignment horizontal="right" vertical="center"/>
    </xf>
    <xf numFmtId="174" fontId="29" fillId="0" borderId="0" xfId="0" applyNumberFormat="1" applyFont="1" applyAlignment="1">
      <alignment horizontal="right" vertical="center"/>
    </xf>
    <xf numFmtId="168" fontId="30" fillId="0" borderId="0" xfId="0" applyNumberFormat="1" applyFont="1" applyAlignment="1">
      <alignment horizontal="right" vertical="center"/>
    </xf>
    <xf numFmtId="165" fontId="30" fillId="0" borderId="0" xfId="0" applyNumberFormat="1" applyFont="1" applyAlignment="1">
      <alignment horizontal="right" vertical="center"/>
    </xf>
    <xf numFmtId="174" fontId="6" fillId="0" borderId="0" xfId="0" applyNumberFormat="1" applyFont="1" applyAlignment="1">
      <alignment horizontal="right" vertical="center"/>
    </xf>
    <xf numFmtId="165" fontId="8" fillId="0" borderId="0" xfId="0" applyNumberFormat="1" applyFont="1" applyAlignment="1">
      <alignment horizontal="right" vertical="center"/>
    </xf>
    <xf numFmtId="165" fontId="23" fillId="0" borderId="0" xfId="0" applyNumberFormat="1" applyFont="1" applyAlignment="1">
      <alignment horizontal="left" vertical="center"/>
    </xf>
    <xf numFmtId="9" fontId="31" fillId="0" borderId="0" xfId="0" applyNumberFormat="1" applyFont="1" applyAlignment="1">
      <alignment horizontal="right" vertical="center"/>
    </xf>
    <xf numFmtId="3" fontId="9" fillId="0" borderId="15" xfId="0" applyNumberFormat="1" applyFont="1" applyBorder="1" applyAlignment="1">
      <alignment horizontal="right" vertical="center"/>
    </xf>
    <xf numFmtId="0" fontId="16" fillId="0" borderId="15" xfId="0" applyFont="1" applyBorder="1" applyAlignment="1">
      <alignment horizontal="left" vertical="center"/>
    </xf>
    <xf numFmtId="168" fontId="32" fillId="0" borderId="0" xfId="0" applyNumberFormat="1" applyFont="1" applyAlignment="1">
      <alignment horizontal="right" vertical="center"/>
    </xf>
    <xf numFmtId="0" fontId="33" fillId="0" borderId="0" xfId="0" applyFont="1"/>
    <xf numFmtId="0" fontId="11" fillId="0" borderId="9" xfId="0" applyFont="1" applyBorder="1"/>
    <xf numFmtId="0" fontId="34" fillId="12" borderId="16" xfId="0" applyFont="1" applyFill="1" applyBorder="1" applyAlignment="1">
      <alignment horizontal="center" vertical="center"/>
    </xf>
    <xf numFmtId="0" fontId="16" fillId="0" borderId="0" xfId="0" applyFont="1" applyAlignment="1">
      <alignment horizontal="left" vertical="top" wrapText="1"/>
    </xf>
    <xf numFmtId="175" fontId="35" fillId="0" borderId="0" xfId="0" applyNumberFormat="1" applyFont="1" applyAlignment="1">
      <alignment horizontal="center" vertical="center"/>
    </xf>
    <xf numFmtId="3" fontId="35" fillId="0" borderId="0" xfId="0" applyNumberFormat="1" applyFont="1" applyAlignment="1">
      <alignment horizontal="center" vertical="center"/>
    </xf>
    <xf numFmtId="0" fontId="11" fillId="0" borderId="9" xfId="0" applyFont="1" applyBorder="1" applyAlignment="1">
      <alignment horizontal="center" vertical="center"/>
    </xf>
    <xf numFmtId="165" fontId="36" fillId="12" borderId="16" xfId="0" applyNumberFormat="1" applyFont="1" applyFill="1" applyBorder="1" applyAlignment="1">
      <alignment horizontal="center" vertical="center"/>
    </xf>
    <xf numFmtId="168" fontId="31" fillId="0" borderId="0" xfId="0" applyNumberFormat="1" applyFont="1"/>
    <xf numFmtId="0" fontId="37" fillId="3" borderId="16" xfId="0" applyFont="1" applyFill="1" applyBorder="1" applyAlignment="1">
      <alignment horizontal="center" wrapText="1"/>
    </xf>
    <xf numFmtId="0" fontId="38" fillId="13" borderId="16" xfId="0" applyFont="1" applyFill="1" applyBorder="1" applyAlignment="1">
      <alignment horizontal="center" wrapText="1"/>
    </xf>
    <xf numFmtId="4" fontId="16" fillId="0" borderId="0" xfId="0" applyNumberFormat="1" applyFont="1"/>
    <xf numFmtId="176" fontId="16" fillId="0" borderId="0" xfId="0" applyNumberFormat="1" applyFont="1"/>
    <xf numFmtId="175" fontId="16" fillId="0" borderId="0" xfId="0" applyNumberFormat="1" applyFont="1"/>
    <xf numFmtId="174" fontId="16" fillId="0" borderId="0" xfId="0" applyNumberFormat="1" applyFont="1"/>
    <xf numFmtId="0" fontId="0" fillId="2" borderId="0" xfId="0" applyFill="1" applyAlignment="1">
      <alignment horizontal="center" vertical="center"/>
    </xf>
    <xf numFmtId="0" fontId="0" fillId="4" borderId="1" xfId="0"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14" fontId="0" fillId="0" borderId="0" xfId="0" applyNumberFormat="1"/>
    <xf numFmtId="0" fontId="7" fillId="2" borderId="10" xfId="0" applyFont="1" applyFill="1" applyBorder="1"/>
    <xf numFmtId="0" fontId="11" fillId="4" borderId="11" xfId="0" applyFont="1" applyFill="1" applyBorder="1" applyAlignment="1">
      <alignment horizontal="center" vertical="center"/>
    </xf>
    <xf numFmtId="164" fontId="12" fillId="4" borderId="11" xfId="0" applyNumberFormat="1" applyFont="1" applyFill="1" applyBorder="1" applyAlignment="1">
      <alignment horizontal="center" vertical="center"/>
    </xf>
    <xf numFmtId="9" fontId="12" fillId="4" borderId="11" xfId="0" applyNumberFormat="1" applyFont="1" applyFill="1" applyBorder="1" applyAlignment="1">
      <alignment horizontal="center" vertical="center"/>
    </xf>
    <xf numFmtId="165" fontId="12" fillId="4" borderId="11" xfId="0" applyNumberFormat="1" applyFont="1" applyFill="1" applyBorder="1" applyAlignment="1">
      <alignment horizontal="center" vertical="center"/>
    </xf>
    <xf numFmtId="0" fontId="13" fillId="4" borderId="11" xfId="0" applyFont="1" applyFill="1" applyBorder="1" applyAlignment="1">
      <alignment horizontal="center" vertical="center"/>
    </xf>
    <xf numFmtId="0" fontId="14" fillId="4" borderId="12" xfId="0" applyFont="1" applyFill="1" applyBorder="1" applyAlignment="1">
      <alignment horizontal="center" vertical="center"/>
    </xf>
    <xf numFmtId="166" fontId="12" fillId="4" borderId="11" xfId="0" applyNumberFormat="1" applyFont="1" applyFill="1" applyBorder="1" applyAlignment="1">
      <alignment horizontal="center" vertical="center"/>
    </xf>
    <xf numFmtId="0" fontId="12" fillId="4" borderId="11" xfId="0" applyFont="1" applyFill="1" applyBorder="1" applyAlignment="1">
      <alignment horizontal="center" vertical="center"/>
    </xf>
    <xf numFmtId="3" fontId="12" fillId="4" borderId="11" xfId="0" applyNumberFormat="1" applyFont="1" applyFill="1" applyBorder="1" applyAlignment="1">
      <alignment horizontal="center" vertical="center"/>
    </xf>
    <xf numFmtId="0" fontId="15" fillId="4" borderId="12" xfId="0" applyFont="1" applyFill="1" applyBorder="1" applyAlignment="1">
      <alignment horizontal="center" vertical="center"/>
    </xf>
    <xf numFmtId="0" fontId="16" fillId="2" borderId="0" xfId="0" applyFont="1" applyFill="1"/>
    <xf numFmtId="0" fontId="17" fillId="4" borderId="0" xfId="0" applyFont="1" applyFill="1" applyAlignment="1">
      <alignment horizontal="left" vertical="center" wrapText="1" indent="1"/>
    </xf>
    <xf numFmtId="0" fontId="19" fillId="4" borderId="0" xfId="0" applyFont="1" applyFill="1" applyAlignment="1">
      <alignment horizontal="center" vertical="center"/>
    </xf>
    <xf numFmtId="0" fontId="19" fillId="4" borderId="5" xfId="0" applyFont="1" applyFill="1" applyBorder="1" applyAlignment="1">
      <alignment horizontal="center" vertical="center"/>
    </xf>
    <xf numFmtId="0" fontId="18" fillId="4" borderId="4" xfId="0" applyFont="1" applyFill="1" applyBorder="1" applyAlignment="1">
      <alignment horizontal="right" vertical="center"/>
    </xf>
    <xf numFmtId="167" fontId="20" fillId="4" borderId="13" xfId="0" applyNumberFormat="1" applyFont="1" applyFill="1" applyBorder="1" applyAlignment="1">
      <alignment horizontal="center" vertical="center"/>
    </xf>
    <xf numFmtId="169" fontId="8" fillId="4" borderId="15" xfId="0" applyNumberFormat="1" applyFont="1" applyFill="1" applyBorder="1" applyAlignment="1">
      <alignment horizontal="right" vertical="center"/>
    </xf>
    <xf numFmtId="0" fontId="17" fillId="4" borderId="15" xfId="0" applyFont="1" applyFill="1" applyBorder="1" applyAlignment="1">
      <alignment horizontal="left" vertical="center"/>
    </xf>
    <xf numFmtId="166" fontId="17" fillId="4" borderId="15" xfId="0" applyNumberFormat="1" applyFont="1" applyFill="1" applyBorder="1" applyAlignment="1">
      <alignment horizontal="right" vertical="center"/>
    </xf>
    <xf numFmtId="166" fontId="8" fillId="4" borderId="15" xfId="0" applyNumberFormat="1" applyFont="1" applyFill="1" applyBorder="1" applyAlignment="1">
      <alignment horizontal="right" vertical="center"/>
    </xf>
    <xf numFmtId="0" fontId="18" fillId="4" borderId="6" xfId="0" applyFont="1" applyFill="1" applyBorder="1" applyAlignment="1">
      <alignment horizontal="right" vertical="center"/>
    </xf>
    <xf numFmtId="0" fontId="18" fillId="4" borderId="7" xfId="0" applyFont="1" applyFill="1" applyBorder="1" applyAlignment="1">
      <alignment horizontal="left" vertical="center"/>
    </xf>
    <xf numFmtId="0" fontId="11" fillId="4" borderId="9" xfId="0" applyFont="1" applyFill="1" applyBorder="1" applyAlignment="1">
      <alignment horizontal="left" vertical="center"/>
    </xf>
    <xf numFmtId="0" fontId="11" fillId="4" borderId="9" xfId="0" applyFont="1" applyFill="1" applyBorder="1" applyAlignment="1">
      <alignment horizontal="right"/>
    </xf>
    <xf numFmtId="168" fontId="17" fillId="4" borderId="15" xfId="0" applyNumberFormat="1" applyFont="1" applyFill="1" applyBorder="1" applyAlignment="1">
      <alignment horizontal="right" vertical="center"/>
    </xf>
    <xf numFmtId="168" fontId="8" fillId="4" borderId="15" xfId="0" applyNumberFormat="1" applyFont="1" applyFill="1" applyBorder="1" applyAlignment="1">
      <alignment horizontal="right" vertical="center"/>
    </xf>
    <xf numFmtId="0" fontId="10" fillId="3" borderId="0" xfId="0" applyFont="1" applyFill="1" applyAlignment="1">
      <alignment horizontal="center" vertical="center"/>
    </xf>
    <xf numFmtId="0" fontId="3" fillId="3" borderId="0" xfId="0" applyFont="1" applyFill="1" applyAlignment="1">
      <alignment horizontal="center" vertical="center"/>
    </xf>
    <xf numFmtId="0" fontId="1" fillId="3" borderId="0" xfId="0" applyFont="1" applyFill="1" applyAlignment="1">
      <alignment horizontal="center"/>
    </xf>
    <xf numFmtId="0" fontId="13" fillId="4" borderId="4" xfId="0" applyFont="1" applyFill="1" applyBorder="1" applyAlignment="1">
      <alignment horizontal="center" vertical="center" wrapText="1"/>
    </xf>
    <xf numFmtId="0" fontId="13" fillId="4" borderId="0" xfId="0" applyFont="1" applyFill="1" applyAlignment="1">
      <alignment horizontal="center" vertical="center" wrapText="1"/>
    </xf>
    <xf numFmtId="0" fontId="13" fillId="4" borderId="5"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3" fillId="4" borderId="8" xfId="0" applyFont="1" applyFill="1" applyBorder="1" applyAlignment="1">
      <alignment horizontal="center" vertical="center" wrapText="1"/>
    </xf>
    <xf numFmtId="9" fontId="17" fillId="4" borderId="15" xfId="0" applyNumberFormat="1" applyFont="1" applyFill="1" applyBorder="1" applyAlignment="1">
      <alignment horizontal="right" vertical="center"/>
    </xf>
    <xf numFmtId="9" fontId="8" fillId="4" borderId="15" xfId="0" applyNumberFormat="1" applyFont="1" applyFill="1" applyBorder="1" applyAlignment="1">
      <alignment horizontal="right" vertical="center"/>
    </xf>
    <xf numFmtId="165" fontId="17" fillId="4" borderId="15" xfId="0" applyNumberFormat="1" applyFont="1" applyFill="1" applyBorder="1" applyAlignment="1">
      <alignment horizontal="right" vertical="center"/>
    </xf>
    <xf numFmtId="165" fontId="8" fillId="4" borderId="15" xfId="0" applyNumberFormat="1" applyFont="1" applyFill="1" applyBorder="1" applyAlignment="1">
      <alignment horizontal="right" vertical="center"/>
    </xf>
    <xf numFmtId="170" fontId="17" fillId="4" borderId="15" xfId="0" applyNumberFormat="1" applyFont="1" applyFill="1" applyBorder="1" applyAlignment="1">
      <alignment horizontal="right" vertical="center"/>
    </xf>
    <xf numFmtId="170" fontId="8" fillId="4" borderId="15" xfId="0" applyNumberFormat="1" applyFont="1" applyFill="1" applyBorder="1" applyAlignment="1">
      <alignment horizontal="right" vertical="center"/>
    </xf>
    <xf numFmtId="0" fontId="6" fillId="2" borderId="0" xfId="0" applyFont="1" applyFill="1" applyAlignment="1">
      <alignment horizontal="left" vertical="top" wrapText="1"/>
    </xf>
    <xf numFmtId="0" fontId="13" fillId="0" borderId="0" xfId="0" applyFont="1"/>
    <xf numFmtId="0" fontId="16" fillId="0" borderId="17" xfId="0" applyFont="1" applyBorder="1" applyAlignment="1">
      <alignment horizontal="left" vertical="center" wrapText="1"/>
    </xf>
    <xf numFmtId="0" fontId="16" fillId="0" borderId="0" xfId="0" applyFont="1" applyAlignment="1">
      <alignment horizontal="left" vertical="center" wrapText="1"/>
    </xf>
    <xf numFmtId="0" fontId="16" fillId="0" borderId="0" xfId="0" applyFont="1"/>
    <xf numFmtId="0" fontId="40" fillId="2" borderId="0" xfId="1" applyFont="1" applyFill="1" applyBorder="1" applyAlignment="1">
      <alignment horizontal="center" vertical="center"/>
    </xf>
    <xf numFmtId="0" fontId="41" fillId="2" borderId="0" xfId="0" applyFont="1" applyFill="1"/>
  </cellXfs>
  <cellStyles count="2">
    <cellStyle name="Hyperlink" xfId="1" builtinId="8"/>
    <cellStyle name="Normal" xfId="0" builtinId="0"/>
  </cellStyles>
  <dxfs count="46">
    <dxf>
      <font>
        <b/>
        <sz val="11"/>
        <color rgb="FFD03B3B"/>
        <name val="Arial"/>
        <charset val="1"/>
      </font>
      <fill>
        <patternFill>
          <bgColor rgb="FFFCE9E4"/>
        </patternFill>
      </fill>
    </dxf>
    <dxf>
      <border diagonalUp="0" diagonalDown="0">
        <left/>
        <right/>
        <top/>
        <bottom style="hair">
          <color rgb="FFE2E6F0"/>
        </bottom>
      </border>
    </dxf>
    <dxf>
      <border diagonalUp="0" diagonalDown="0">
        <left/>
        <right/>
        <top/>
        <bottom style="hair">
          <color rgb="FFE2E6F0"/>
        </bottom>
      </border>
    </dxf>
    <dxf>
      <font>
        <b/>
        <sz val="10"/>
        <color rgb="FFD03B3B"/>
        <name val="Arial"/>
        <charset val="1"/>
      </font>
    </dxf>
    <dxf>
      <font>
        <b/>
        <sz val="10"/>
        <color rgb="FF0CA30C"/>
        <name val="Arial"/>
        <charset val="1"/>
      </font>
    </dxf>
    <dxf>
      <font>
        <b/>
        <sz val="10"/>
        <color rgb="FFD03B3B"/>
        <name val="Arial"/>
        <charset val="1"/>
      </font>
    </dxf>
    <dxf>
      <font>
        <b/>
        <sz val="10"/>
        <color rgb="FF0CA30C"/>
        <name val="Arial"/>
        <charset val="1"/>
      </font>
    </dxf>
    <dxf>
      <font>
        <b/>
        <sz val="10"/>
        <color rgb="FFD03B3B"/>
        <name val="Arial"/>
        <charset val="1"/>
      </font>
    </dxf>
    <dxf>
      <font>
        <b/>
        <sz val="10"/>
        <color rgb="FF0CA30C"/>
        <name val="Arial"/>
        <charset val="1"/>
      </font>
    </dxf>
    <dxf>
      <font>
        <b/>
        <sz val="10"/>
        <color rgb="FFD03B3B"/>
        <name val="Arial"/>
        <charset val="1"/>
      </font>
    </dxf>
    <dxf>
      <font>
        <b/>
        <sz val="10"/>
        <color rgb="FF0CA30C"/>
        <name val="Arial"/>
        <charset val="1"/>
      </font>
    </dxf>
    <dxf>
      <font>
        <b/>
        <sz val="10"/>
        <color rgb="FFD03B3B"/>
        <name val="Arial"/>
        <charset val="1"/>
      </font>
    </dxf>
    <dxf>
      <font>
        <b/>
        <sz val="10"/>
        <color rgb="FF0CA30C"/>
        <name val="Arial"/>
        <charset val="1"/>
      </font>
    </dxf>
    <dxf>
      <font>
        <b/>
        <sz val="10"/>
        <color rgb="FFD03B3B"/>
        <name val="Arial"/>
        <charset val="1"/>
      </font>
    </dxf>
    <dxf>
      <font>
        <b/>
        <sz val="10"/>
        <color rgb="FF0CA30C"/>
        <name val="Arial"/>
        <charset val="1"/>
      </font>
    </dxf>
    <dxf>
      <font>
        <b/>
        <sz val="10"/>
        <color rgb="FFD03B3B"/>
        <name val="Arial"/>
        <charset val="1"/>
      </font>
    </dxf>
    <dxf>
      <font>
        <b/>
        <sz val="10"/>
        <color rgb="FF0CA30C"/>
        <name val="Arial"/>
        <charset val="1"/>
      </font>
    </dxf>
    <dxf>
      <border diagonalUp="0" diagonalDown="0">
        <left/>
        <right/>
        <top/>
        <bottom style="hair">
          <color rgb="FFE2E6F0"/>
        </bottom>
      </border>
    </dxf>
    <dxf>
      <font>
        <b/>
        <sz val="10"/>
        <color rgb="FFFFFFFF"/>
        <name val="Arial"/>
        <charset val="1"/>
      </font>
    </dxf>
    <dxf>
      <border diagonalUp="0" diagonalDown="0">
        <left/>
        <right/>
        <top/>
        <bottom style="hair">
          <color rgb="FFE2E6F0"/>
        </bottom>
      </border>
    </dxf>
    <dxf>
      <border diagonalUp="0" diagonalDown="0">
        <left/>
        <right/>
        <top/>
        <bottom style="hair">
          <color rgb="FFE2E6F0"/>
        </bottom>
      </border>
    </dxf>
    <dxf>
      <border diagonalUp="0" diagonalDown="0">
        <left/>
        <right/>
        <top/>
        <bottom style="hair">
          <color rgb="FFE2E6F0"/>
        </bottom>
      </border>
    </dxf>
    <dxf>
      <border diagonalUp="0" diagonalDown="0">
        <left/>
        <right/>
        <top/>
        <bottom style="hair">
          <color rgb="FFE2E6F0"/>
        </bottom>
      </border>
    </dxf>
    <dxf>
      <border diagonalUp="0" diagonalDown="0">
        <left/>
        <right/>
        <top/>
        <bottom style="hair">
          <color rgb="FFE2E6F0"/>
        </bottom>
      </border>
    </dxf>
    <dxf>
      <border diagonalUp="0" diagonalDown="0">
        <left/>
        <right/>
        <top/>
        <bottom style="hair">
          <color rgb="FFE2E6F0"/>
        </bottom>
      </border>
    </dxf>
    <dxf>
      <font>
        <b/>
        <sz val="10"/>
        <color rgb="FFD03B3B"/>
        <name val="Arial"/>
        <charset val="1"/>
      </font>
    </dxf>
    <dxf>
      <font>
        <b/>
        <sz val="10"/>
        <color rgb="FF0CA30C"/>
        <name val="Arial"/>
        <charset val="1"/>
      </font>
    </dxf>
    <dxf>
      <font>
        <b/>
        <sz val="10"/>
        <color rgb="FFD03B3B"/>
        <name val="Arial"/>
        <charset val="1"/>
      </font>
    </dxf>
    <dxf>
      <font>
        <b/>
        <sz val="10"/>
        <color rgb="FF0CA30C"/>
        <name val="Arial"/>
        <charset val="1"/>
      </font>
    </dxf>
    <dxf>
      <font>
        <b/>
        <sz val="10"/>
        <color rgb="FFD03B3B"/>
        <name val="Arial"/>
        <charset val="1"/>
      </font>
    </dxf>
    <dxf>
      <font>
        <b/>
        <sz val="10"/>
        <color rgb="FF0CA30C"/>
        <name val="Arial"/>
        <charset val="1"/>
      </font>
    </dxf>
    <dxf>
      <font>
        <b/>
        <sz val="10"/>
        <color rgb="FFD03B3B"/>
        <name val="Arial"/>
        <charset val="1"/>
      </font>
    </dxf>
    <dxf>
      <font>
        <b/>
        <sz val="10"/>
        <color rgb="FF0CA30C"/>
        <name val="Arial"/>
        <charset val="1"/>
      </font>
    </dxf>
    <dxf>
      <font>
        <b/>
        <sz val="10"/>
        <color rgb="FFD03B3B"/>
        <name val="Arial"/>
        <charset val="1"/>
      </font>
    </dxf>
    <dxf>
      <font>
        <b/>
        <sz val="10"/>
        <color rgb="FF0CA30C"/>
        <name val="Arial"/>
        <charset val="1"/>
      </font>
    </dxf>
    <dxf>
      <font>
        <b/>
        <sz val="10"/>
        <color rgb="FFD03B3B"/>
        <name val="Arial"/>
        <charset val="1"/>
      </font>
    </dxf>
    <dxf>
      <font>
        <b/>
        <sz val="10"/>
        <color rgb="FF0CA30C"/>
        <name val="Arial"/>
        <charset val="1"/>
      </font>
    </dxf>
    <dxf>
      <font>
        <b/>
        <sz val="10"/>
        <color rgb="FFD03B3B"/>
        <name val="Arial"/>
        <charset val="1"/>
      </font>
    </dxf>
    <dxf>
      <font>
        <b/>
        <sz val="10"/>
        <color rgb="FF0CA30C"/>
        <name val="Arial"/>
        <charset val="1"/>
      </font>
    </dxf>
    <dxf>
      <font>
        <b/>
        <sz val="9"/>
        <color rgb="FF0CA30C"/>
        <name val="Arial"/>
        <charset val="1"/>
      </font>
    </dxf>
    <dxf>
      <font>
        <b/>
        <sz val="9"/>
        <color rgb="FFFFFFFF"/>
        <name val="Arial"/>
        <charset val="1"/>
      </font>
    </dxf>
    <dxf>
      <border diagonalUp="0" diagonalDown="0">
        <left style="medium">
          <color rgb="FFD03B3B"/>
        </left>
        <right/>
        <top/>
        <bottom/>
      </border>
    </dxf>
    <dxf>
      <border diagonalUp="0" diagonalDown="0">
        <left style="medium">
          <color rgb="FF1BAF7A"/>
        </left>
        <right/>
        <top/>
        <bottom/>
      </border>
    </dxf>
    <dxf>
      <border diagonalUp="0" diagonalDown="0">
        <left style="medium">
          <color rgb="FFEB6834"/>
        </left>
        <right/>
        <top/>
        <bottom/>
      </border>
    </dxf>
    <dxf>
      <border diagonalUp="0" diagonalDown="0">
        <left style="medium">
          <color rgb="FF2A78D6"/>
        </left>
        <right/>
        <top/>
        <bottom/>
      </border>
    </dxf>
    <dxf>
      <border diagonalUp="0" diagonalDown="0">
        <left style="medium">
          <color rgb="FFD03B3B"/>
        </left>
        <right/>
        <top/>
        <bottom/>
      </border>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CA30C"/>
      <rgbColor rgb="FF000080"/>
      <rgbColor rgb="FF808000"/>
      <rgbColor rgb="FF800080"/>
      <rgbColor rgb="FF2F4A99"/>
      <rgbColor rgb="FFCBD2E0"/>
      <rgbColor rgb="FF7D8798"/>
      <rgbColor rgb="FF93AEF5"/>
      <rgbColor rgb="FFD03B3B"/>
      <rgbColor rgb="FFFEF3D6"/>
      <rgbColor rgb="FFF5F7FB"/>
      <rgbColor rgb="FF660066"/>
      <rgbColor rgb="FFEC835A"/>
      <rgbColor rgb="FF4566C9"/>
      <rgbColor rgb="FFB9CDFA"/>
      <rgbColor rgb="FF000080"/>
      <rgbColor rgb="FFFF00FF"/>
      <rgbColor rgb="FFFFFF00"/>
      <rgbColor rgb="FF00FFFF"/>
      <rgbColor rgb="FF800080"/>
      <rgbColor rgb="FF800000"/>
      <rgbColor rgb="FF008080"/>
      <rgbColor rgb="FF0000FF"/>
      <rgbColor rgb="FF00CCFF"/>
      <rgbColor rgb="FFDBE5FD"/>
      <rgbColor rgb="FFF5F7FB"/>
      <rgbColor rgb="FFFCE9E4"/>
      <rgbColor rgb="FFB9CDFA"/>
      <rgbColor rgb="FFFF99CC"/>
      <rgbColor rgb="FFD3D9E5"/>
      <rgbColor rgb="FFE2E6F0"/>
      <rgbColor rgb="FF2A78D6"/>
      <rgbColor rgb="FF33CCCC"/>
      <rgbColor rgb="FF99CC00"/>
      <rgbColor rgb="FFFFCC00"/>
      <rgbColor rgb="FFFF9900"/>
      <rgbColor rgb="FFEB6834"/>
      <rgbColor rgb="FF6A8BEA"/>
      <rgbColor rgb="FF9AA3B4"/>
      <rgbColor rgb="FF0A1120"/>
      <rgbColor rgb="FF1BAF7A"/>
      <rgbColor rgb="FF0B0F19"/>
      <rgbColor rgb="FF333300"/>
      <rgbColor rgb="FF993300"/>
      <rgbColor rgb="FF993366"/>
      <rgbColor rgb="FF2F4A99"/>
      <rgbColor rgb="FF4B5568"/>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050" b="1" strike="noStrike" spc="-1">
                <a:solidFill>
                  <a:srgbClr val="0B0F19"/>
                </a:solidFill>
                <a:latin typeface="Calibri"/>
              </a:defRPr>
            </a:pPr>
            <a:r>
              <a:rPr lang="en-US" sz="1050" b="1" strike="noStrike" spc="-1">
                <a:solidFill>
                  <a:srgbClr val="0B0F19"/>
                </a:solidFill>
                <a:latin typeface="Calibri"/>
              </a:rPr>
              <a:t>Hours logged, last 28 days</a:t>
            </a:r>
          </a:p>
        </c:rich>
      </c:tx>
      <c:overlay val="0"/>
      <c:spPr>
        <a:noFill/>
        <a:ln w="0">
          <a:noFill/>
        </a:ln>
      </c:spPr>
    </c:title>
    <c:autoTitleDeleted val="0"/>
    <c:plotArea>
      <c:layout/>
      <c:lineChart>
        <c:grouping val="standard"/>
        <c:varyColors val="0"/>
        <c:ser>
          <c:idx val="0"/>
          <c:order val="0"/>
          <c:spPr>
            <a:ln w="25560">
              <a:solidFill>
                <a:srgbClr val="2A78D6"/>
              </a:solidFill>
              <a:round/>
            </a:ln>
          </c:spPr>
          <c:marker>
            <c:symbol val="none"/>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Rhythm!$B$246:$B$273</c:f>
              <c:numCache>
                <c:formatCode>ddd\ d\ mmm</c:formatCode>
                <c:ptCount val="28"/>
                <c:pt idx="0">
                  <c:v>46242</c:v>
                </c:pt>
                <c:pt idx="1">
                  <c:v>46243</c:v>
                </c:pt>
                <c:pt idx="2">
                  <c:v>46244</c:v>
                </c:pt>
                <c:pt idx="3">
                  <c:v>46245</c:v>
                </c:pt>
                <c:pt idx="4">
                  <c:v>46246</c:v>
                </c:pt>
                <c:pt idx="5">
                  <c:v>46247</c:v>
                </c:pt>
                <c:pt idx="6">
                  <c:v>46248</c:v>
                </c:pt>
                <c:pt idx="7">
                  <c:v>46249</c:v>
                </c:pt>
                <c:pt idx="8">
                  <c:v>46250</c:v>
                </c:pt>
                <c:pt idx="9">
                  <c:v>46251</c:v>
                </c:pt>
                <c:pt idx="10">
                  <c:v>46252</c:v>
                </c:pt>
                <c:pt idx="11">
                  <c:v>46253</c:v>
                </c:pt>
                <c:pt idx="12">
                  <c:v>46254</c:v>
                </c:pt>
                <c:pt idx="13">
                  <c:v>46255</c:v>
                </c:pt>
                <c:pt idx="14">
                  <c:v>46256</c:v>
                </c:pt>
                <c:pt idx="15">
                  <c:v>46257</c:v>
                </c:pt>
                <c:pt idx="16">
                  <c:v>46258</c:v>
                </c:pt>
                <c:pt idx="17">
                  <c:v>46259</c:v>
                </c:pt>
                <c:pt idx="18">
                  <c:v>46260</c:v>
                </c:pt>
                <c:pt idx="19">
                  <c:v>46261</c:v>
                </c:pt>
                <c:pt idx="20">
                  <c:v>46262</c:v>
                </c:pt>
                <c:pt idx="21">
                  <c:v>46263</c:v>
                </c:pt>
                <c:pt idx="22">
                  <c:v>46264</c:v>
                </c:pt>
                <c:pt idx="23">
                  <c:v>46265</c:v>
                </c:pt>
                <c:pt idx="24">
                  <c:v>46266</c:v>
                </c:pt>
                <c:pt idx="25">
                  <c:v>46267</c:v>
                </c:pt>
                <c:pt idx="26">
                  <c:v>46268</c:v>
                </c:pt>
                <c:pt idx="27">
                  <c:v>46269</c:v>
                </c:pt>
              </c:numCache>
            </c:numRef>
          </c:cat>
          <c:val>
            <c:numRef>
              <c:f>Rhythm!$C$246:$C$273</c:f>
              <c:numCache>
                <c:formatCode>0.00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8.2394999999999996</c:v>
                </c:pt>
                <c:pt idx="24">
                  <c:v>8.7041666666666675</c:v>
                </c:pt>
                <c:pt idx="25">
                  <c:v>7.7503333333333329</c:v>
                </c:pt>
                <c:pt idx="26">
                  <c:v>9.4513333333333325</c:v>
                </c:pt>
                <c:pt idx="27">
                  <c:v>8.5246666666666648</c:v>
                </c:pt>
              </c:numCache>
            </c:numRef>
          </c:val>
          <c:smooth val="0"/>
          <c:extLst>
            <c:ext xmlns:c16="http://schemas.microsoft.com/office/drawing/2014/chart" uri="{C3380CC4-5D6E-409C-BE32-E72D297353CC}">
              <c16:uniqueId val="{00000000-8FA6-4903-871C-B4A2A4C9D4A1}"/>
            </c:ext>
          </c:extLst>
        </c:ser>
        <c:dLbls>
          <c:showLegendKey val="0"/>
          <c:showVal val="0"/>
          <c:showCatName val="0"/>
          <c:showSerName val="0"/>
          <c:showPercent val="0"/>
          <c:showBubbleSize val="0"/>
        </c:dLbls>
        <c:hiLowLines>
          <c:spPr>
            <a:ln w="0">
              <a:noFill/>
            </a:ln>
          </c:spPr>
        </c:hiLowLines>
        <c:smooth val="0"/>
        <c:axId val="3812163"/>
        <c:axId val="73594227"/>
      </c:lineChart>
      <c:dateAx>
        <c:axId val="3812163"/>
        <c:scaling>
          <c:orientation val="minMax"/>
        </c:scaling>
        <c:delete val="0"/>
        <c:axPos val="b"/>
        <c:numFmt formatCode="ddd\ d\ mmm" sourceLinked="1"/>
        <c:majorTickMark val="none"/>
        <c:minorTickMark val="none"/>
        <c:tickLblPos val="nextTo"/>
        <c:spPr>
          <a:ln w="6480">
            <a:solidFill>
              <a:srgbClr val="CBD2E0"/>
            </a:solidFill>
            <a:round/>
          </a:ln>
        </c:spPr>
        <c:txPr>
          <a:bodyPr/>
          <a:lstStyle/>
          <a:p>
            <a:pPr>
              <a:defRPr sz="900" b="0" strike="noStrike" spc="-1">
                <a:solidFill>
                  <a:srgbClr val="7D8798"/>
                </a:solidFill>
                <a:latin typeface="Calibri"/>
              </a:defRPr>
            </a:pPr>
            <a:endParaRPr lang="en-US"/>
          </a:p>
        </c:txPr>
        <c:crossAx val="73594227"/>
        <c:crosses val="autoZero"/>
        <c:auto val="1"/>
        <c:lblOffset val="100"/>
        <c:baseTimeUnit val="days"/>
      </c:dateAx>
      <c:valAx>
        <c:axId val="73594227"/>
        <c:scaling>
          <c:orientation val="minMax"/>
        </c:scaling>
        <c:delete val="0"/>
        <c:axPos val="l"/>
        <c:majorGridlines>
          <c:spPr>
            <a:ln w="6480">
              <a:solidFill>
                <a:srgbClr val="E2E6F0"/>
              </a:solidFill>
              <a:round/>
            </a:ln>
          </c:spPr>
        </c:majorGridlines>
        <c:numFmt formatCode="0" sourceLinked="0"/>
        <c:majorTickMark val="none"/>
        <c:minorTickMark val="none"/>
        <c:tickLblPos val="nextTo"/>
        <c:spPr>
          <a:ln w="6480">
            <a:solidFill>
              <a:srgbClr val="CBD2E0"/>
            </a:solidFill>
            <a:round/>
          </a:ln>
        </c:spPr>
        <c:txPr>
          <a:bodyPr/>
          <a:lstStyle/>
          <a:p>
            <a:pPr>
              <a:defRPr sz="900" b="0" strike="noStrike" spc="-1">
                <a:solidFill>
                  <a:srgbClr val="7D8798"/>
                </a:solidFill>
                <a:latin typeface="Calibri"/>
              </a:defRPr>
            </a:pPr>
            <a:endParaRPr lang="en-US"/>
          </a:p>
        </c:txPr>
        <c:crossAx val="3812163"/>
        <c:crosses val="autoZero"/>
        <c:crossBetween val="between"/>
      </c:valAx>
      <c:spPr>
        <a:noFill/>
        <a:ln w="0">
          <a:noFill/>
        </a:ln>
      </c:spPr>
    </c:plotArea>
    <c:plotVisOnly val="1"/>
    <c:dispBlanksAs val="gap"/>
    <c:showDLblsOverMax val="1"/>
  </c:chart>
  <c:spPr>
    <a:solidFill>
      <a:srgbClr val="FFFFFF"/>
    </a:solidFill>
    <a:ln w="9360">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050" b="1" strike="noStrike" spc="-1">
                <a:solidFill>
                  <a:srgbClr val="0B0F19"/>
                </a:solidFill>
                <a:latin typeface="Calibri"/>
              </a:defRPr>
            </a:pPr>
            <a:r>
              <a:rPr lang="en-US" sz="1050" b="1" strike="noStrike" spc="-1">
                <a:solidFill>
                  <a:srgbClr val="0B0F19"/>
                </a:solidFill>
                <a:latin typeface="Calibri"/>
              </a:rPr>
              <a:t>Hours by field, top 8</a:t>
            </a:r>
          </a:p>
        </c:rich>
      </c:tx>
      <c:overlay val="0"/>
      <c:spPr>
        <a:noFill/>
        <a:ln w="0">
          <a:noFill/>
        </a:ln>
      </c:spPr>
    </c:title>
    <c:autoTitleDeleted val="0"/>
    <c:plotArea>
      <c:layout/>
      <c:barChart>
        <c:barDir val="bar"/>
        <c:grouping val="clustered"/>
        <c:varyColors val="0"/>
        <c:ser>
          <c:idx val="0"/>
          <c:order val="0"/>
          <c:spPr>
            <a:solidFill>
              <a:srgbClr val="2A78D6"/>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'Where it goes'!$C$10:$C$17</c:f>
              <c:strCache>
                <c:ptCount val="8"/>
                <c:pt idx="0">
                  <c:v>Zendesk Tickets</c:v>
                </c:pt>
                <c:pt idx="1">
                  <c:v>Project work</c:v>
                </c:pt>
                <c:pt idx="2">
                  <c:v>Admin</c:v>
                </c:pt>
                <c:pt idx="3">
                  <c:v>Email</c:v>
                </c:pt>
                <c:pt idx="4">
                  <c:v>Dev Tickets - ADO's</c:v>
                </c:pt>
                <c:pt idx="5">
                  <c:v>Lunch Break</c:v>
                </c:pt>
                <c:pt idx="6">
                  <c:v>Teams Communications</c:v>
                </c:pt>
                <c:pt idx="7">
                  <c:v>Support</c:v>
                </c:pt>
              </c:strCache>
            </c:strRef>
          </c:cat>
          <c:val>
            <c:numRef>
              <c:f>'Where it goes'!$D$10:$D$17</c:f>
              <c:numCache>
                <c:formatCode>#,##0.0\h</c:formatCode>
                <c:ptCount val="8"/>
                <c:pt idx="0">
                  <c:v>10.191833333333335</c:v>
                </c:pt>
                <c:pt idx="1">
                  <c:v>7.9924999999999988</c:v>
                </c:pt>
                <c:pt idx="2">
                  <c:v>7.559333333333333</c:v>
                </c:pt>
                <c:pt idx="3">
                  <c:v>5.2786666666666653</c:v>
                </c:pt>
                <c:pt idx="4">
                  <c:v>4.7831666666666672</c:v>
                </c:pt>
                <c:pt idx="5">
                  <c:v>2.7646666666666673</c:v>
                </c:pt>
                <c:pt idx="6">
                  <c:v>2.351833333333333</c:v>
                </c:pt>
                <c:pt idx="7">
                  <c:v>1.1826666666666665</c:v>
                </c:pt>
              </c:numCache>
            </c:numRef>
          </c:val>
          <c:extLst>
            <c:ext xmlns:c16="http://schemas.microsoft.com/office/drawing/2014/chart" uri="{C3380CC4-5D6E-409C-BE32-E72D297353CC}">
              <c16:uniqueId val="{00000000-4796-4967-8FE4-D8D06BFBD59D}"/>
            </c:ext>
          </c:extLst>
        </c:ser>
        <c:dLbls>
          <c:showLegendKey val="0"/>
          <c:showVal val="0"/>
          <c:showCatName val="0"/>
          <c:showSerName val="0"/>
          <c:showPercent val="0"/>
          <c:showBubbleSize val="0"/>
        </c:dLbls>
        <c:gapWidth val="45"/>
        <c:axId val="15299042"/>
        <c:axId val="36337431"/>
      </c:barChart>
      <c:catAx>
        <c:axId val="15299042"/>
        <c:scaling>
          <c:orientation val="minMax"/>
        </c:scaling>
        <c:delete val="0"/>
        <c:axPos val="l"/>
        <c:majorGridlines>
          <c:spPr>
            <a:ln w="6480">
              <a:solidFill>
                <a:srgbClr val="E2E6F0"/>
              </a:solidFill>
              <a:round/>
            </a:ln>
          </c:spPr>
        </c:majorGridlines>
        <c:numFmt formatCode="General" sourceLinked="1"/>
        <c:majorTickMark val="none"/>
        <c:minorTickMark val="none"/>
        <c:tickLblPos val="nextTo"/>
        <c:spPr>
          <a:ln w="6480">
            <a:solidFill>
              <a:srgbClr val="CBD2E0"/>
            </a:solidFill>
            <a:round/>
          </a:ln>
        </c:spPr>
        <c:txPr>
          <a:bodyPr/>
          <a:lstStyle/>
          <a:p>
            <a:pPr>
              <a:defRPr sz="900" b="0" strike="noStrike" spc="-1">
                <a:solidFill>
                  <a:srgbClr val="7D8798"/>
                </a:solidFill>
                <a:latin typeface="Calibri"/>
              </a:defRPr>
            </a:pPr>
            <a:endParaRPr lang="en-US"/>
          </a:p>
        </c:txPr>
        <c:crossAx val="36337431"/>
        <c:crosses val="autoZero"/>
        <c:auto val="1"/>
        <c:lblAlgn val="ctr"/>
        <c:lblOffset val="100"/>
        <c:noMultiLvlLbl val="0"/>
      </c:catAx>
      <c:valAx>
        <c:axId val="36337431"/>
        <c:scaling>
          <c:orientation val="minMax"/>
        </c:scaling>
        <c:delete val="0"/>
        <c:axPos val="b"/>
        <c:numFmt formatCode="#,##0.0\h" sourceLinked="1"/>
        <c:majorTickMark val="none"/>
        <c:minorTickMark val="none"/>
        <c:tickLblPos val="nextTo"/>
        <c:spPr>
          <a:ln w="6480">
            <a:solidFill>
              <a:srgbClr val="CBD2E0"/>
            </a:solidFill>
            <a:round/>
          </a:ln>
        </c:spPr>
        <c:txPr>
          <a:bodyPr/>
          <a:lstStyle/>
          <a:p>
            <a:pPr>
              <a:defRPr sz="900" b="0" strike="noStrike" spc="-1">
                <a:solidFill>
                  <a:srgbClr val="7D8798"/>
                </a:solidFill>
                <a:latin typeface="Calibri"/>
              </a:defRPr>
            </a:pPr>
            <a:endParaRPr lang="en-US"/>
          </a:p>
        </c:txPr>
        <c:crossAx val="15299042"/>
        <c:crosses val="autoZero"/>
        <c:crossBetween val="between"/>
      </c:valAx>
      <c:spPr>
        <a:noFill/>
        <a:ln w="0">
          <a:noFill/>
        </a:ln>
      </c:spPr>
    </c:plotArea>
    <c:plotVisOnly val="1"/>
    <c:dispBlanksAs val="gap"/>
    <c:showDLblsOverMax val="1"/>
  </c:chart>
  <c:spPr>
    <a:solidFill>
      <a:srgbClr val="FFFFFF"/>
    </a:solidFill>
    <a:ln w="9360">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43</xdr:row>
      <xdr:rowOff>0</xdr:rowOff>
    </xdr:from>
    <xdr:to>
      <xdr:col>12</xdr:col>
      <xdr:colOff>226080</xdr:colOff>
      <xdr:row>57</xdr:row>
      <xdr:rowOff>68760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14</xdr:col>
      <xdr:colOff>0</xdr:colOff>
      <xdr:row>43</xdr:row>
      <xdr:rowOff>0</xdr:rowOff>
    </xdr:from>
    <xdr:to>
      <xdr:col>24</xdr:col>
      <xdr:colOff>225720</xdr:colOff>
      <xdr:row>57</xdr:row>
      <xdr:rowOff>68760</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A1120"/>
    <pageSetUpPr fitToPage="1"/>
  </sheetPr>
  <dimension ref="B1:F60"/>
  <sheetViews>
    <sheetView showGridLines="0" topLeftCell="A17" zoomScaleNormal="100" workbookViewId="0">
      <selection activeCell="D1" sqref="D1"/>
    </sheetView>
  </sheetViews>
  <sheetFormatPr defaultColWidth="8.7109375" defaultRowHeight="15" x14ac:dyDescent="0.25"/>
  <cols>
    <col min="1" max="1" width="65.7109375" customWidth="1"/>
    <col min="2" max="2" width="3" customWidth="1"/>
    <col min="3" max="3" width="4" customWidth="1"/>
    <col min="4" max="4" width="96" customWidth="1"/>
  </cols>
  <sheetData>
    <row r="1" spans="2:6" ht="9.75" customHeight="1" x14ac:dyDescent="0.25">
      <c r="B1" s="1"/>
      <c r="C1" s="1"/>
      <c r="D1" s="1"/>
      <c r="E1" s="1"/>
      <c r="F1" s="1"/>
    </row>
    <row r="2" spans="2:6" ht="9.75" customHeight="1" x14ac:dyDescent="0.25">
      <c r="B2" s="1"/>
      <c r="C2" s="2"/>
      <c r="D2" s="2"/>
      <c r="E2" s="2"/>
      <c r="F2" s="1"/>
    </row>
    <row r="3" spans="2:6" ht="18" customHeight="1" x14ac:dyDescent="0.25">
      <c r="B3" s="1"/>
      <c r="C3" s="2"/>
      <c r="D3" s="3" t="s">
        <v>0</v>
      </c>
      <c r="E3" s="2"/>
      <c r="F3" s="1"/>
    </row>
    <row r="4" spans="2:6" ht="30" customHeight="1" x14ac:dyDescent="0.4">
      <c r="B4" s="1"/>
      <c r="C4" s="2"/>
      <c r="D4" s="4" t="s">
        <v>1</v>
      </c>
      <c r="E4" s="2"/>
      <c r="F4" s="1"/>
    </row>
    <row r="5" spans="2:6" ht="18" customHeight="1" x14ac:dyDescent="0.25">
      <c r="B5" s="1"/>
      <c r="C5" s="2"/>
      <c r="D5" s="5" t="s">
        <v>2</v>
      </c>
      <c r="E5" s="2"/>
      <c r="F5" s="1"/>
    </row>
    <row r="6" spans="2:6" ht="9.75" customHeight="1" x14ac:dyDescent="0.25">
      <c r="B6" s="1"/>
      <c r="C6" s="2"/>
      <c r="D6" s="2"/>
      <c r="E6" s="2"/>
      <c r="F6" s="1"/>
    </row>
    <row r="7" spans="2:6" x14ac:dyDescent="0.25">
      <c r="B7" s="1"/>
      <c r="C7" s="1"/>
      <c r="D7" s="1"/>
      <c r="E7" s="1"/>
      <c r="F7" s="1"/>
    </row>
    <row r="8" spans="2:6" ht="19.5" customHeight="1" x14ac:dyDescent="0.25">
      <c r="B8" s="1"/>
      <c r="C8" s="6" t="s">
        <v>3</v>
      </c>
      <c r="D8" s="7" t="s">
        <v>4</v>
      </c>
      <c r="E8" s="8"/>
      <c r="F8" s="1"/>
    </row>
    <row r="9" spans="2:6" ht="33.75" customHeight="1" x14ac:dyDescent="0.25">
      <c r="B9" s="1"/>
      <c r="C9" s="9"/>
      <c r="D9" s="10" t="s">
        <v>5</v>
      </c>
      <c r="E9" s="11"/>
      <c r="F9" s="1"/>
    </row>
    <row r="10" spans="2:6" ht="6" customHeight="1" x14ac:dyDescent="0.25">
      <c r="B10" s="1"/>
      <c r="C10" s="12"/>
      <c r="D10" s="13"/>
      <c r="E10" s="14"/>
      <c r="F10" s="1"/>
    </row>
    <row r="11" spans="2:6" x14ac:dyDescent="0.25">
      <c r="B11" s="1"/>
      <c r="C11" s="1"/>
      <c r="D11" s="1"/>
      <c r="E11" s="1"/>
      <c r="F11" s="1"/>
    </row>
    <row r="12" spans="2:6" ht="19.5" customHeight="1" x14ac:dyDescent="0.25">
      <c r="B12" s="1"/>
      <c r="C12" s="6" t="s">
        <v>6</v>
      </c>
      <c r="D12" s="7" t="s">
        <v>7</v>
      </c>
      <c r="E12" s="8"/>
      <c r="F12" s="1"/>
    </row>
    <row r="13" spans="2:6" ht="42.75" customHeight="1" x14ac:dyDescent="0.25">
      <c r="B13" s="1"/>
      <c r="C13" s="9"/>
      <c r="D13" s="10" t="s">
        <v>8</v>
      </c>
      <c r="E13" s="11"/>
      <c r="F13" s="1"/>
    </row>
    <row r="14" spans="2:6" ht="6" customHeight="1" x14ac:dyDescent="0.25">
      <c r="B14" s="1"/>
      <c r="C14" s="12"/>
      <c r="D14" s="13"/>
      <c r="E14" s="14"/>
      <c r="F14" s="1"/>
    </row>
    <row r="15" spans="2:6" x14ac:dyDescent="0.25">
      <c r="B15" s="1"/>
      <c r="C15" s="1"/>
      <c r="D15" s="1"/>
      <c r="E15" s="1"/>
      <c r="F15" s="1"/>
    </row>
    <row r="16" spans="2:6" ht="19.5" customHeight="1" x14ac:dyDescent="0.25">
      <c r="B16" s="1"/>
      <c r="C16" s="6" t="s">
        <v>9</v>
      </c>
      <c r="D16" s="7" t="s">
        <v>10</v>
      </c>
      <c r="E16" s="8"/>
      <c r="F16" s="1"/>
    </row>
    <row r="17" spans="2:6" ht="33.75" customHeight="1" x14ac:dyDescent="0.25">
      <c r="B17" s="1"/>
      <c r="C17" s="9"/>
      <c r="D17" s="10" t="s">
        <v>11</v>
      </c>
      <c r="E17" s="11"/>
      <c r="F17" s="1"/>
    </row>
    <row r="18" spans="2:6" ht="6" customHeight="1" x14ac:dyDescent="0.25">
      <c r="B18" s="1"/>
      <c r="C18" s="12"/>
      <c r="D18" s="13"/>
      <c r="E18" s="14"/>
      <c r="F18" s="1"/>
    </row>
    <row r="19" spans="2:6" x14ac:dyDescent="0.25">
      <c r="B19" s="1"/>
      <c r="C19" s="1"/>
      <c r="D19" s="1"/>
      <c r="E19" s="1"/>
      <c r="F19" s="1"/>
    </row>
    <row r="20" spans="2:6" ht="19.5" customHeight="1" x14ac:dyDescent="0.25">
      <c r="B20" s="1"/>
      <c r="C20" s="6" t="s">
        <v>12</v>
      </c>
      <c r="D20" s="7" t="s">
        <v>13</v>
      </c>
      <c r="E20" s="8"/>
      <c r="F20" s="1"/>
    </row>
    <row r="21" spans="2:6" ht="33.75" customHeight="1" x14ac:dyDescent="0.25">
      <c r="B21" s="1"/>
      <c r="C21" s="9"/>
      <c r="D21" s="10" t="s">
        <v>14</v>
      </c>
      <c r="E21" s="11"/>
      <c r="F21" s="1"/>
    </row>
    <row r="22" spans="2:6" ht="6" customHeight="1" x14ac:dyDescent="0.25">
      <c r="B22" s="1"/>
      <c r="C22" s="12"/>
      <c r="D22" s="13"/>
      <c r="E22" s="14"/>
      <c r="F22" s="1"/>
    </row>
    <row r="23" spans="2:6" x14ac:dyDescent="0.25">
      <c r="B23" s="1"/>
      <c r="C23" s="1"/>
      <c r="D23" s="1"/>
      <c r="E23" s="1"/>
      <c r="F23" s="1"/>
    </row>
    <row r="24" spans="2:6" ht="19.5" customHeight="1" x14ac:dyDescent="0.25">
      <c r="B24" s="1"/>
      <c r="C24" s="6" t="s">
        <v>15</v>
      </c>
      <c r="D24" s="7" t="s">
        <v>16</v>
      </c>
      <c r="E24" s="8"/>
      <c r="F24" s="1"/>
    </row>
    <row r="25" spans="2:6" ht="33.75" customHeight="1" x14ac:dyDescent="0.25">
      <c r="B25" s="1"/>
      <c r="C25" s="9"/>
      <c r="D25" s="10" t="s">
        <v>17</v>
      </c>
      <c r="E25" s="11"/>
      <c r="F25" s="1"/>
    </row>
    <row r="26" spans="2:6" ht="6" customHeight="1" x14ac:dyDescent="0.25">
      <c r="B26" s="1"/>
      <c r="C26" s="12"/>
      <c r="D26" s="13"/>
      <c r="E26" s="14"/>
      <c r="F26" s="1"/>
    </row>
    <row r="27" spans="2:6" x14ac:dyDescent="0.25">
      <c r="B27" s="1"/>
      <c r="C27" s="1"/>
      <c r="D27" s="1"/>
      <c r="E27" s="1"/>
      <c r="F27" s="1"/>
    </row>
    <row r="28" spans="2:6" x14ac:dyDescent="0.25">
      <c r="B28" s="1"/>
      <c r="C28" s="15"/>
      <c r="D28" s="16" t="s">
        <v>18</v>
      </c>
      <c r="E28" s="15"/>
      <c r="F28" s="1"/>
    </row>
    <row r="29" spans="2:6" x14ac:dyDescent="0.25">
      <c r="B29" s="1"/>
      <c r="C29" s="1"/>
      <c r="D29" s="1"/>
      <c r="E29" s="1"/>
      <c r="F29" s="1"/>
    </row>
    <row r="30" spans="2:6" ht="15" customHeight="1" x14ac:dyDescent="0.25">
      <c r="B30" s="1"/>
      <c r="C30" s="1"/>
      <c r="D30" s="17" t="s">
        <v>19</v>
      </c>
      <c r="E30" s="1"/>
      <c r="F30" s="1"/>
    </row>
    <row r="31" spans="2:6" ht="15" customHeight="1" x14ac:dyDescent="0.25">
      <c r="B31" s="1"/>
      <c r="C31" s="1"/>
      <c r="D31" s="18" t="s">
        <v>20</v>
      </c>
      <c r="E31" s="1"/>
      <c r="F31" s="1"/>
    </row>
    <row r="32" spans="2:6" ht="15" customHeight="1" x14ac:dyDescent="0.25">
      <c r="B32" s="1"/>
      <c r="C32" s="1"/>
      <c r="D32" s="17" t="s">
        <v>21</v>
      </c>
      <c r="E32" s="1"/>
      <c r="F32" s="1"/>
    </row>
    <row r="33" spans="2:6" ht="15" customHeight="1" x14ac:dyDescent="0.25">
      <c r="B33" s="1"/>
      <c r="C33" s="1"/>
      <c r="D33" s="18" t="s">
        <v>22</v>
      </c>
      <c r="E33" s="1"/>
      <c r="F33" s="1"/>
    </row>
    <row r="34" spans="2:6" ht="15" customHeight="1" x14ac:dyDescent="0.25">
      <c r="B34" s="1"/>
      <c r="C34" s="1"/>
      <c r="D34" s="17" t="s">
        <v>23</v>
      </c>
      <c r="E34" s="1"/>
      <c r="F34" s="1"/>
    </row>
    <row r="35" spans="2:6" ht="15" customHeight="1" x14ac:dyDescent="0.25">
      <c r="B35" s="1"/>
      <c r="C35" s="1"/>
      <c r="D35" s="18" t="s">
        <v>24</v>
      </c>
      <c r="E35" s="1"/>
      <c r="F35" s="1"/>
    </row>
    <row r="36" spans="2:6" ht="15" customHeight="1" x14ac:dyDescent="0.25">
      <c r="B36" s="1"/>
      <c r="C36" s="1"/>
      <c r="D36" s="17" t="s">
        <v>25</v>
      </c>
      <c r="E36" s="1"/>
      <c r="F36" s="1"/>
    </row>
    <row r="37" spans="2:6" ht="15" customHeight="1" x14ac:dyDescent="0.25">
      <c r="B37" s="1"/>
      <c r="C37" s="1"/>
      <c r="D37" s="18" t="s">
        <v>26</v>
      </c>
      <c r="E37" s="1"/>
      <c r="F37" s="1"/>
    </row>
    <row r="38" spans="2:6" ht="15" customHeight="1" x14ac:dyDescent="0.25">
      <c r="B38" s="1"/>
      <c r="C38" s="1"/>
      <c r="D38" s="17" t="s">
        <v>27</v>
      </c>
      <c r="E38" s="1"/>
      <c r="F38" s="1"/>
    </row>
    <row r="39" spans="2:6" ht="15" customHeight="1" x14ac:dyDescent="0.25">
      <c r="B39" s="1"/>
      <c r="C39" s="1"/>
      <c r="D39" s="18" t="s">
        <v>28</v>
      </c>
      <c r="E39" s="1"/>
      <c r="F39" s="1"/>
    </row>
    <row r="40" spans="2:6" ht="15" customHeight="1" x14ac:dyDescent="0.25">
      <c r="B40" s="1"/>
      <c r="C40" s="1"/>
      <c r="D40" s="17" t="s">
        <v>29</v>
      </c>
      <c r="E40" s="1"/>
      <c r="F40" s="1"/>
    </row>
    <row r="41" spans="2:6" ht="15" customHeight="1" x14ac:dyDescent="0.25">
      <c r="B41" s="1"/>
      <c r="C41" s="1"/>
      <c r="D41" s="18" t="s">
        <v>30</v>
      </c>
      <c r="E41" s="1"/>
      <c r="F41" s="1"/>
    </row>
    <row r="42" spans="2:6" ht="15" customHeight="1" x14ac:dyDescent="0.25">
      <c r="B42" s="1"/>
      <c r="C42" s="1"/>
      <c r="D42" s="17" t="s">
        <v>31</v>
      </c>
      <c r="E42" s="1"/>
      <c r="F42" s="1"/>
    </row>
    <row r="43" spans="2:6" ht="15" customHeight="1" x14ac:dyDescent="0.25">
      <c r="B43" s="1"/>
      <c r="C43" s="1"/>
      <c r="D43" s="18" t="s">
        <v>32</v>
      </c>
      <c r="E43" s="1"/>
      <c r="F43" s="1"/>
    </row>
    <row r="44" spans="2:6" ht="15" customHeight="1" x14ac:dyDescent="0.25">
      <c r="B44" s="1"/>
      <c r="C44" s="1"/>
      <c r="D44" s="17" t="s">
        <v>33</v>
      </c>
      <c r="E44" s="1"/>
      <c r="F44" s="1"/>
    </row>
    <row r="45" spans="2:6" ht="15" customHeight="1" x14ac:dyDescent="0.25">
      <c r="B45" s="1"/>
      <c r="C45" s="1"/>
      <c r="D45" s="18" t="s">
        <v>34</v>
      </c>
      <c r="E45" s="1"/>
      <c r="F45" s="1"/>
    </row>
    <row r="46" spans="2:6" ht="15" customHeight="1" x14ac:dyDescent="0.25">
      <c r="B46" s="1"/>
      <c r="C46" s="1"/>
      <c r="D46" s="17" t="s">
        <v>35</v>
      </c>
      <c r="E46" s="1"/>
      <c r="F46" s="1"/>
    </row>
    <row r="47" spans="2:6" ht="15" customHeight="1" x14ac:dyDescent="0.25">
      <c r="B47" s="1"/>
      <c r="C47" s="1"/>
      <c r="D47" s="18" t="s">
        <v>36</v>
      </c>
      <c r="E47" s="1"/>
      <c r="F47" s="1"/>
    </row>
    <row r="48" spans="2:6" x14ac:dyDescent="0.25">
      <c r="B48" s="1"/>
      <c r="C48" s="1"/>
      <c r="D48" s="1"/>
      <c r="E48" s="1"/>
      <c r="F48" s="1"/>
    </row>
    <row r="49" spans="2:6" x14ac:dyDescent="0.25">
      <c r="B49" s="1"/>
      <c r="C49" s="1"/>
      <c r="D49" s="19" t="s">
        <v>37</v>
      </c>
      <c r="E49" s="1"/>
      <c r="F49" s="1"/>
    </row>
    <row r="50" spans="2:6" ht="18" customHeight="1" x14ac:dyDescent="0.25">
      <c r="B50" s="1"/>
      <c r="C50" s="1"/>
      <c r="D50" s="156" t="s">
        <v>38</v>
      </c>
      <c r="E50" s="156"/>
      <c r="F50" s="1"/>
    </row>
    <row r="51" spans="2:6" ht="18" customHeight="1" x14ac:dyDescent="0.25">
      <c r="B51" s="1"/>
      <c r="C51" s="1"/>
      <c r="D51" s="156"/>
      <c r="E51" s="156"/>
      <c r="F51" s="1"/>
    </row>
    <row r="52" spans="2:6" x14ac:dyDescent="0.25">
      <c r="B52" s="1"/>
      <c r="C52" s="1"/>
      <c r="D52" s="1"/>
      <c r="E52" s="1"/>
      <c r="F52" s="1"/>
    </row>
    <row r="53" spans="2:6" x14ac:dyDescent="0.25">
      <c r="B53" s="1"/>
      <c r="C53" s="1"/>
      <c r="D53" s="1"/>
      <c r="E53" s="1"/>
      <c r="F53" s="1"/>
    </row>
    <row r="54" spans="2:6" x14ac:dyDescent="0.25">
      <c r="B54" s="1"/>
      <c r="C54" s="1"/>
      <c r="D54" s="1"/>
      <c r="E54" s="1"/>
      <c r="F54" s="1"/>
    </row>
    <row r="55" spans="2:6" x14ac:dyDescent="0.25">
      <c r="B55" s="1"/>
      <c r="C55" s="1"/>
      <c r="D55" s="1"/>
      <c r="E55" s="1"/>
      <c r="F55" s="1"/>
    </row>
    <row r="56" spans="2:6" x14ac:dyDescent="0.25">
      <c r="B56" s="1"/>
      <c r="C56" s="1"/>
      <c r="D56" s="1"/>
      <c r="E56" s="1"/>
      <c r="F56" s="1"/>
    </row>
    <row r="57" spans="2:6" x14ac:dyDescent="0.25">
      <c r="B57" s="1"/>
      <c r="C57" s="1"/>
      <c r="D57" s="1"/>
      <c r="E57" s="1"/>
      <c r="F57" s="1"/>
    </row>
    <row r="58" spans="2:6" x14ac:dyDescent="0.25">
      <c r="B58" s="1"/>
      <c r="C58" s="1"/>
      <c r="D58" s="1"/>
      <c r="E58" s="1"/>
      <c r="F58" s="1"/>
    </row>
    <row r="59" spans="2:6" x14ac:dyDescent="0.25">
      <c r="B59" s="1"/>
      <c r="C59" s="1"/>
      <c r="D59" s="1"/>
      <c r="E59" s="1"/>
      <c r="F59" s="1"/>
    </row>
    <row r="60" spans="2:6" x14ac:dyDescent="0.25">
      <c r="B60" s="1"/>
      <c r="C60" s="1"/>
      <c r="D60" s="1"/>
      <c r="E60" s="1"/>
      <c r="F60" s="1"/>
    </row>
  </sheetData>
  <mergeCells count="1">
    <mergeCell ref="D50:E51"/>
  </mergeCells>
  <pageMargins left="0.75" right="0.75" top="1" bottom="1" header="0.511811023622047" footer="0.511811023622047"/>
  <pageSetup orientation="portrait" horizontalDpi="300" verticalDpi="300"/>
  <ignoredErrors>
    <ignoredError sqref="C8:C2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A1120"/>
    <pageSetUpPr fitToPage="1"/>
  </sheetPr>
  <dimension ref="B1:Z130"/>
  <sheetViews>
    <sheetView showGridLines="0" tabSelected="1" zoomScaleNormal="100" workbookViewId="0"/>
  </sheetViews>
  <sheetFormatPr defaultColWidth="8.7109375" defaultRowHeight="15" x14ac:dyDescent="0.25"/>
  <cols>
    <col min="1" max="1" width="65.7109375" customWidth="1"/>
    <col min="2" max="2" width="2.5703125" customWidth="1"/>
    <col min="3" max="25" width="5.5703125" customWidth="1"/>
    <col min="26" max="26" width="2.5703125" customWidth="1"/>
  </cols>
  <sheetData>
    <row r="1" spans="2:26" ht="9.75" customHeight="1" x14ac:dyDescent="0.25">
      <c r="B1" s="1"/>
      <c r="C1" s="1"/>
      <c r="D1" s="1"/>
      <c r="E1" s="1"/>
      <c r="F1" s="1"/>
      <c r="G1" s="1"/>
      <c r="H1" s="1"/>
      <c r="I1" s="1"/>
      <c r="J1" s="1"/>
      <c r="K1" s="1"/>
      <c r="L1" s="1"/>
      <c r="M1" s="1"/>
      <c r="N1" s="1"/>
      <c r="O1" s="1"/>
      <c r="P1" s="1"/>
      <c r="Q1" s="1"/>
      <c r="R1" s="1"/>
      <c r="S1" s="1"/>
      <c r="T1" s="1"/>
      <c r="U1" s="1"/>
      <c r="V1" s="1"/>
      <c r="W1" s="1"/>
      <c r="X1" s="1"/>
      <c r="Y1" s="1"/>
      <c r="Z1" s="1"/>
    </row>
    <row r="2" spans="2:26" ht="9.75" customHeight="1" x14ac:dyDescent="0.25">
      <c r="B2" s="1"/>
      <c r="C2" s="2"/>
      <c r="D2" s="2"/>
      <c r="E2" s="2"/>
      <c r="F2" s="2"/>
      <c r="G2" s="2"/>
      <c r="H2" s="2"/>
      <c r="I2" s="2"/>
      <c r="J2" s="2"/>
      <c r="K2" s="2"/>
      <c r="L2" s="2"/>
      <c r="M2" s="2"/>
      <c r="N2" s="2"/>
      <c r="O2" s="2"/>
      <c r="P2" s="2"/>
      <c r="Q2" s="2"/>
      <c r="R2" s="2"/>
      <c r="S2" s="2"/>
      <c r="T2" s="2"/>
      <c r="U2" s="2"/>
      <c r="V2" s="2"/>
      <c r="W2" s="2"/>
      <c r="X2" s="2"/>
      <c r="Y2" s="2"/>
      <c r="Z2" s="1"/>
    </row>
    <row r="3" spans="2:26" ht="15.75" customHeight="1" x14ac:dyDescent="0.25">
      <c r="B3" s="1"/>
      <c r="C3" s="143" t="s">
        <v>0</v>
      </c>
      <c r="D3" s="143"/>
      <c r="E3" s="143"/>
      <c r="F3" s="143"/>
      <c r="G3" s="143"/>
      <c r="H3" s="143"/>
      <c r="I3" s="143"/>
      <c r="J3" s="143"/>
      <c r="K3" s="143"/>
      <c r="L3" s="143"/>
      <c r="M3" s="143"/>
      <c r="N3" s="143"/>
      <c r="O3" s="143"/>
      <c r="P3" s="143"/>
      <c r="Q3" s="143"/>
      <c r="R3" s="143"/>
      <c r="S3" s="143"/>
      <c r="T3" s="143"/>
      <c r="U3" s="143"/>
      <c r="V3" s="143"/>
      <c r="W3" s="143"/>
      <c r="X3" s="143"/>
      <c r="Y3" s="143"/>
      <c r="Z3" s="1"/>
    </row>
    <row r="4" spans="2:26" ht="33.75" customHeight="1" x14ac:dyDescent="0.25">
      <c r="B4" s="1"/>
      <c r="C4" s="141" t="s">
        <v>39</v>
      </c>
      <c r="D4" s="141"/>
      <c r="E4" s="141"/>
      <c r="F4" s="141"/>
      <c r="G4" s="141"/>
      <c r="H4" s="141"/>
      <c r="I4" s="141"/>
      <c r="J4" s="141"/>
      <c r="K4" s="141"/>
      <c r="L4" s="141"/>
      <c r="M4" s="141"/>
      <c r="N4" s="141"/>
      <c r="O4" s="141"/>
      <c r="P4" s="141"/>
      <c r="Q4" s="141"/>
      <c r="R4" s="141"/>
      <c r="S4" s="141"/>
      <c r="T4" s="141"/>
      <c r="U4" s="141"/>
      <c r="V4" s="141"/>
      <c r="W4" s="141"/>
      <c r="X4" s="141"/>
      <c r="Y4" s="141"/>
      <c r="Z4" s="1"/>
    </row>
    <row r="5" spans="2:26" ht="15.75" customHeight="1" x14ac:dyDescent="0.25">
      <c r="B5" s="1"/>
      <c r="C5" s="142" t="str">
        <f>IF(Settings!$C$14="","Paste a FLUX export into the Data tab and this page fills itself in.","Covering "&amp;TEXT(Settings!$C$14,"d mmm yyyy")&amp;"  to  "&amp;TEXT(Settings!$C$15,"d mmm yyyy")&amp;"   ·   "&amp;COUNTIF(Data!$X$2:$X$1201,1)&amp;" active days   ·   "&amp;COUNTIF(Data!$E$2:$E$1201,"timed")&amp;" entries")</f>
        <v>Covering 31 Aug 2026  to  4 Sept 2026   ·   5 active days   ·   83 entries</v>
      </c>
      <c r="D5" s="142"/>
      <c r="E5" s="142"/>
      <c r="F5" s="142"/>
      <c r="G5" s="142"/>
      <c r="H5" s="142"/>
      <c r="I5" s="142"/>
      <c r="J5" s="142"/>
      <c r="K5" s="142"/>
      <c r="L5" s="142"/>
      <c r="M5" s="142"/>
      <c r="N5" s="142"/>
      <c r="O5" s="142"/>
      <c r="P5" s="142"/>
      <c r="Q5" s="142"/>
      <c r="R5" s="142"/>
      <c r="S5" s="142"/>
      <c r="T5" s="142"/>
      <c r="U5" s="142"/>
      <c r="V5" s="142"/>
      <c r="W5" s="142"/>
      <c r="X5" s="142"/>
      <c r="Y5" s="142"/>
      <c r="Z5" s="1"/>
    </row>
    <row r="6" spans="2:26" ht="6" customHeight="1" x14ac:dyDescent="0.25">
      <c r="B6" s="1"/>
      <c r="C6" s="142"/>
      <c r="D6" s="142"/>
      <c r="E6" s="142"/>
      <c r="F6" s="142"/>
      <c r="G6" s="142"/>
      <c r="H6" s="142"/>
      <c r="I6" s="142"/>
      <c r="J6" s="142"/>
      <c r="K6" s="142"/>
      <c r="L6" s="142"/>
      <c r="M6" s="142"/>
      <c r="N6" s="142"/>
      <c r="O6" s="142"/>
      <c r="P6" s="142"/>
      <c r="Q6" s="142"/>
      <c r="R6" s="142"/>
      <c r="S6" s="142"/>
      <c r="T6" s="142"/>
      <c r="U6" s="142"/>
      <c r="V6" s="142"/>
      <c r="W6" s="142"/>
      <c r="X6" s="142"/>
      <c r="Y6" s="142"/>
      <c r="Z6" s="1"/>
    </row>
    <row r="7" spans="2:26" ht="9.75" customHeight="1" x14ac:dyDescent="0.25">
      <c r="B7" s="1"/>
      <c r="C7" s="2"/>
      <c r="D7" s="2"/>
      <c r="E7" s="2"/>
      <c r="F7" s="2"/>
      <c r="G7" s="2"/>
      <c r="H7" s="2"/>
      <c r="I7" s="2"/>
      <c r="J7" s="2"/>
      <c r="K7" s="2"/>
      <c r="L7" s="2"/>
      <c r="M7" s="2"/>
      <c r="N7" s="2"/>
      <c r="O7" s="2"/>
      <c r="P7" s="2"/>
      <c r="Q7" s="2"/>
      <c r="R7" s="2"/>
      <c r="S7" s="2"/>
      <c r="T7" s="2"/>
      <c r="U7" s="2"/>
      <c r="V7" s="2"/>
      <c r="W7" s="2"/>
      <c r="X7" s="2"/>
      <c r="Y7" s="2"/>
      <c r="Z7" s="1"/>
    </row>
    <row r="8" spans="2:26" ht="15" customHeight="1" x14ac:dyDescent="0.25">
      <c r="B8" s="1"/>
      <c r="C8" s="161"/>
      <c r="D8" s="161"/>
      <c r="E8" s="161"/>
      <c r="F8" s="161"/>
      <c r="G8" s="161"/>
      <c r="H8" s="161"/>
      <c r="I8" s="161"/>
      <c r="J8" s="161"/>
      <c r="K8" s="161"/>
      <c r="L8" s="162"/>
      <c r="M8" s="161"/>
      <c r="N8" s="161"/>
      <c r="O8" s="161"/>
      <c r="P8" s="161"/>
      <c r="Q8" s="162"/>
      <c r="R8" s="161"/>
      <c r="S8" s="161"/>
      <c r="T8" s="161"/>
      <c r="U8" s="161"/>
      <c r="V8" s="161"/>
      <c r="W8" s="162"/>
      <c r="X8" s="162"/>
      <c r="Y8" s="162"/>
      <c r="Z8" s="162"/>
    </row>
    <row r="9" spans="2:26" x14ac:dyDescent="0.25">
      <c r="B9" s="1"/>
      <c r="C9" s="114" t="s">
        <v>40</v>
      </c>
      <c r="D9" s="114"/>
      <c r="E9" s="114"/>
      <c r="F9" s="114"/>
      <c r="G9" s="114"/>
      <c r="H9" s="114"/>
      <c r="I9" s="114"/>
      <c r="J9" s="114"/>
      <c r="K9" s="114"/>
      <c r="L9" s="114"/>
      <c r="M9" s="20"/>
      <c r="N9" s="20"/>
      <c r="O9" s="20"/>
      <c r="P9" s="20"/>
      <c r="Q9" s="20"/>
      <c r="R9" s="20"/>
      <c r="S9" s="20"/>
      <c r="T9" s="20"/>
      <c r="U9" s="20"/>
      <c r="V9" s="20"/>
      <c r="W9" s="20"/>
      <c r="X9" s="20"/>
      <c r="Y9" s="20"/>
      <c r="Z9" s="1"/>
    </row>
    <row r="10" spans="2:26" x14ac:dyDescent="0.25">
      <c r="B10" s="1"/>
      <c r="C10" s="1"/>
      <c r="D10" s="1"/>
      <c r="E10" s="1"/>
      <c r="F10" s="1"/>
      <c r="G10" s="1"/>
      <c r="H10" s="1"/>
      <c r="I10" s="1"/>
      <c r="J10" s="1"/>
      <c r="K10" s="1"/>
      <c r="L10" s="1"/>
      <c r="M10" s="1"/>
      <c r="N10" s="1"/>
      <c r="O10" s="1"/>
      <c r="P10" s="1"/>
      <c r="Q10" s="1"/>
      <c r="R10" s="1"/>
      <c r="S10" s="1"/>
      <c r="T10" s="1"/>
      <c r="U10" s="1"/>
      <c r="V10" s="1"/>
      <c r="W10" s="1"/>
      <c r="X10" s="1"/>
      <c r="Y10" s="1"/>
      <c r="Z10" s="1"/>
    </row>
    <row r="11" spans="2:26" ht="3.75" customHeight="1" x14ac:dyDescent="0.25">
      <c r="B11" s="1"/>
      <c r="C11" s="21"/>
      <c r="D11" s="22"/>
      <c r="E11" s="22"/>
      <c r="F11" s="22"/>
      <c r="G11" s="8"/>
      <c r="H11" s="1"/>
      <c r="I11" s="21"/>
      <c r="J11" s="22"/>
      <c r="K11" s="22"/>
      <c r="L11" s="22"/>
      <c r="M11" s="8"/>
      <c r="N11" s="1"/>
      <c r="O11" s="21"/>
      <c r="P11" s="22"/>
      <c r="Q11" s="22"/>
      <c r="R11" s="22"/>
      <c r="S11" s="8"/>
      <c r="T11" s="1"/>
      <c r="U11" s="21"/>
      <c r="V11" s="22"/>
      <c r="W11" s="22"/>
      <c r="X11" s="22"/>
      <c r="Y11" s="8"/>
      <c r="Z11" s="1"/>
    </row>
    <row r="12" spans="2:26" ht="12.75" customHeight="1" x14ac:dyDescent="0.25">
      <c r="B12" s="1"/>
      <c r="C12" s="115" t="s">
        <v>41</v>
      </c>
      <c r="D12" s="115"/>
      <c r="E12" s="115"/>
      <c r="F12" s="115"/>
      <c r="G12" s="115"/>
      <c r="H12" s="109"/>
      <c r="I12" s="115" t="s">
        <v>42</v>
      </c>
      <c r="J12" s="115"/>
      <c r="K12" s="115"/>
      <c r="L12" s="115"/>
      <c r="M12" s="115"/>
      <c r="N12" s="109"/>
      <c r="O12" s="115" t="s">
        <v>43</v>
      </c>
      <c r="P12" s="115"/>
      <c r="Q12" s="115"/>
      <c r="R12" s="115"/>
      <c r="S12" s="115"/>
      <c r="T12" s="109"/>
      <c r="U12" s="115" t="s">
        <v>44</v>
      </c>
      <c r="V12" s="115"/>
      <c r="W12" s="115"/>
      <c r="X12" s="115"/>
      <c r="Y12" s="115"/>
      <c r="Z12" s="1"/>
    </row>
    <row r="13" spans="2:26" ht="15.75" customHeight="1" x14ac:dyDescent="0.25">
      <c r="B13" s="1"/>
      <c r="C13" s="116">
        <f>IF(COUNTIF(Data!$E$2:$E$1201,"timed")=0,"",IF(SUMIFS(Data!$N$2:$N$1201,Data!$E$2:$E$1201,"timed")=0,"",SUMIFS(Data!$N$2:$N$1201,Data!$E$2:$E$1201,"timed")/60))</f>
        <v>42.670000000000009</v>
      </c>
      <c r="D13" s="116"/>
      <c r="E13" s="116"/>
      <c r="F13" s="116"/>
      <c r="G13" s="116"/>
      <c r="H13" s="109"/>
      <c r="I13" s="116">
        <f>IF(COUNTIF(Data!$E$2:$E$1201,"timed")=0,"",IF(COUNTIF(Data!$X$2:$X$1201,1)=0,"",SUMIFS(Data!$N$2:$N$1201,Data!$E$2:$E$1201,"timed")/60/COUNTIF(Data!$X$2:$X$1201,1)))</f>
        <v>8.5340000000000025</v>
      </c>
      <c r="J13" s="116"/>
      <c r="K13" s="116"/>
      <c r="L13" s="116"/>
      <c r="M13" s="116"/>
      <c r="N13" s="109"/>
      <c r="O13" s="117">
        <f>IF(COUNTIF(Data!$E$2:$E$1201,"timed")=0,"",IF(SUM(Rhythm!$G$10:$G$209)=0,"",SUMIFS(Data!$N$2:$N$1201,Data!$E$2:$E$1201,"timed")/60/SUM(Rhythm!$G$10:$G$209)))</f>
        <v>0.93266060727806166</v>
      </c>
      <c r="P13" s="117"/>
      <c r="Q13" s="117"/>
      <c r="R13" s="117"/>
      <c r="S13" s="117"/>
      <c r="T13" s="109"/>
      <c r="U13" s="118">
        <f>IF(COUNTIF(Data!$E$2:$E$1201,"timed")=0,"",SUM(Data!$AL$2:$AL$1201))</f>
        <v>1639.3999999999992</v>
      </c>
      <c r="V13" s="118"/>
      <c r="W13" s="118"/>
      <c r="X13" s="118"/>
      <c r="Y13" s="118"/>
      <c r="Z13" s="1"/>
    </row>
    <row r="14" spans="2:26" ht="13.5" customHeight="1" x14ac:dyDescent="0.25">
      <c r="B14" s="1"/>
      <c r="C14" s="116"/>
      <c r="D14" s="116"/>
      <c r="E14" s="116"/>
      <c r="F14" s="116"/>
      <c r="G14" s="116"/>
      <c r="H14" s="109"/>
      <c r="I14" s="116"/>
      <c r="J14" s="116"/>
      <c r="K14" s="116"/>
      <c r="L14" s="116"/>
      <c r="M14" s="116"/>
      <c r="N14" s="109"/>
      <c r="O14" s="117"/>
      <c r="P14" s="117"/>
      <c r="Q14" s="117"/>
      <c r="R14" s="117"/>
      <c r="S14" s="117"/>
      <c r="T14" s="109"/>
      <c r="U14" s="118"/>
      <c r="V14" s="118"/>
      <c r="W14" s="118"/>
      <c r="X14" s="118"/>
      <c r="Y14" s="118"/>
      <c r="Z14" s="1"/>
    </row>
    <row r="15" spans="2:26" ht="13.5" customHeight="1" x14ac:dyDescent="0.25">
      <c r="B15" s="1"/>
      <c r="C15" s="119" t="str">
        <f>IF(COUNTIF(Data!$E$2:$E$1201,"timed")=0,"",IF(COUNTIF(Data!$X$2:$X$1201,1)=0,"","across "&amp;COUNTIF(Data!$X$2:$X$1201,1)&amp;" active days"))</f>
        <v>across 5 active days</v>
      </c>
      <c r="D15" s="119"/>
      <c r="E15" s="119"/>
      <c r="F15" s="119"/>
      <c r="G15" s="119"/>
      <c r="H15" s="109"/>
      <c r="I15" s="119" t="str">
        <f>IF(COUNTIF(Data!$E$2:$E$1201,"timed")=0,"","hours on an active day")</f>
        <v>hours on an active day</v>
      </c>
      <c r="J15" s="119"/>
      <c r="K15" s="119"/>
      <c r="L15" s="119"/>
      <c r="M15" s="119"/>
      <c r="N15" s="109"/>
      <c r="O15" s="144" t="str">
        <f>IF(COUNTIF(Data!$E$2:$E$1201,"timed")=0,"","of the working day carries a timestamp")</f>
        <v>of the working day carries a timestamp</v>
      </c>
      <c r="P15" s="145"/>
      <c r="Q15" s="145"/>
      <c r="R15" s="145"/>
      <c r="S15" s="146"/>
      <c r="T15" s="109"/>
      <c r="U15" s="119" t="str">
        <f>IF(COUNTIF(Data!$E$2:$E$1201,"timed")=0,"","priced through your rate card")</f>
        <v>priced through your rate card</v>
      </c>
      <c r="V15" s="119"/>
      <c r="W15" s="119"/>
      <c r="X15" s="119"/>
      <c r="Y15" s="119"/>
      <c r="Z15" s="1"/>
    </row>
    <row r="16" spans="2:26" ht="15" customHeight="1" x14ac:dyDescent="0.25">
      <c r="B16" s="1"/>
      <c r="C16" s="120" t="str">
        <f>IF(COUNTIF(Data!$E$2:$E$1201,"timed")=0,"",IF(COUNTIF(Data!$E$2:$E$1201,"timed")=0,"",COUNTIF(Data!$E$2:$E$1201,"timed")&amp;" entries"))</f>
        <v>83 entries</v>
      </c>
      <c r="D16" s="120"/>
      <c r="E16" s="120"/>
      <c r="F16" s="120"/>
      <c r="G16" s="120"/>
      <c r="H16" s="109"/>
      <c r="I16" s="120" t="str">
        <f>IF(COUNTIF(Data!$E$2:$E$1201,"timed")=0,"",IF(OR(COUNTIF(Data!$X$2:$X$1201,1)=0,Settings!$C$11=0),"",TEXT(SUMIFS(Data!$N$2:$N$1201,Data!$E$2:$E$1201,"timed")/60/COUNTIF(Data!$X$2:$X$1201,1)/Settings!$C$11,"0%")&amp;" of your "&amp;Settings!$C$11&amp;"h target"))</f>
        <v>142% of your 6h target</v>
      </c>
      <c r="J16" s="120"/>
      <c r="K16" s="120"/>
      <c r="L16" s="120"/>
      <c r="M16" s="120"/>
      <c r="N16" s="109"/>
      <c r="O16" s="147"/>
      <c r="P16" s="148"/>
      <c r="Q16" s="148"/>
      <c r="R16" s="148"/>
      <c r="S16" s="149"/>
      <c r="T16" s="109"/>
      <c r="U16" s="120" t="str">
        <f>IF(COUNTIF(Data!$E$2:$E$1201,"timed")=0,"",IF(COUNTIF(Data!$X$2:$X$1201,1)=0,"",TEXT(SUM(Data!$AL$2:$AL$1201)/COUNTIF(Data!$X$2:$X$1201,1),"$#,##0")&amp;" an active day"))</f>
        <v>$328 an active day</v>
      </c>
      <c r="V16" s="120"/>
      <c r="W16" s="120"/>
      <c r="X16" s="120"/>
      <c r="Y16" s="120"/>
      <c r="Z16" s="1"/>
    </row>
    <row r="17" spans="2:26" x14ac:dyDescent="0.25">
      <c r="B17" s="1"/>
      <c r="C17" s="109"/>
      <c r="D17" s="109"/>
      <c r="E17" s="109"/>
      <c r="F17" s="109"/>
      <c r="G17" s="109"/>
      <c r="H17" s="109"/>
      <c r="I17" s="109"/>
      <c r="J17" s="109"/>
      <c r="K17" s="109"/>
      <c r="L17" s="109"/>
      <c r="M17" s="109"/>
      <c r="N17" s="109"/>
      <c r="O17" s="109"/>
      <c r="P17" s="109"/>
      <c r="Q17" s="109"/>
      <c r="R17" s="109"/>
      <c r="S17" s="109"/>
      <c r="T17" s="109"/>
      <c r="U17" s="109"/>
      <c r="V17" s="109"/>
      <c r="W17" s="109"/>
      <c r="X17" s="109"/>
      <c r="Y17" s="109"/>
      <c r="Z17" s="1"/>
    </row>
    <row r="18" spans="2:26" ht="3.75" customHeight="1" x14ac:dyDescent="0.25">
      <c r="B18" s="1"/>
      <c r="C18" s="110"/>
      <c r="D18" s="111"/>
      <c r="E18" s="111"/>
      <c r="F18" s="111"/>
      <c r="G18" s="112"/>
      <c r="H18" s="109"/>
      <c r="I18" s="110"/>
      <c r="J18" s="111"/>
      <c r="K18" s="111"/>
      <c r="L18" s="111"/>
      <c r="M18" s="112"/>
      <c r="N18" s="109"/>
      <c r="O18" s="110"/>
      <c r="P18" s="111"/>
      <c r="Q18" s="111"/>
      <c r="R18" s="111"/>
      <c r="S18" s="112"/>
      <c r="T18" s="109"/>
      <c r="U18" s="110"/>
      <c r="V18" s="111"/>
      <c r="W18" s="111"/>
      <c r="X18" s="111"/>
      <c r="Y18" s="112"/>
      <c r="Z18" s="1"/>
    </row>
    <row r="19" spans="2:26" ht="12.75" customHeight="1" x14ac:dyDescent="0.25">
      <c r="B19" s="1"/>
      <c r="C19" s="115" t="s">
        <v>45</v>
      </c>
      <c r="D19" s="115"/>
      <c r="E19" s="115"/>
      <c r="F19" s="115"/>
      <c r="G19" s="115"/>
      <c r="H19" s="109"/>
      <c r="I19" s="115" t="s">
        <v>46</v>
      </c>
      <c r="J19" s="115"/>
      <c r="K19" s="115"/>
      <c r="L19" s="115"/>
      <c r="M19" s="115"/>
      <c r="N19" s="109"/>
      <c r="O19" s="115" t="s">
        <v>47</v>
      </c>
      <c r="P19" s="115"/>
      <c r="Q19" s="115"/>
      <c r="R19" s="115"/>
      <c r="S19" s="115"/>
      <c r="T19" s="109"/>
      <c r="U19" s="115" t="s">
        <v>48</v>
      </c>
      <c r="V19" s="115"/>
      <c r="W19" s="115"/>
      <c r="X19" s="115"/>
      <c r="Y19" s="115"/>
      <c r="Z19" s="1"/>
    </row>
    <row r="20" spans="2:26" ht="15.75" customHeight="1" x14ac:dyDescent="0.25">
      <c r="B20" s="1"/>
      <c r="C20" s="121">
        <f>IF(COUNTIF(Data!$E$2:$E$1201,"timed")=0,"",IF(COUNTIF(Data!$X$2:$X$1201,1)=0,"",SUM(Data!$AG$2:$AG$1201)/COUNTIF(Data!$X$2:$X$1201,1)))</f>
        <v>14.6</v>
      </c>
      <c r="D20" s="121"/>
      <c r="E20" s="121"/>
      <c r="F20" s="121"/>
      <c r="G20" s="121"/>
      <c r="H20" s="109"/>
      <c r="I20" s="117">
        <f>IF(COUNTIF(Data!$E$2:$E$1201,"timed")=0,"",IF(SUMIFS(Data!$N$2:$N$1201,Data!$E$2:$E$1201,"timed")=0,"",SUMIFS(Data!$N$2:$N$1201,Data!$AI$2:$AI$1201,1)/SUMIFS(Data!$N$2:$N$1201,Data!$E$2:$E$1201,"timed")))</f>
        <v>0.58911413170846005</v>
      </c>
      <c r="J20" s="117"/>
      <c r="K20" s="117"/>
      <c r="L20" s="117"/>
      <c r="M20" s="117"/>
      <c r="N20" s="109"/>
      <c r="O20" s="122" t="str">
        <f>IF(COUNTIF(Data!$E$2:$E$1201,"timed")=0,"",IF(IF(MAX(Rhythm!$J$216:$J$239)=0,"",MATCH(MAX(Rhythm!$J$216:$J$239),Rhythm!$J$216:$J$239,0)-1)="","",TEXT(IF(MAX(Rhythm!$J$216:$J$239)=0,"",MATCH(MAX(Rhythm!$J$216:$J$239),Rhythm!$J$216:$J$239,0)-1)/24,"h:mm AM/PM")))</f>
        <v>10:00 am</v>
      </c>
      <c r="P20" s="122"/>
      <c r="Q20" s="122"/>
      <c r="R20" s="122"/>
      <c r="S20" s="122"/>
      <c r="T20" s="109"/>
      <c r="U20" s="123">
        <f>IF(COUNTIF(Data!$E$2:$E$1201,"timed")=0,"",SUM(Data!$Z$2:$Z$1201))</f>
        <v>0</v>
      </c>
      <c r="V20" s="123"/>
      <c r="W20" s="123"/>
      <c r="X20" s="123"/>
      <c r="Y20" s="123"/>
      <c r="Z20" s="1"/>
    </row>
    <row r="21" spans="2:26" ht="13.5" customHeight="1" x14ac:dyDescent="0.25">
      <c r="B21" s="1"/>
      <c r="C21" s="121"/>
      <c r="D21" s="121"/>
      <c r="E21" s="121"/>
      <c r="F21" s="121"/>
      <c r="G21" s="121"/>
      <c r="H21" s="109"/>
      <c r="I21" s="117"/>
      <c r="J21" s="117"/>
      <c r="K21" s="117"/>
      <c r="L21" s="117"/>
      <c r="M21" s="117"/>
      <c r="N21" s="109"/>
      <c r="O21" s="122"/>
      <c r="P21" s="122"/>
      <c r="Q21" s="122"/>
      <c r="R21" s="122"/>
      <c r="S21" s="122"/>
      <c r="T21" s="109"/>
      <c r="U21" s="123"/>
      <c r="V21" s="123"/>
      <c r="W21" s="123"/>
      <c r="X21" s="123"/>
      <c r="Y21" s="123"/>
      <c r="Z21" s="1"/>
    </row>
    <row r="22" spans="2:26" ht="13.5" customHeight="1" x14ac:dyDescent="0.25">
      <c r="B22" s="1"/>
      <c r="C22" s="119" t="str">
        <f>IF(COUNTIF(Data!$E$2:$E$1201,"timed")=0,"","times work changed field")</f>
        <v>times work changed field</v>
      </c>
      <c r="D22" s="119"/>
      <c r="E22" s="119"/>
      <c r="F22" s="119"/>
      <c r="G22" s="119"/>
      <c r="H22" s="109"/>
      <c r="I22" s="119" t="str">
        <f>IF(COUNTIF(Data!$E$2:$E$1201,"timed")=0,"",IF(Settings!$C$9="","","in blocks of "&amp;Settings!$C$9&amp;" minutes or more"))</f>
        <v>in blocks of 45 minutes or more</v>
      </c>
      <c r="J22" s="119"/>
      <c r="K22" s="119"/>
      <c r="L22" s="119"/>
      <c r="M22" s="119"/>
      <c r="N22" s="109"/>
      <c r="O22" s="119" t="str">
        <f>IF(COUNTIF(Data!$E$2:$E$1201,"timed")=0,"",IF(IF(MAX(Rhythm!$J$216:$J$239)=0,"",MATCH(MAX(Rhythm!$J$216:$J$239),Rhythm!$J$216:$J$239,0)-1)="","",TEXT(MAX(Rhythm!$J$216:$J$239),"#,##0.0")&amp;"h started in that hour"))</f>
        <v>7.5h started in that hour</v>
      </c>
      <c r="P22" s="119"/>
      <c r="Q22" s="119"/>
      <c r="R22" s="119"/>
      <c r="S22" s="119"/>
      <c r="T22" s="109"/>
      <c r="U22" s="119" t="str">
        <f>IF(COUNTIF(Data!$E$2:$E$1201,"timed")=0,"",IF(Settings!$C$8="","","entries over "&amp;ROUND(Settings!$C$8/60,1)&amp;" hours"))</f>
        <v>entries over 4 hours</v>
      </c>
      <c r="V22" s="119"/>
      <c r="W22" s="119"/>
      <c r="X22" s="119"/>
      <c r="Y22" s="119"/>
      <c r="Z22" s="1"/>
    </row>
    <row r="23" spans="2:26" ht="15" customHeight="1" x14ac:dyDescent="0.25">
      <c r="B23" s="1"/>
      <c r="C23" s="120" t="str">
        <f>IF(COUNTIF(Data!$E$2:$E$1201,"timed")=0,"",IF(OR(Compare!$C$16="",Compare!$F$16=""),"",IF(Compare!$F$16&gt;Compare!$C$16,"▲ up on the first half",IF(Compare!$F$16&lt;Compare!$C$16,"▼ down on the first half","level on the first half"))))</f>
        <v>▼ down on the first half</v>
      </c>
      <c r="D23" s="120"/>
      <c r="E23" s="120"/>
      <c r="F23" s="120"/>
      <c r="G23" s="120"/>
      <c r="H23" s="109"/>
      <c r="I23" s="120" t="str">
        <f>IF(COUNTIF(Data!$E$2:$E$1201,"timed")=0,"",IF(MAX(Data!$N$2:$N$1201)=0,"","longest single block "&amp;TEXT(MAX(Data!$N$2:$N$1201)/60,"0.0")&amp;"h"))</f>
        <v>longest single block 2.9h</v>
      </c>
      <c r="J23" s="120"/>
      <c r="K23" s="120"/>
      <c r="L23" s="120"/>
      <c r="M23" s="120"/>
      <c r="N23" s="109"/>
      <c r="O23" s="120" t="str">
        <f>IF(COUNTIF(Data!$E$2:$E$1201,"timed")=0,"",IF(IF(MAX(Rhythm!$J$216:$J$239)=0,"",MATCH(MAX(Rhythm!$J$216:$J$239),Rhythm!$J$216:$J$239,0)-1)="","",IF(IF(MAX(Rhythm!$J$216:$J$239)=0,"",MATCH(MAX(Rhythm!$J$216:$J$239),Rhythm!$J$216:$J$239,0)-1)&lt;12,"a morning shape","an afternoon shape")))</f>
        <v>a morning shape</v>
      </c>
      <c r="P23" s="120"/>
      <c r="Q23" s="120"/>
      <c r="R23" s="120"/>
      <c r="S23" s="120"/>
      <c r="T23" s="109"/>
      <c r="U23" s="124" t="str">
        <f>IF(COUNTIF(Data!$E$2:$E$1201,"timed")=0,"",IF(SUM(Data!$Z$2:$Z$1201)=0,"nothing flagged — good",TEXT(SUMIFS(Data!$AL$2:$AL$1201,Data!$Z$2:$Z$1201,1),"$#,##0")&amp;" of value affected"))</f>
        <v>nothing flagged — good</v>
      </c>
      <c r="V23" s="124"/>
      <c r="W23" s="124"/>
      <c r="X23" s="124"/>
      <c r="Y23" s="124"/>
      <c r="Z23" s="1"/>
    </row>
    <row r="24" spans="2:26" x14ac:dyDescent="0.25">
      <c r="B24" s="1"/>
      <c r="C24" s="1"/>
      <c r="D24" s="1"/>
      <c r="E24" s="1"/>
      <c r="F24" s="1"/>
      <c r="G24" s="1"/>
      <c r="H24" s="1"/>
      <c r="I24" s="1"/>
      <c r="J24" s="1"/>
      <c r="K24" s="1"/>
      <c r="L24" s="1"/>
      <c r="M24" s="1"/>
      <c r="N24" s="1"/>
      <c r="O24" s="1"/>
      <c r="P24" s="1"/>
      <c r="Q24" s="1"/>
      <c r="R24" s="1"/>
      <c r="S24" s="1"/>
      <c r="T24" s="1"/>
      <c r="U24" s="1"/>
      <c r="V24" s="1"/>
      <c r="W24" s="1"/>
      <c r="X24" s="1"/>
      <c r="Y24" s="1"/>
      <c r="Z24" s="1"/>
    </row>
    <row r="25" spans="2:26" x14ac:dyDescent="0.25">
      <c r="B25" s="1"/>
      <c r="C25" s="114" t="s">
        <v>49</v>
      </c>
      <c r="D25" s="114"/>
      <c r="E25" s="114"/>
      <c r="F25" s="114"/>
      <c r="G25" s="114"/>
      <c r="H25" s="114"/>
      <c r="I25" s="114"/>
      <c r="J25" s="114"/>
      <c r="K25" s="114"/>
      <c r="L25" s="114"/>
      <c r="M25" s="20"/>
      <c r="N25" s="20"/>
      <c r="O25" s="20"/>
      <c r="P25" s="20"/>
      <c r="Q25" s="20"/>
      <c r="R25" s="20"/>
      <c r="S25" s="20"/>
      <c r="T25" s="20"/>
      <c r="U25" s="20"/>
      <c r="V25" s="20"/>
      <c r="W25" s="20"/>
      <c r="X25" s="20"/>
      <c r="Y25" s="20"/>
      <c r="Z25" s="1"/>
    </row>
    <row r="26" spans="2:26" x14ac:dyDescent="0.25">
      <c r="B26" s="1"/>
      <c r="C26" s="125" t="s">
        <v>50</v>
      </c>
      <c r="D26" s="125"/>
      <c r="E26" s="125"/>
      <c r="F26" s="125"/>
      <c r="G26" s="125"/>
      <c r="H26" s="125"/>
      <c r="I26" s="125"/>
      <c r="J26" s="125"/>
      <c r="K26" s="125"/>
      <c r="L26" s="125"/>
      <c r="M26" s="125"/>
      <c r="N26" s="125"/>
      <c r="O26" s="125"/>
      <c r="P26" s="125"/>
      <c r="Q26" s="125"/>
      <c r="R26" s="125"/>
      <c r="S26" s="125"/>
      <c r="T26" s="125"/>
      <c r="U26" s="125"/>
      <c r="V26" s="125"/>
      <c r="W26" s="125"/>
      <c r="X26" s="125"/>
      <c r="Y26" s="125"/>
      <c r="Z26" s="1"/>
    </row>
    <row r="27" spans="2:26" x14ac:dyDescent="0.25">
      <c r="B27" s="1"/>
      <c r="C27" s="1"/>
      <c r="D27" s="1"/>
      <c r="E27" s="1"/>
      <c r="F27" s="1"/>
      <c r="G27" s="1"/>
      <c r="H27" s="1"/>
      <c r="I27" s="1"/>
      <c r="J27" s="1"/>
      <c r="K27" s="1"/>
      <c r="L27" s="1"/>
      <c r="M27" s="1"/>
      <c r="N27" s="1"/>
      <c r="O27" s="1"/>
      <c r="P27" s="1"/>
      <c r="Q27" s="1"/>
      <c r="R27" s="1"/>
      <c r="S27" s="1"/>
      <c r="T27" s="1"/>
      <c r="U27" s="1"/>
      <c r="V27" s="1"/>
      <c r="W27" s="1"/>
      <c r="X27" s="1"/>
      <c r="Y27" s="1"/>
      <c r="Z27" s="1"/>
    </row>
    <row r="28" spans="2:26" ht="7.5" customHeight="1" x14ac:dyDescent="0.25">
      <c r="B28" s="1"/>
      <c r="C28" s="21"/>
      <c r="D28" s="22"/>
      <c r="E28" s="22"/>
      <c r="F28" s="22"/>
      <c r="G28" s="22"/>
      <c r="H28" s="22"/>
      <c r="I28" s="22"/>
      <c r="J28" s="22"/>
      <c r="K28" s="22"/>
      <c r="L28" s="22"/>
      <c r="M28" s="22"/>
      <c r="N28" s="22"/>
      <c r="O28" s="22"/>
      <c r="P28" s="22"/>
      <c r="Q28" s="22"/>
      <c r="R28" s="22"/>
      <c r="S28" s="22"/>
      <c r="T28" s="22"/>
      <c r="U28" s="22"/>
      <c r="V28" s="22"/>
      <c r="W28" s="22"/>
      <c r="X28" s="22"/>
      <c r="Y28" s="8"/>
      <c r="Z28" s="1"/>
    </row>
    <row r="29" spans="2:26" ht="30" customHeight="1" x14ac:dyDescent="0.25">
      <c r="B29" s="1"/>
      <c r="C29" s="9"/>
      <c r="D29" s="126" t="str">
        <f>IF((COUNTA(Data!$A$2:$A$1201)-COUNT(Data!$S$2:$S$1201))=0,"","⚠ "&amp;(COUNTA(Data!$A$2:$A$1201)-COUNT(Data!$S$2:$S$1201))&amp;" of the "&amp;COUNTA(Data!$A$2:$A$1201)&amp;" pasted rows have a date this workbook could not read, so Rhythm, Focus and Compare have nothing to key on. Check column A on the Data tab — the export writes yyyy-mm-dd.")</f>
        <v/>
      </c>
      <c r="E29" s="126"/>
      <c r="F29" s="126"/>
      <c r="G29" s="126"/>
      <c r="H29" s="126"/>
      <c r="I29" s="126"/>
      <c r="J29" s="126"/>
      <c r="K29" s="126"/>
      <c r="L29" s="126"/>
      <c r="M29" s="126"/>
      <c r="N29" s="126"/>
      <c r="O29" s="126"/>
      <c r="P29" s="126"/>
      <c r="Q29" s="126"/>
      <c r="R29" s="126"/>
      <c r="S29" s="126"/>
      <c r="T29" s="126"/>
      <c r="U29" s="126"/>
      <c r="V29" s="126"/>
      <c r="W29" s="126"/>
      <c r="X29" s="126"/>
      <c r="Y29" s="11"/>
      <c r="Z29" s="1"/>
    </row>
    <row r="30" spans="2:26" ht="6" customHeight="1" x14ac:dyDescent="0.25">
      <c r="B30" s="1"/>
      <c r="C30" s="9"/>
      <c r="D30" s="23"/>
      <c r="E30" s="23"/>
      <c r="F30" s="23"/>
      <c r="G30" s="23"/>
      <c r="H30" s="23"/>
      <c r="I30" s="23"/>
      <c r="J30" s="23"/>
      <c r="K30" s="23"/>
      <c r="L30" s="23"/>
      <c r="M30" s="23"/>
      <c r="N30" s="23"/>
      <c r="O30" s="23"/>
      <c r="P30" s="23"/>
      <c r="Q30" s="23"/>
      <c r="R30" s="23"/>
      <c r="S30" s="23"/>
      <c r="T30" s="23"/>
      <c r="U30" s="23"/>
      <c r="V30" s="23"/>
      <c r="W30" s="23"/>
      <c r="X30" s="23"/>
      <c r="Y30" s="11"/>
      <c r="Z30" s="1"/>
    </row>
    <row r="31" spans="2:26" ht="30" customHeight="1" x14ac:dyDescent="0.25">
      <c r="B31" s="1"/>
      <c r="C31" s="9"/>
      <c r="D31" s="126" t="str">
        <f>IF(SUMIFS(Data!$N$2:$N$1201,Data!$E$2:$E$1201,"timed")=0,"Nothing pasted yet.","You logged "&amp;TEXT(SUMIFS(Data!$N$2:$N$1201,Data!$E$2:$E$1201,"timed")/60,"#,##0.0")&amp;" hours across "&amp;COUNTIF(Data!$X$2:$X$1201,1)&amp;" active "&amp;IF(COUNTIF(Data!$X$2:$X$1201,1)=1,"day","days")&amp;". From the earliest start to the latest stop of those days there were "&amp;TEXT(SUM(Rhythm!$G$10:$G$209),"#,##0.0")&amp;" hours on the clock, so "&amp;TEXT(SUM(Rhythm!$H$10:$H$209),"#,##0.0")&amp;" of them carry no entry at all — "&amp;TEXT(IF(SUM(Rhythm!$G$10:$G$209)=0,"",SUMIFS(Data!$N$2:$N$1201,Data!$E$2:$E$1201,"timed")/60/SUM(Rhythm!$G$10:$G$209)),"0%")&amp;" of your working day is accounted for.")</f>
        <v>You logged 42.7 hours across 5 active days. From the earliest start to the latest stop of those days there were 45.8 hours on the clock, so 3.1 of them carry no entry at all — 93% of your working day is accounted for.</v>
      </c>
      <c r="E31" s="126"/>
      <c r="F31" s="126"/>
      <c r="G31" s="126"/>
      <c r="H31" s="126"/>
      <c r="I31" s="126"/>
      <c r="J31" s="126"/>
      <c r="K31" s="126"/>
      <c r="L31" s="126"/>
      <c r="M31" s="126"/>
      <c r="N31" s="126"/>
      <c r="O31" s="126"/>
      <c r="P31" s="126"/>
      <c r="Q31" s="126"/>
      <c r="R31" s="126"/>
      <c r="S31" s="126"/>
      <c r="T31" s="126"/>
      <c r="U31" s="126"/>
      <c r="V31" s="126"/>
      <c r="W31" s="126"/>
      <c r="X31" s="126"/>
      <c r="Y31" s="11"/>
      <c r="Z31" s="1"/>
    </row>
    <row r="32" spans="2:26" ht="6" customHeight="1" x14ac:dyDescent="0.25">
      <c r="B32" s="1"/>
      <c r="C32" s="9"/>
      <c r="D32" s="23"/>
      <c r="E32" s="23"/>
      <c r="F32" s="23"/>
      <c r="G32" s="23"/>
      <c r="H32" s="23"/>
      <c r="I32" s="23"/>
      <c r="J32" s="23"/>
      <c r="K32" s="23"/>
      <c r="L32" s="23"/>
      <c r="M32" s="23"/>
      <c r="N32" s="23"/>
      <c r="O32" s="23"/>
      <c r="P32" s="23"/>
      <c r="Q32" s="23"/>
      <c r="R32" s="23"/>
      <c r="S32" s="23"/>
      <c r="T32" s="23"/>
      <c r="U32" s="23"/>
      <c r="V32" s="23"/>
      <c r="W32" s="23"/>
      <c r="X32" s="23"/>
      <c r="Y32" s="11"/>
      <c r="Z32" s="1"/>
    </row>
    <row r="33" spans="2:26" ht="30" customHeight="1" x14ac:dyDescent="0.25">
      <c r="B33" s="1"/>
      <c r="C33" s="9"/>
      <c r="D33" s="126" t="str">
        <f>IF(COUNTIF(Data!$X$2:$X$1201,1)=0,"","The average day carried "&amp;TEXT(IF(COUNTIF(Data!$X$2:$X$1201,1)=0,"",SUM(Data!$AG$2:$AG$1201)/COUNTIF(Data!$X$2:$X$1201,1)),"0.0")&amp;" changes of field across "&amp;TEXT(COUNTIF(Data!$E$2:$E$1201,"timed")/COUNTIF(Data!$X$2:$X$1201,1),"0.0")&amp;" entries. "&amp;TEXT(IF(SUMIFS(Data!$N$2:$N$1201,Data!$E$2:$E$1201,"timed")=0,"",SUMIFS(Data!$N$2:$N$1201,Data!$AI$2:$AI$1201,1)/SUMIFS(Data!$N$2:$N$1201,Data!$E$2:$E$1201,"timed")),"0%")&amp;" of the time sat in blocks of "&amp;Settings!$C$9&amp;" minutes or longer"&amp;IF(IF(SUMIFS(Data!$N$2:$N$1201,Data!$E$2:$E$1201,"timed")=0,"",SUMIFS(Data!$N$2:$N$1201,Data!$AI$2:$AI$1201,1)/SUMIFS(Data!$N$2:$N$1201,Data!$E$2:$E$1201,"timed"))&gt;=0.6,", which is a settled way to work.",", so most of it arrived in fragments."))</f>
        <v>The average day carried 14.6 changes of field across 16.6 entries. 59% of the time sat in blocks of 45 minutes or longer, so most of it arrived in fragments.</v>
      </c>
      <c r="E33" s="126"/>
      <c r="F33" s="126"/>
      <c r="G33" s="126"/>
      <c r="H33" s="126"/>
      <c r="I33" s="126"/>
      <c r="J33" s="126"/>
      <c r="K33" s="126"/>
      <c r="L33" s="126"/>
      <c r="M33" s="126"/>
      <c r="N33" s="126"/>
      <c r="O33" s="126"/>
      <c r="P33" s="126"/>
      <c r="Q33" s="126"/>
      <c r="R33" s="126"/>
      <c r="S33" s="126"/>
      <c r="T33" s="126"/>
      <c r="U33" s="126"/>
      <c r="V33" s="126"/>
      <c r="W33" s="126"/>
      <c r="X33" s="126"/>
      <c r="Y33" s="11"/>
      <c r="Z33" s="1"/>
    </row>
    <row r="34" spans="2:26" ht="6" customHeight="1" x14ac:dyDescent="0.25">
      <c r="B34" s="1"/>
      <c r="C34" s="9"/>
      <c r="D34" s="23"/>
      <c r="E34" s="23"/>
      <c r="F34" s="23"/>
      <c r="G34" s="23"/>
      <c r="H34" s="23"/>
      <c r="I34" s="23"/>
      <c r="J34" s="23"/>
      <c r="K34" s="23"/>
      <c r="L34" s="23"/>
      <c r="M34" s="23"/>
      <c r="N34" s="23"/>
      <c r="O34" s="23"/>
      <c r="P34" s="23"/>
      <c r="Q34" s="23"/>
      <c r="R34" s="23"/>
      <c r="S34" s="23"/>
      <c r="T34" s="23"/>
      <c r="U34" s="23"/>
      <c r="V34" s="23"/>
      <c r="W34" s="23"/>
      <c r="X34" s="23"/>
      <c r="Y34" s="11"/>
      <c r="Z34" s="1"/>
    </row>
    <row r="35" spans="2:26" ht="30" customHeight="1" x14ac:dyDescent="0.25">
      <c r="B35" s="1"/>
      <c r="C35" s="9"/>
      <c r="D35" s="126" t="str">
        <f>IF(COUNTIF(Data!$E$2:$E$1201,"timed")=0,"",IF(OR(Compare!$C$13="",Compare!$F$13="",Compare!$C$13=0),"Not enough range yet to compare two halves.","Against the first half of the range, logged hours per active day are "&amp;IF(Compare!$F$13&gt;=Compare!$C$13,"up ","down ")&amp;TEXT(ABS(Compare!$F$13/Compare!$C$13-1),"0%")&amp;", and time in focus blocks moved from "&amp;TEXT(Compare!$C$17,"0%")&amp;" to "&amp;TEXT(Compare!$F$17,"0%")&amp;". Then and now has the field-by-field version."))</f>
        <v>Against the first half of the range, logged hours per active day are up 9%, and time in focus blocks moved from 61% to 57%. Then and now has the field-by-field version.</v>
      </c>
      <c r="E35" s="126"/>
      <c r="F35" s="126"/>
      <c r="G35" s="126"/>
      <c r="H35" s="126"/>
      <c r="I35" s="126"/>
      <c r="J35" s="126"/>
      <c r="K35" s="126"/>
      <c r="L35" s="126"/>
      <c r="M35" s="126"/>
      <c r="N35" s="126"/>
      <c r="O35" s="126"/>
      <c r="P35" s="126"/>
      <c r="Q35" s="126"/>
      <c r="R35" s="126"/>
      <c r="S35" s="126"/>
      <c r="T35" s="126"/>
      <c r="U35" s="126"/>
      <c r="V35" s="126"/>
      <c r="W35" s="126"/>
      <c r="X35" s="126"/>
      <c r="Y35" s="11"/>
      <c r="Z35" s="1"/>
    </row>
    <row r="36" spans="2:26" ht="6" customHeight="1" x14ac:dyDescent="0.25">
      <c r="B36" s="1"/>
      <c r="C36" s="9"/>
      <c r="D36" s="23"/>
      <c r="E36" s="23"/>
      <c r="F36" s="23"/>
      <c r="G36" s="23"/>
      <c r="H36" s="23"/>
      <c r="I36" s="23"/>
      <c r="J36" s="23"/>
      <c r="K36" s="23"/>
      <c r="L36" s="23"/>
      <c r="M36" s="23"/>
      <c r="N36" s="23"/>
      <c r="O36" s="23"/>
      <c r="P36" s="23"/>
      <c r="Q36" s="23"/>
      <c r="R36" s="23"/>
      <c r="S36" s="23"/>
      <c r="T36" s="23"/>
      <c r="U36" s="23"/>
      <c r="V36" s="23"/>
      <c r="W36" s="23"/>
      <c r="X36" s="23"/>
      <c r="Y36" s="11"/>
      <c r="Z36" s="1"/>
    </row>
    <row r="37" spans="2:26" ht="30" customHeight="1" x14ac:dyDescent="0.25">
      <c r="B37" s="1"/>
      <c r="C37" s="9"/>
      <c r="D37" s="126" t="str">
        <f>IF(SUMIFS(Data!$N$2:$N$1201,Data!$E$2:$E$1201,"timed")=0,"","At your rate card the period is worth "&amp;TEXT(SUM(Data!$AL$2:$AL$1201),"$#,##0")&amp;", a blended "&amp;TEXT(SUM(Data!$AL$2:$AL$1201)/(SUMIFS(Data!$N$2:$N$1201,Data!$E$2:$E$1201,"timed")/60),"$#,##0")&amp;" an hour."&amp;IF(SUM(Data!$Z$2:$Z$1201)=0," Nothing is flagged for review."," "&amp;TEXT(SUMIFS(Data!$AL$2:$AL$1201,Data!$Z$2:$Z$1201,1),"$#,##0")&amp;" of that sits inside "&amp;SUM(Data!$Z$2:$Z$1201)&amp;IF(SUM(Data!$Z$2:$Z$1201)=1," entry"," entries")&amp;" long enough to be worth checking first."))</f>
        <v>At your rate card the period is worth $1,639, a blended $38 an hour. Nothing is flagged for review.</v>
      </c>
      <c r="E37" s="126"/>
      <c r="F37" s="126"/>
      <c r="G37" s="126"/>
      <c r="H37" s="126"/>
      <c r="I37" s="126"/>
      <c r="J37" s="126"/>
      <c r="K37" s="126"/>
      <c r="L37" s="126"/>
      <c r="M37" s="126"/>
      <c r="N37" s="126"/>
      <c r="O37" s="126"/>
      <c r="P37" s="126"/>
      <c r="Q37" s="126"/>
      <c r="R37" s="126"/>
      <c r="S37" s="126"/>
      <c r="T37" s="126"/>
      <c r="U37" s="126"/>
      <c r="V37" s="126"/>
      <c r="W37" s="126"/>
      <c r="X37" s="126"/>
      <c r="Y37" s="11"/>
      <c r="Z37" s="1"/>
    </row>
    <row r="38" spans="2:26" x14ac:dyDescent="0.25">
      <c r="B38" s="1"/>
      <c r="C38" s="9"/>
      <c r="D38" s="23"/>
      <c r="E38" s="23"/>
      <c r="F38" s="23"/>
      <c r="G38" s="23"/>
      <c r="H38" s="23"/>
      <c r="I38" s="23"/>
      <c r="J38" s="23"/>
      <c r="K38" s="23"/>
      <c r="L38" s="23"/>
      <c r="M38" s="23"/>
      <c r="N38" s="23"/>
      <c r="O38" s="23"/>
      <c r="P38" s="23"/>
      <c r="Q38" s="23"/>
      <c r="R38" s="23"/>
      <c r="S38" s="23"/>
      <c r="T38" s="23"/>
      <c r="U38" s="23"/>
      <c r="V38" s="23"/>
      <c r="W38" s="23"/>
      <c r="X38" s="23"/>
      <c r="Y38" s="11"/>
      <c r="Z38" s="1"/>
    </row>
    <row r="39" spans="2:26" ht="7.5" customHeight="1" x14ac:dyDescent="0.25">
      <c r="B39" s="1"/>
      <c r="C39" s="12"/>
      <c r="D39" s="13"/>
      <c r="E39" s="13"/>
      <c r="F39" s="13"/>
      <c r="G39" s="13"/>
      <c r="H39" s="13"/>
      <c r="I39" s="13"/>
      <c r="J39" s="13"/>
      <c r="K39" s="13"/>
      <c r="L39" s="13"/>
      <c r="M39" s="13"/>
      <c r="N39" s="13"/>
      <c r="O39" s="13"/>
      <c r="P39" s="13"/>
      <c r="Q39" s="13"/>
      <c r="R39" s="13"/>
      <c r="S39" s="13"/>
      <c r="T39" s="13"/>
      <c r="U39" s="13"/>
      <c r="V39" s="13"/>
      <c r="W39" s="13"/>
      <c r="X39" s="13"/>
      <c r="Y39" s="14"/>
      <c r="Z39" s="1"/>
    </row>
    <row r="40" spans="2:26" x14ac:dyDescent="0.25">
      <c r="B40" s="1"/>
      <c r="C40" s="1"/>
      <c r="D40" s="1"/>
      <c r="E40" s="1"/>
      <c r="F40" s="1"/>
      <c r="G40" s="1"/>
      <c r="H40" s="1"/>
      <c r="I40" s="1"/>
      <c r="J40" s="1"/>
      <c r="K40" s="1"/>
      <c r="L40" s="1"/>
      <c r="M40" s="1"/>
      <c r="N40" s="1"/>
      <c r="O40" s="1"/>
      <c r="P40" s="1"/>
      <c r="Q40" s="1"/>
      <c r="R40" s="1"/>
      <c r="S40" s="1"/>
      <c r="T40" s="1"/>
      <c r="U40" s="1"/>
      <c r="V40" s="1"/>
      <c r="W40" s="1"/>
      <c r="X40" s="1"/>
      <c r="Y40" s="1"/>
      <c r="Z40" s="1"/>
    </row>
    <row r="41" spans="2:26" x14ac:dyDescent="0.25">
      <c r="B41" s="1"/>
      <c r="C41" s="114" t="s">
        <v>51</v>
      </c>
      <c r="D41" s="114"/>
      <c r="E41" s="114"/>
      <c r="F41" s="114"/>
      <c r="G41" s="114"/>
      <c r="H41" s="114"/>
      <c r="I41" s="114"/>
      <c r="J41" s="114"/>
      <c r="K41" s="114"/>
      <c r="L41" s="114"/>
      <c r="M41" s="20"/>
      <c r="N41" s="20"/>
      <c r="O41" s="20"/>
      <c r="P41" s="20"/>
      <c r="Q41" s="20"/>
      <c r="R41" s="20"/>
      <c r="S41" s="20"/>
      <c r="T41" s="20"/>
      <c r="U41" s="20"/>
      <c r="V41" s="20"/>
      <c r="W41" s="20"/>
      <c r="X41" s="20"/>
      <c r="Y41" s="20"/>
      <c r="Z41" s="1"/>
    </row>
    <row r="42" spans="2:26" x14ac:dyDescent="0.25">
      <c r="B42" s="1"/>
      <c r="C42" s="1"/>
      <c r="D42" s="1"/>
      <c r="E42" s="1"/>
      <c r="F42" s="1"/>
      <c r="G42" s="1"/>
      <c r="H42" s="1"/>
      <c r="I42" s="1"/>
      <c r="J42" s="1"/>
      <c r="K42" s="1"/>
      <c r="L42" s="1"/>
      <c r="M42" s="1"/>
      <c r="N42" s="1"/>
      <c r="O42" s="1"/>
      <c r="P42" s="1"/>
      <c r="Q42" s="1"/>
      <c r="R42" s="1"/>
      <c r="S42" s="1"/>
      <c r="T42" s="1"/>
      <c r="U42" s="1"/>
      <c r="V42" s="1"/>
      <c r="W42" s="1"/>
      <c r="X42" s="1"/>
      <c r="Y42" s="1"/>
      <c r="Z42" s="1"/>
    </row>
    <row r="43" spans="2:26" ht="15" customHeight="1" x14ac:dyDescent="0.25">
      <c r="B43" s="1"/>
      <c r="C43" s="21"/>
      <c r="D43" s="22"/>
      <c r="E43" s="22"/>
      <c r="F43" s="22"/>
      <c r="G43" s="22"/>
      <c r="H43" s="22"/>
      <c r="I43" s="22"/>
      <c r="J43" s="22"/>
      <c r="K43" s="22"/>
      <c r="L43" s="22"/>
      <c r="M43" s="8"/>
      <c r="N43" s="1"/>
      <c r="O43" s="21"/>
      <c r="P43" s="22"/>
      <c r="Q43" s="22"/>
      <c r="R43" s="22"/>
      <c r="S43" s="22"/>
      <c r="T43" s="22"/>
      <c r="U43" s="22"/>
      <c r="V43" s="22"/>
      <c r="W43" s="22"/>
      <c r="X43" s="22"/>
      <c r="Y43" s="8"/>
      <c r="Z43" s="1"/>
    </row>
    <row r="44" spans="2:26" ht="15" customHeight="1" x14ac:dyDescent="0.25">
      <c r="B44" s="1"/>
      <c r="C44" s="9"/>
      <c r="D44" s="23"/>
      <c r="E44" s="23"/>
      <c r="F44" s="23"/>
      <c r="G44" s="23"/>
      <c r="H44" s="23"/>
      <c r="I44" s="23"/>
      <c r="J44" s="23"/>
      <c r="K44" s="23"/>
      <c r="L44" s="23"/>
      <c r="M44" s="11"/>
      <c r="N44" s="1"/>
      <c r="O44" s="9"/>
      <c r="P44" s="23"/>
      <c r="Q44" s="23"/>
      <c r="R44" s="23"/>
      <c r="S44" s="23"/>
      <c r="T44" s="23"/>
      <c r="U44" s="23"/>
      <c r="V44" s="23"/>
      <c r="W44" s="23"/>
      <c r="X44" s="23"/>
      <c r="Y44" s="11"/>
      <c r="Z44" s="1"/>
    </row>
    <row r="45" spans="2:26" ht="15" customHeight="1" x14ac:dyDescent="0.25">
      <c r="B45" s="1"/>
      <c r="C45" s="9"/>
      <c r="D45" s="23"/>
      <c r="E45" s="23"/>
      <c r="F45" s="23"/>
      <c r="G45" s="23"/>
      <c r="H45" s="23"/>
      <c r="I45" s="23"/>
      <c r="J45" s="23"/>
      <c r="K45" s="23"/>
      <c r="L45" s="23"/>
      <c r="M45" s="11"/>
      <c r="N45" s="1"/>
      <c r="O45" s="9"/>
      <c r="P45" s="23"/>
      <c r="Q45" s="23"/>
      <c r="R45" s="23"/>
      <c r="S45" s="23"/>
      <c r="T45" s="23"/>
      <c r="U45" s="23"/>
      <c r="V45" s="23"/>
      <c r="W45" s="23"/>
      <c r="X45" s="23"/>
      <c r="Y45" s="11"/>
      <c r="Z45" s="1"/>
    </row>
    <row r="46" spans="2:26" ht="15" customHeight="1" x14ac:dyDescent="0.25">
      <c r="B46" s="1"/>
      <c r="C46" s="9"/>
      <c r="D46" s="23"/>
      <c r="E46" s="23"/>
      <c r="F46" s="23"/>
      <c r="G46" s="23"/>
      <c r="H46" s="23"/>
      <c r="I46" s="23"/>
      <c r="J46" s="23"/>
      <c r="K46" s="23"/>
      <c r="L46" s="23"/>
      <c r="M46" s="11"/>
      <c r="N46" s="1"/>
      <c r="O46" s="9"/>
      <c r="P46" s="23"/>
      <c r="Q46" s="23"/>
      <c r="R46" s="23"/>
      <c r="S46" s="23"/>
      <c r="T46" s="23"/>
      <c r="U46" s="23"/>
      <c r="V46" s="23"/>
      <c r="W46" s="23"/>
      <c r="X46" s="23"/>
      <c r="Y46" s="11"/>
      <c r="Z46" s="1"/>
    </row>
    <row r="47" spans="2:26" ht="15" customHeight="1" x14ac:dyDescent="0.25">
      <c r="B47" s="1"/>
      <c r="C47" s="9"/>
      <c r="D47" s="23"/>
      <c r="E47" s="23"/>
      <c r="F47" s="23"/>
      <c r="G47" s="23"/>
      <c r="H47" s="23"/>
      <c r="I47" s="23"/>
      <c r="J47" s="23"/>
      <c r="K47" s="23"/>
      <c r="L47" s="23"/>
      <c r="M47" s="11"/>
      <c r="N47" s="1"/>
      <c r="O47" s="9"/>
      <c r="P47" s="23"/>
      <c r="Q47" s="23"/>
      <c r="R47" s="23"/>
      <c r="S47" s="23"/>
      <c r="T47" s="23"/>
      <c r="U47" s="23"/>
      <c r="V47" s="23"/>
      <c r="W47" s="23"/>
      <c r="X47" s="23"/>
      <c r="Y47" s="11"/>
      <c r="Z47" s="1"/>
    </row>
    <row r="48" spans="2:26" ht="15" customHeight="1" x14ac:dyDescent="0.25">
      <c r="B48" s="1"/>
      <c r="C48" s="9"/>
      <c r="D48" s="23"/>
      <c r="E48" s="23"/>
      <c r="F48" s="23"/>
      <c r="G48" s="23"/>
      <c r="H48" s="23"/>
      <c r="I48" s="23"/>
      <c r="J48" s="23"/>
      <c r="K48" s="23"/>
      <c r="L48" s="23"/>
      <c r="M48" s="11"/>
      <c r="N48" s="1"/>
      <c r="O48" s="9"/>
      <c r="P48" s="23"/>
      <c r="Q48" s="23"/>
      <c r="R48" s="23"/>
      <c r="S48" s="23"/>
      <c r="T48" s="23"/>
      <c r="U48" s="23"/>
      <c r="V48" s="23"/>
      <c r="W48" s="23"/>
      <c r="X48" s="23"/>
      <c r="Y48" s="11"/>
      <c r="Z48" s="1"/>
    </row>
    <row r="49" spans="2:26" ht="15" customHeight="1" x14ac:dyDescent="0.25">
      <c r="B49" s="1"/>
      <c r="C49" s="9"/>
      <c r="D49" s="23"/>
      <c r="E49" s="23"/>
      <c r="F49" s="23"/>
      <c r="G49" s="23"/>
      <c r="H49" s="23"/>
      <c r="I49" s="23"/>
      <c r="J49" s="23"/>
      <c r="K49" s="23"/>
      <c r="L49" s="23"/>
      <c r="M49" s="11"/>
      <c r="N49" s="1"/>
      <c r="O49" s="9"/>
      <c r="P49" s="23"/>
      <c r="Q49" s="23"/>
      <c r="R49" s="23"/>
      <c r="S49" s="23"/>
      <c r="T49" s="23"/>
      <c r="U49" s="23"/>
      <c r="V49" s="23"/>
      <c r="W49" s="23"/>
      <c r="X49" s="23"/>
      <c r="Y49" s="11"/>
      <c r="Z49" s="1"/>
    </row>
    <row r="50" spans="2:26" ht="15" customHeight="1" x14ac:dyDescent="0.25">
      <c r="B50" s="1"/>
      <c r="C50" s="9"/>
      <c r="D50" s="23"/>
      <c r="E50" s="23"/>
      <c r="F50" s="23"/>
      <c r="G50" s="23"/>
      <c r="H50" s="23"/>
      <c r="I50" s="23"/>
      <c r="J50" s="23"/>
      <c r="K50" s="23"/>
      <c r="L50" s="23"/>
      <c r="M50" s="11"/>
      <c r="N50" s="1"/>
      <c r="O50" s="9"/>
      <c r="P50" s="23"/>
      <c r="Q50" s="23"/>
      <c r="R50" s="23"/>
      <c r="S50" s="23"/>
      <c r="T50" s="23"/>
      <c r="U50" s="23"/>
      <c r="V50" s="23"/>
      <c r="W50" s="23"/>
      <c r="X50" s="23"/>
      <c r="Y50" s="11"/>
      <c r="Z50" s="1"/>
    </row>
    <row r="51" spans="2:26" ht="15" customHeight="1" x14ac:dyDescent="0.25">
      <c r="B51" s="1"/>
      <c r="C51" s="9"/>
      <c r="D51" s="23"/>
      <c r="E51" s="23"/>
      <c r="F51" s="23"/>
      <c r="G51" s="23"/>
      <c r="H51" s="23"/>
      <c r="I51" s="23"/>
      <c r="J51" s="23"/>
      <c r="K51" s="23"/>
      <c r="L51" s="23"/>
      <c r="M51" s="11"/>
      <c r="N51" s="1"/>
      <c r="O51" s="9"/>
      <c r="P51" s="23"/>
      <c r="Q51" s="23"/>
      <c r="R51" s="23"/>
      <c r="S51" s="23"/>
      <c r="T51" s="23"/>
      <c r="U51" s="23"/>
      <c r="V51" s="23"/>
      <c r="W51" s="23"/>
      <c r="X51" s="23"/>
      <c r="Y51" s="11"/>
      <c r="Z51" s="1"/>
    </row>
    <row r="52" spans="2:26" ht="15" customHeight="1" x14ac:dyDescent="0.25">
      <c r="B52" s="1"/>
      <c r="C52" s="9"/>
      <c r="D52" s="23"/>
      <c r="E52" s="23"/>
      <c r="F52" s="23"/>
      <c r="G52" s="23"/>
      <c r="H52" s="23"/>
      <c r="I52" s="23"/>
      <c r="J52" s="23"/>
      <c r="K52" s="23"/>
      <c r="L52" s="23"/>
      <c r="M52" s="11"/>
      <c r="N52" s="1"/>
      <c r="O52" s="9"/>
      <c r="P52" s="23"/>
      <c r="Q52" s="23"/>
      <c r="R52" s="23"/>
      <c r="S52" s="23"/>
      <c r="T52" s="23"/>
      <c r="U52" s="23"/>
      <c r="V52" s="23"/>
      <c r="W52" s="23"/>
      <c r="X52" s="23"/>
      <c r="Y52" s="11"/>
      <c r="Z52" s="1"/>
    </row>
    <row r="53" spans="2:26" ht="15" customHeight="1" x14ac:dyDescent="0.25">
      <c r="B53" s="1"/>
      <c r="C53" s="9"/>
      <c r="D53" s="23"/>
      <c r="E53" s="23"/>
      <c r="F53" s="23"/>
      <c r="G53" s="23"/>
      <c r="H53" s="23"/>
      <c r="I53" s="23"/>
      <c r="J53" s="23"/>
      <c r="K53" s="23"/>
      <c r="L53" s="23"/>
      <c r="M53" s="11"/>
      <c r="N53" s="1"/>
      <c r="O53" s="9"/>
      <c r="P53" s="23"/>
      <c r="Q53" s="23"/>
      <c r="R53" s="23"/>
      <c r="S53" s="23"/>
      <c r="T53" s="23"/>
      <c r="U53" s="23"/>
      <c r="V53" s="23"/>
      <c r="W53" s="23"/>
      <c r="X53" s="23"/>
      <c r="Y53" s="11"/>
      <c r="Z53" s="1"/>
    </row>
    <row r="54" spans="2:26" ht="15" customHeight="1" x14ac:dyDescent="0.25">
      <c r="B54" s="1"/>
      <c r="C54" s="9"/>
      <c r="D54" s="23"/>
      <c r="E54" s="23"/>
      <c r="F54" s="23"/>
      <c r="G54" s="23"/>
      <c r="H54" s="23"/>
      <c r="I54" s="23"/>
      <c r="J54" s="23"/>
      <c r="K54" s="23"/>
      <c r="L54" s="23"/>
      <c r="M54" s="11"/>
      <c r="N54" s="1"/>
      <c r="O54" s="9"/>
      <c r="P54" s="23"/>
      <c r="Q54" s="23"/>
      <c r="R54" s="23"/>
      <c r="S54" s="23"/>
      <c r="T54" s="23"/>
      <c r="U54" s="23"/>
      <c r="V54" s="23"/>
      <c r="W54" s="23"/>
      <c r="X54" s="23"/>
      <c r="Y54" s="11"/>
      <c r="Z54" s="1"/>
    </row>
    <row r="55" spans="2:26" ht="15" customHeight="1" x14ac:dyDescent="0.25">
      <c r="B55" s="1"/>
      <c r="C55" s="9"/>
      <c r="D55" s="23"/>
      <c r="E55" s="23"/>
      <c r="F55" s="23"/>
      <c r="G55" s="23"/>
      <c r="H55" s="23"/>
      <c r="I55" s="23"/>
      <c r="J55" s="23"/>
      <c r="K55" s="23"/>
      <c r="L55" s="23"/>
      <c r="M55" s="11"/>
      <c r="N55" s="1"/>
      <c r="O55" s="9"/>
      <c r="P55" s="23"/>
      <c r="Q55" s="23"/>
      <c r="R55" s="23"/>
      <c r="S55" s="23"/>
      <c r="T55" s="23"/>
      <c r="U55" s="23"/>
      <c r="V55" s="23"/>
      <c r="W55" s="23"/>
      <c r="X55" s="23"/>
      <c r="Y55" s="11"/>
      <c r="Z55" s="1"/>
    </row>
    <row r="56" spans="2:26" ht="15" customHeight="1" x14ac:dyDescent="0.25">
      <c r="B56" s="1"/>
      <c r="C56" s="9"/>
      <c r="D56" s="23"/>
      <c r="E56" s="23"/>
      <c r="F56" s="23"/>
      <c r="G56" s="23"/>
      <c r="H56" s="23"/>
      <c r="I56" s="23"/>
      <c r="J56" s="23"/>
      <c r="K56" s="23"/>
      <c r="L56" s="23"/>
      <c r="M56" s="11"/>
      <c r="N56" s="1"/>
      <c r="O56" s="9"/>
      <c r="P56" s="23"/>
      <c r="Q56" s="23"/>
      <c r="R56" s="23"/>
      <c r="S56" s="23"/>
      <c r="T56" s="23"/>
      <c r="U56" s="23"/>
      <c r="V56" s="23"/>
      <c r="W56" s="23"/>
      <c r="X56" s="23"/>
      <c r="Y56" s="11"/>
      <c r="Z56" s="1"/>
    </row>
    <row r="57" spans="2:26" ht="15" customHeight="1" x14ac:dyDescent="0.25">
      <c r="B57" s="1"/>
      <c r="C57" s="9"/>
      <c r="D57" s="23"/>
      <c r="E57" s="23"/>
      <c r="F57" s="23"/>
      <c r="G57" s="23"/>
      <c r="H57" s="23"/>
      <c r="I57" s="23"/>
      <c r="J57" s="23"/>
      <c r="K57" s="23"/>
      <c r="L57" s="23"/>
      <c r="M57" s="11"/>
      <c r="N57" s="1"/>
      <c r="O57" s="9"/>
      <c r="P57" s="23"/>
      <c r="Q57" s="23"/>
      <c r="R57" s="23"/>
      <c r="S57" s="23"/>
      <c r="T57" s="23"/>
      <c r="U57" s="23"/>
      <c r="V57" s="23"/>
      <c r="W57" s="23"/>
      <c r="X57" s="23"/>
      <c r="Y57" s="11"/>
      <c r="Z57" s="1"/>
    </row>
    <row r="58" spans="2:26" ht="15" customHeight="1" x14ac:dyDescent="0.25">
      <c r="B58" s="1"/>
      <c r="C58" s="24" t="s">
        <v>52</v>
      </c>
      <c r="D58" s="13"/>
      <c r="E58" s="13"/>
      <c r="F58" s="13"/>
      <c r="G58" s="13"/>
      <c r="H58" s="13"/>
      <c r="I58" s="13"/>
      <c r="J58" s="13"/>
      <c r="K58" s="13"/>
      <c r="L58" s="13"/>
      <c r="M58" s="14"/>
      <c r="N58" s="1"/>
      <c r="O58" s="12"/>
      <c r="P58" s="13"/>
      <c r="Q58" s="13"/>
      <c r="R58" s="13"/>
      <c r="S58" s="13"/>
      <c r="T58" s="13"/>
      <c r="U58" s="13"/>
      <c r="V58" s="13"/>
      <c r="W58" s="13"/>
      <c r="X58" s="13"/>
      <c r="Y58" s="14"/>
      <c r="Z58" s="1"/>
    </row>
    <row r="59" spans="2:26" x14ac:dyDescent="0.25">
      <c r="B59" s="1"/>
      <c r="C59" s="1"/>
      <c r="D59" s="1"/>
      <c r="E59" s="1"/>
      <c r="F59" s="1"/>
      <c r="G59" s="1"/>
      <c r="H59" s="1"/>
      <c r="I59" s="1"/>
      <c r="J59" s="1"/>
      <c r="K59" s="1"/>
      <c r="L59" s="1"/>
      <c r="M59" s="1"/>
      <c r="N59" s="1"/>
      <c r="O59" s="1"/>
      <c r="P59" s="1"/>
      <c r="Q59" s="1"/>
      <c r="R59" s="1"/>
      <c r="S59" s="1"/>
      <c r="T59" s="1"/>
      <c r="U59" s="1"/>
      <c r="V59" s="1"/>
      <c r="W59" s="1"/>
      <c r="X59" s="1"/>
      <c r="Y59" s="1"/>
      <c r="Z59" s="1"/>
    </row>
    <row r="60" spans="2:26" x14ac:dyDescent="0.25">
      <c r="B60" s="1"/>
      <c r="C60" s="114" t="s">
        <v>53</v>
      </c>
      <c r="D60" s="114"/>
      <c r="E60" s="114"/>
      <c r="F60" s="114"/>
      <c r="G60" s="114"/>
      <c r="H60" s="114"/>
      <c r="I60" s="114"/>
      <c r="J60" s="114"/>
      <c r="K60" s="114"/>
      <c r="L60" s="114"/>
      <c r="M60" s="20"/>
      <c r="N60" s="20"/>
      <c r="O60" s="20"/>
      <c r="P60" s="20"/>
      <c r="Q60" s="20"/>
      <c r="R60" s="20"/>
      <c r="S60" s="20"/>
      <c r="T60" s="20"/>
      <c r="U60" s="20"/>
      <c r="V60" s="20"/>
      <c r="W60" s="20"/>
      <c r="X60" s="20"/>
      <c r="Y60" s="20"/>
      <c r="Z60" s="1"/>
    </row>
    <row r="61" spans="2:26" x14ac:dyDescent="0.25">
      <c r="B61" s="1"/>
      <c r="C61" s="125" t="s">
        <v>54</v>
      </c>
      <c r="D61" s="125"/>
      <c r="E61" s="125"/>
      <c r="F61" s="125"/>
      <c r="G61" s="125"/>
      <c r="H61" s="125"/>
      <c r="I61" s="125"/>
      <c r="J61" s="125"/>
      <c r="K61" s="125"/>
      <c r="L61" s="125"/>
      <c r="M61" s="125"/>
      <c r="N61" s="125"/>
      <c r="O61" s="125"/>
      <c r="P61" s="125"/>
      <c r="Q61" s="125"/>
      <c r="R61" s="125"/>
      <c r="S61" s="125"/>
      <c r="T61" s="125"/>
      <c r="U61" s="125"/>
      <c r="V61" s="125"/>
      <c r="W61" s="125"/>
      <c r="X61" s="125"/>
      <c r="Y61" s="125"/>
      <c r="Z61" s="1"/>
    </row>
    <row r="62" spans="2:26" x14ac:dyDescent="0.25">
      <c r="B62" s="1"/>
      <c r="C62" s="1"/>
      <c r="D62" s="1"/>
      <c r="E62" s="1"/>
      <c r="F62" s="1"/>
      <c r="G62" s="1"/>
      <c r="H62" s="1"/>
      <c r="I62" s="1"/>
      <c r="J62" s="1"/>
      <c r="K62" s="1"/>
      <c r="L62" s="1"/>
      <c r="M62" s="1"/>
      <c r="N62" s="1"/>
      <c r="O62" s="1"/>
      <c r="P62" s="1"/>
      <c r="Q62" s="1"/>
      <c r="R62" s="1"/>
      <c r="S62" s="1"/>
      <c r="T62" s="1"/>
      <c r="U62" s="1"/>
      <c r="V62" s="1"/>
      <c r="W62" s="1"/>
      <c r="X62" s="1"/>
      <c r="Y62" s="1"/>
      <c r="Z62" s="1"/>
    </row>
    <row r="63" spans="2:26" ht="7.5" customHeight="1" x14ac:dyDescent="0.25">
      <c r="B63" s="1"/>
      <c r="C63" s="21"/>
      <c r="D63" s="22"/>
      <c r="E63" s="22"/>
      <c r="F63" s="22"/>
      <c r="G63" s="22"/>
      <c r="H63" s="22"/>
      <c r="I63" s="22"/>
      <c r="J63" s="22"/>
      <c r="K63" s="22"/>
      <c r="L63" s="22"/>
      <c r="M63" s="22"/>
      <c r="N63" s="22"/>
      <c r="O63" s="22"/>
      <c r="P63" s="22"/>
      <c r="Q63" s="22"/>
      <c r="R63" s="22"/>
      <c r="S63" s="22"/>
      <c r="T63" s="22"/>
      <c r="U63" s="22"/>
      <c r="V63" s="22"/>
      <c r="W63" s="22"/>
      <c r="X63" s="22"/>
      <c r="Y63" s="8"/>
      <c r="Z63" s="1"/>
    </row>
    <row r="64" spans="2:26" ht="15.75" customHeight="1" x14ac:dyDescent="0.25">
      <c r="B64" s="1"/>
      <c r="C64" s="9"/>
      <c r="D64" s="23"/>
      <c r="E64" s="127" t="s">
        <v>55</v>
      </c>
      <c r="F64" s="127"/>
      <c r="G64" s="127"/>
      <c r="H64" s="127" t="s">
        <v>56</v>
      </c>
      <c r="I64" s="127"/>
      <c r="J64" s="127"/>
      <c r="K64" s="127" t="s">
        <v>57</v>
      </c>
      <c r="L64" s="127"/>
      <c r="M64" s="127"/>
      <c r="N64" s="127" t="s">
        <v>58</v>
      </c>
      <c r="O64" s="127"/>
      <c r="P64" s="127"/>
      <c r="Q64" s="127" t="s">
        <v>59</v>
      </c>
      <c r="R64" s="127"/>
      <c r="S64" s="127"/>
      <c r="T64" s="127" t="s">
        <v>60</v>
      </c>
      <c r="U64" s="127"/>
      <c r="V64" s="127"/>
      <c r="W64" s="128" t="s">
        <v>61</v>
      </c>
      <c r="X64" s="128"/>
      <c r="Y64" s="128"/>
      <c r="Z64" s="1"/>
    </row>
    <row r="65" spans="2:26" ht="15" customHeight="1" x14ac:dyDescent="0.25">
      <c r="B65" s="1"/>
      <c r="C65" s="129" t="s">
        <v>62</v>
      </c>
      <c r="D65" s="129"/>
      <c r="E65" s="130">
        <f>IF(SUMIFS(Data!$N$2:$N$1201,Data!$E$2:$E$1201,"timed")=0,"",SUMIFS(Data!$N$2:$N$1201,Data!$Q$2:$Q$1201,0,Data!$R$2:$R$1201,1)/60)</f>
        <v>0</v>
      </c>
      <c r="F65" s="130"/>
      <c r="G65" s="130"/>
      <c r="H65" s="130">
        <f>IF(SUMIFS(Data!$N$2:$N$1201,Data!$E$2:$E$1201,"timed")=0,"",SUMIFS(Data!$N$2:$N$1201,Data!$Q$2:$Q$1201,0,Data!$R$2:$R$1201,2)/60)</f>
        <v>0</v>
      </c>
      <c r="I65" s="130"/>
      <c r="J65" s="130"/>
      <c r="K65" s="130">
        <f>IF(SUMIFS(Data!$N$2:$N$1201,Data!$E$2:$E$1201,"timed")=0,"",SUMIFS(Data!$N$2:$N$1201,Data!$Q$2:$Q$1201,0,Data!$R$2:$R$1201,3)/60)</f>
        <v>0</v>
      </c>
      <c r="L65" s="130"/>
      <c r="M65" s="130"/>
      <c r="N65" s="130">
        <f>IF(SUMIFS(Data!$N$2:$N$1201,Data!$E$2:$E$1201,"timed")=0,"",SUMIFS(Data!$N$2:$N$1201,Data!$Q$2:$Q$1201,0,Data!$R$2:$R$1201,4)/60)</f>
        <v>0</v>
      </c>
      <c r="O65" s="130"/>
      <c r="P65" s="130"/>
      <c r="Q65" s="130">
        <f>IF(SUMIFS(Data!$N$2:$N$1201,Data!$E$2:$E$1201,"timed")=0,"",SUMIFS(Data!$N$2:$N$1201,Data!$Q$2:$Q$1201,0,Data!$R$2:$R$1201,5)/60)</f>
        <v>0</v>
      </c>
      <c r="R65" s="130"/>
      <c r="S65" s="130"/>
      <c r="T65" s="130">
        <f>IF(SUMIFS(Data!$N$2:$N$1201,Data!$E$2:$E$1201,"timed")=0,"",SUMIFS(Data!$N$2:$N$1201,Data!$Q$2:$Q$1201,0,Data!$R$2:$R$1201,6)/60)</f>
        <v>0</v>
      </c>
      <c r="U65" s="130"/>
      <c r="V65" s="130"/>
      <c r="W65" s="130">
        <f>IF(SUMIFS(Data!$N$2:$N$1201,Data!$E$2:$E$1201,"timed")=0,"",SUMIFS(Data!$N$2:$N$1201,Data!$Q$2:$Q$1201,0,Data!$R$2:$R$1201,7)/60)</f>
        <v>0</v>
      </c>
      <c r="X65" s="130"/>
      <c r="Y65" s="130"/>
      <c r="Z65" s="1"/>
    </row>
    <row r="66" spans="2:26" ht="15" customHeight="1" x14ac:dyDescent="0.25">
      <c r="B66" s="1"/>
      <c r="C66" s="129"/>
      <c r="D66" s="129"/>
      <c r="E66" s="130">
        <f>IF(SUMIFS(Data!$N$2:$N$1201,Data!$E$2:$E$1201,"timed")=0,"",SUMIFS(Data!$N$2:$N$1201,Data!$Q$2:$Q$1201,1,Data!$R$2:$R$1201,1)/60)</f>
        <v>0</v>
      </c>
      <c r="F66" s="130"/>
      <c r="G66" s="130"/>
      <c r="H66" s="130">
        <f>IF(SUMIFS(Data!$N$2:$N$1201,Data!$E$2:$E$1201,"timed")=0,"",SUMIFS(Data!$N$2:$N$1201,Data!$Q$2:$Q$1201,1,Data!$R$2:$R$1201,2)/60)</f>
        <v>0</v>
      </c>
      <c r="I66" s="130"/>
      <c r="J66" s="130"/>
      <c r="K66" s="130">
        <f>IF(SUMIFS(Data!$N$2:$N$1201,Data!$E$2:$E$1201,"timed")=0,"",SUMIFS(Data!$N$2:$N$1201,Data!$Q$2:$Q$1201,1,Data!$R$2:$R$1201,3)/60)</f>
        <v>0</v>
      </c>
      <c r="L66" s="130"/>
      <c r="M66" s="130"/>
      <c r="N66" s="130">
        <f>IF(SUMIFS(Data!$N$2:$N$1201,Data!$E$2:$E$1201,"timed")=0,"",SUMIFS(Data!$N$2:$N$1201,Data!$Q$2:$Q$1201,1,Data!$R$2:$R$1201,4)/60)</f>
        <v>0</v>
      </c>
      <c r="O66" s="130"/>
      <c r="P66" s="130"/>
      <c r="Q66" s="130">
        <f>IF(SUMIFS(Data!$N$2:$N$1201,Data!$E$2:$E$1201,"timed")=0,"",SUMIFS(Data!$N$2:$N$1201,Data!$Q$2:$Q$1201,1,Data!$R$2:$R$1201,5)/60)</f>
        <v>0</v>
      </c>
      <c r="R66" s="130"/>
      <c r="S66" s="130"/>
      <c r="T66" s="130">
        <f>IF(SUMIFS(Data!$N$2:$N$1201,Data!$E$2:$E$1201,"timed")=0,"",SUMIFS(Data!$N$2:$N$1201,Data!$Q$2:$Q$1201,1,Data!$R$2:$R$1201,6)/60)</f>
        <v>0</v>
      </c>
      <c r="U66" s="130"/>
      <c r="V66" s="130"/>
      <c r="W66" s="130">
        <f>IF(SUMIFS(Data!$N$2:$N$1201,Data!$E$2:$E$1201,"timed")=0,"",SUMIFS(Data!$N$2:$N$1201,Data!$Q$2:$Q$1201,1,Data!$R$2:$R$1201,7)/60)</f>
        <v>0</v>
      </c>
      <c r="X66" s="130"/>
      <c r="Y66" s="130"/>
      <c r="Z66" s="1"/>
    </row>
    <row r="67" spans="2:26" ht="15" customHeight="1" x14ac:dyDescent="0.25">
      <c r="B67" s="1"/>
      <c r="C67" s="129" t="s">
        <v>63</v>
      </c>
      <c r="D67" s="129"/>
      <c r="E67" s="130">
        <f>IF(SUMIFS(Data!$N$2:$N$1201,Data!$E$2:$E$1201,"timed")=0,"",SUMIFS(Data!$N$2:$N$1201,Data!$Q$2:$Q$1201,2,Data!$R$2:$R$1201,1)/60)</f>
        <v>0</v>
      </c>
      <c r="F67" s="130"/>
      <c r="G67" s="130"/>
      <c r="H67" s="130">
        <f>IF(SUMIFS(Data!$N$2:$N$1201,Data!$E$2:$E$1201,"timed")=0,"",SUMIFS(Data!$N$2:$N$1201,Data!$Q$2:$Q$1201,2,Data!$R$2:$R$1201,2)/60)</f>
        <v>0</v>
      </c>
      <c r="I67" s="130"/>
      <c r="J67" s="130"/>
      <c r="K67" s="130">
        <f>IF(SUMIFS(Data!$N$2:$N$1201,Data!$E$2:$E$1201,"timed")=0,"",SUMIFS(Data!$N$2:$N$1201,Data!$Q$2:$Q$1201,2,Data!$R$2:$R$1201,3)/60)</f>
        <v>0</v>
      </c>
      <c r="L67" s="130"/>
      <c r="M67" s="130"/>
      <c r="N67" s="130">
        <f>IF(SUMIFS(Data!$N$2:$N$1201,Data!$E$2:$E$1201,"timed")=0,"",SUMIFS(Data!$N$2:$N$1201,Data!$Q$2:$Q$1201,2,Data!$R$2:$R$1201,4)/60)</f>
        <v>0</v>
      </c>
      <c r="O67" s="130"/>
      <c r="P67" s="130"/>
      <c r="Q67" s="130">
        <f>IF(SUMIFS(Data!$N$2:$N$1201,Data!$E$2:$E$1201,"timed")=0,"",SUMIFS(Data!$N$2:$N$1201,Data!$Q$2:$Q$1201,2,Data!$R$2:$R$1201,5)/60)</f>
        <v>0</v>
      </c>
      <c r="R67" s="130"/>
      <c r="S67" s="130"/>
      <c r="T67" s="130">
        <f>IF(SUMIFS(Data!$N$2:$N$1201,Data!$E$2:$E$1201,"timed")=0,"",SUMIFS(Data!$N$2:$N$1201,Data!$Q$2:$Q$1201,2,Data!$R$2:$R$1201,6)/60)</f>
        <v>0</v>
      </c>
      <c r="U67" s="130"/>
      <c r="V67" s="130"/>
      <c r="W67" s="130">
        <f>IF(SUMIFS(Data!$N$2:$N$1201,Data!$E$2:$E$1201,"timed")=0,"",SUMIFS(Data!$N$2:$N$1201,Data!$Q$2:$Q$1201,2,Data!$R$2:$R$1201,7)/60)</f>
        <v>0</v>
      </c>
      <c r="X67" s="130"/>
      <c r="Y67" s="130"/>
      <c r="Z67" s="1"/>
    </row>
    <row r="68" spans="2:26" ht="15" customHeight="1" x14ac:dyDescent="0.25">
      <c r="B68" s="1"/>
      <c r="C68" s="129"/>
      <c r="D68" s="129"/>
      <c r="E68" s="130">
        <f>IF(SUMIFS(Data!$N$2:$N$1201,Data!$E$2:$E$1201,"timed")=0,"",SUMIFS(Data!$N$2:$N$1201,Data!$Q$2:$Q$1201,3,Data!$R$2:$R$1201,1)/60)</f>
        <v>0</v>
      </c>
      <c r="F68" s="130"/>
      <c r="G68" s="130"/>
      <c r="H68" s="130">
        <f>IF(SUMIFS(Data!$N$2:$N$1201,Data!$E$2:$E$1201,"timed")=0,"",SUMIFS(Data!$N$2:$N$1201,Data!$Q$2:$Q$1201,3,Data!$R$2:$R$1201,2)/60)</f>
        <v>0</v>
      </c>
      <c r="I68" s="130"/>
      <c r="J68" s="130"/>
      <c r="K68" s="130">
        <f>IF(SUMIFS(Data!$N$2:$N$1201,Data!$E$2:$E$1201,"timed")=0,"",SUMIFS(Data!$N$2:$N$1201,Data!$Q$2:$Q$1201,3,Data!$R$2:$R$1201,3)/60)</f>
        <v>0</v>
      </c>
      <c r="L68" s="130"/>
      <c r="M68" s="130"/>
      <c r="N68" s="130">
        <f>IF(SUMIFS(Data!$N$2:$N$1201,Data!$E$2:$E$1201,"timed")=0,"",SUMIFS(Data!$N$2:$N$1201,Data!$Q$2:$Q$1201,3,Data!$R$2:$R$1201,4)/60)</f>
        <v>0</v>
      </c>
      <c r="O68" s="130"/>
      <c r="P68" s="130"/>
      <c r="Q68" s="130">
        <f>IF(SUMIFS(Data!$N$2:$N$1201,Data!$E$2:$E$1201,"timed")=0,"",SUMIFS(Data!$N$2:$N$1201,Data!$Q$2:$Q$1201,3,Data!$R$2:$R$1201,5)/60)</f>
        <v>0</v>
      </c>
      <c r="R68" s="130"/>
      <c r="S68" s="130"/>
      <c r="T68" s="130">
        <f>IF(SUMIFS(Data!$N$2:$N$1201,Data!$E$2:$E$1201,"timed")=0,"",SUMIFS(Data!$N$2:$N$1201,Data!$Q$2:$Q$1201,3,Data!$R$2:$R$1201,6)/60)</f>
        <v>0</v>
      </c>
      <c r="U68" s="130"/>
      <c r="V68" s="130"/>
      <c r="W68" s="130">
        <f>IF(SUMIFS(Data!$N$2:$N$1201,Data!$E$2:$E$1201,"timed")=0,"",SUMIFS(Data!$N$2:$N$1201,Data!$Q$2:$Q$1201,3,Data!$R$2:$R$1201,7)/60)</f>
        <v>0</v>
      </c>
      <c r="X68" s="130"/>
      <c r="Y68" s="130"/>
      <c r="Z68" s="1"/>
    </row>
    <row r="69" spans="2:26" ht="15" customHeight="1" x14ac:dyDescent="0.25">
      <c r="B69" s="1"/>
      <c r="C69" s="129" t="s">
        <v>64</v>
      </c>
      <c r="D69" s="129"/>
      <c r="E69" s="130">
        <f>IF(SUMIFS(Data!$N$2:$N$1201,Data!$E$2:$E$1201,"timed")=0,"",SUMIFS(Data!$N$2:$N$1201,Data!$Q$2:$Q$1201,4,Data!$R$2:$R$1201,1)/60)</f>
        <v>0</v>
      </c>
      <c r="F69" s="130"/>
      <c r="G69" s="130"/>
      <c r="H69" s="130">
        <f>IF(SUMIFS(Data!$N$2:$N$1201,Data!$E$2:$E$1201,"timed")=0,"",SUMIFS(Data!$N$2:$N$1201,Data!$Q$2:$Q$1201,4,Data!$R$2:$R$1201,2)/60)</f>
        <v>0</v>
      </c>
      <c r="I69" s="130"/>
      <c r="J69" s="130"/>
      <c r="K69" s="130">
        <f>IF(SUMIFS(Data!$N$2:$N$1201,Data!$E$2:$E$1201,"timed")=0,"",SUMIFS(Data!$N$2:$N$1201,Data!$Q$2:$Q$1201,4,Data!$R$2:$R$1201,3)/60)</f>
        <v>0</v>
      </c>
      <c r="L69" s="130"/>
      <c r="M69" s="130"/>
      <c r="N69" s="130">
        <f>IF(SUMIFS(Data!$N$2:$N$1201,Data!$E$2:$E$1201,"timed")=0,"",SUMIFS(Data!$N$2:$N$1201,Data!$Q$2:$Q$1201,4,Data!$R$2:$R$1201,4)/60)</f>
        <v>0</v>
      </c>
      <c r="O69" s="130"/>
      <c r="P69" s="130"/>
      <c r="Q69" s="130">
        <f>IF(SUMIFS(Data!$N$2:$N$1201,Data!$E$2:$E$1201,"timed")=0,"",SUMIFS(Data!$N$2:$N$1201,Data!$Q$2:$Q$1201,4,Data!$R$2:$R$1201,5)/60)</f>
        <v>0</v>
      </c>
      <c r="R69" s="130"/>
      <c r="S69" s="130"/>
      <c r="T69" s="130">
        <f>IF(SUMIFS(Data!$N$2:$N$1201,Data!$E$2:$E$1201,"timed")=0,"",SUMIFS(Data!$N$2:$N$1201,Data!$Q$2:$Q$1201,4,Data!$R$2:$R$1201,6)/60)</f>
        <v>0</v>
      </c>
      <c r="U69" s="130"/>
      <c r="V69" s="130"/>
      <c r="W69" s="130">
        <f>IF(SUMIFS(Data!$N$2:$N$1201,Data!$E$2:$E$1201,"timed")=0,"",SUMIFS(Data!$N$2:$N$1201,Data!$Q$2:$Q$1201,4,Data!$R$2:$R$1201,7)/60)</f>
        <v>0</v>
      </c>
      <c r="X69" s="130"/>
      <c r="Y69" s="130"/>
      <c r="Z69" s="1"/>
    </row>
    <row r="70" spans="2:26" ht="15" customHeight="1" x14ac:dyDescent="0.25">
      <c r="B70" s="1"/>
      <c r="C70" s="129"/>
      <c r="D70" s="129"/>
      <c r="E70" s="130">
        <f>IF(SUMIFS(Data!$N$2:$N$1201,Data!$E$2:$E$1201,"timed")=0,"",SUMIFS(Data!$N$2:$N$1201,Data!$Q$2:$Q$1201,5,Data!$R$2:$R$1201,1)/60)</f>
        <v>0</v>
      </c>
      <c r="F70" s="130"/>
      <c r="G70" s="130"/>
      <c r="H70" s="130">
        <f>IF(SUMIFS(Data!$N$2:$N$1201,Data!$E$2:$E$1201,"timed")=0,"",SUMIFS(Data!$N$2:$N$1201,Data!$Q$2:$Q$1201,5,Data!$R$2:$R$1201,2)/60)</f>
        <v>0</v>
      </c>
      <c r="I70" s="130"/>
      <c r="J70" s="130"/>
      <c r="K70" s="130">
        <f>IF(SUMIFS(Data!$N$2:$N$1201,Data!$E$2:$E$1201,"timed")=0,"",SUMIFS(Data!$N$2:$N$1201,Data!$Q$2:$Q$1201,5,Data!$R$2:$R$1201,3)/60)</f>
        <v>0</v>
      </c>
      <c r="L70" s="130"/>
      <c r="M70" s="130"/>
      <c r="N70" s="130">
        <f>IF(SUMIFS(Data!$N$2:$N$1201,Data!$E$2:$E$1201,"timed")=0,"",SUMIFS(Data!$N$2:$N$1201,Data!$Q$2:$Q$1201,5,Data!$R$2:$R$1201,4)/60)</f>
        <v>0</v>
      </c>
      <c r="O70" s="130"/>
      <c r="P70" s="130"/>
      <c r="Q70" s="130">
        <f>IF(SUMIFS(Data!$N$2:$N$1201,Data!$E$2:$E$1201,"timed")=0,"",SUMIFS(Data!$N$2:$N$1201,Data!$Q$2:$Q$1201,5,Data!$R$2:$R$1201,5)/60)</f>
        <v>0</v>
      </c>
      <c r="R70" s="130"/>
      <c r="S70" s="130"/>
      <c r="T70" s="130">
        <f>IF(SUMIFS(Data!$N$2:$N$1201,Data!$E$2:$E$1201,"timed")=0,"",SUMIFS(Data!$N$2:$N$1201,Data!$Q$2:$Q$1201,5,Data!$R$2:$R$1201,6)/60)</f>
        <v>0</v>
      </c>
      <c r="U70" s="130"/>
      <c r="V70" s="130"/>
      <c r="W70" s="130">
        <f>IF(SUMIFS(Data!$N$2:$N$1201,Data!$E$2:$E$1201,"timed")=0,"",SUMIFS(Data!$N$2:$N$1201,Data!$Q$2:$Q$1201,5,Data!$R$2:$R$1201,7)/60)</f>
        <v>0</v>
      </c>
      <c r="X70" s="130"/>
      <c r="Y70" s="130"/>
      <c r="Z70" s="1"/>
    </row>
    <row r="71" spans="2:26" ht="15" customHeight="1" x14ac:dyDescent="0.25">
      <c r="B71" s="1"/>
      <c r="C71" s="129" t="s">
        <v>65</v>
      </c>
      <c r="D71" s="129"/>
      <c r="E71" s="130">
        <f>IF(SUMIFS(Data!$N$2:$N$1201,Data!$E$2:$E$1201,"timed")=0,"",SUMIFS(Data!$N$2:$N$1201,Data!$Q$2:$Q$1201,6,Data!$R$2:$R$1201,1)/60)</f>
        <v>0</v>
      </c>
      <c r="F71" s="130"/>
      <c r="G71" s="130"/>
      <c r="H71" s="130">
        <f>IF(SUMIFS(Data!$N$2:$N$1201,Data!$E$2:$E$1201,"timed")=0,"",SUMIFS(Data!$N$2:$N$1201,Data!$Q$2:$Q$1201,6,Data!$R$2:$R$1201,2)/60)</f>
        <v>0</v>
      </c>
      <c r="I71" s="130"/>
      <c r="J71" s="130"/>
      <c r="K71" s="130">
        <f>IF(SUMIFS(Data!$N$2:$N$1201,Data!$E$2:$E$1201,"timed")=0,"",SUMIFS(Data!$N$2:$N$1201,Data!$Q$2:$Q$1201,6,Data!$R$2:$R$1201,3)/60)</f>
        <v>0</v>
      </c>
      <c r="L71" s="130"/>
      <c r="M71" s="130"/>
      <c r="N71" s="130">
        <f>IF(SUMIFS(Data!$N$2:$N$1201,Data!$E$2:$E$1201,"timed")=0,"",SUMIFS(Data!$N$2:$N$1201,Data!$Q$2:$Q$1201,6,Data!$R$2:$R$1201,4)/60)</f>
        <v>0</v>
      </c>
      <c r="O71" s="130"/>
      <c r="P71" s="130"/>
      <c r="Q71" s="130">
        <f>IF(SUMIFS(Data!$N$2:$N$1201,Data!$E$2:$E$1201,"timed")=0,"",SUMIFS(Data!$N$2:$N$1201,Data!$Q$2:$Q$1201,6,Data!$R$2:$R$1201,5)/60)</f>
        <v>0</v>
      </c>
      <c r="R71" s="130"/>
      <c r="S71" s="130"/>
      <c r="T71" s="130">
        <f>IF(SUMIFS(Data!$N$2:$N$1201,Data!$E$2:$E$1201,"timed")=0,"",SUMIFS(Data!$N$2:$N$1201,Data!$Q$2:$Q$1201,6,Data!$R$2:$R$1201,6)/60)</f>
        <v>0</v>
      </c>
      <c r="U71" s="130"/>
      <c r="V71" s="130"/>
      <c r="W71" s="130">
        <f>IF(SUMIFS(Data!$N$2:$N$1201,Data!$E$2:$E$1201,"timed")=0,"",SUMIFS(Data!$N$2:$N$1201,Data!$Q$2:$Q$1201,6,Data!$R$2:$R$1201,7)/60)</f>
        <v>0</v>
      </c>
      <c r="X71" s="130"/>
      <c r="Y71" s="130"/>
      <c r="Z71" s="1"/>
    </row>
    <row r="72" spans="2:26" ht="15" customHeight="1" x14ac:dyDescent="0.25">
      <c r="B72" s="1"/>
      <c r="C72" s="129"/>
      <c r="D72" s="129"/>
      <c r="E72" s="130">
        <f>IF(SUMIFS(Data!$N$2:$N$1201,Data!$E$2:$E$1201,"timed")=0,"",SUMIFS(Data!$N$2:$N$1201,Data!$Q$2:$Q$1201,7,Data!$R$2:$R$1201,1)/60)</f>
        <v>0.5615</v>
      </c>
      <c r="F72" s="130"/>
      <c r="G72" s="130"/>
      <c r="H72" s="130">
        <f>IF(SUMIFS(Data!$N$2:$N$1201,Data!$E$2:$E$1201,"timed")=0,"",SUMIFS(Data!$N$2:$N$1201,Data!$Q$2:$Q$1201,7,Data!$R$2:$R$1201,2)/60)</f>
        <v>0.72650000000000003</v>
      </c>
      <c r="I72" s="130"/>
      <c r="J72" s="130"/>
      <c r="K72" s="130">
        <f>IF(SUMIFS(Data!$N$2:$N$1201,Data!$E$2:$E$1201,"timed")=0,"",SUMIFS(Data!$N$2:$N$1201,Data!$Q$2:$Q$1201,7,Data!$R$2:$R$1201,3)/60)</f>
        <v>0.92733333333333334</v>
      </c>
      <c r="L72" s="130"/>
      <c r="M72" s="130"/>
      <c r="N72" s="130">
        <f>IF(SUMIFS(Data!$N$2:$N$1201,Data!$E$2:$E$1201,"timed")=0,"",SUMIFS(Data!$N$2:$N$1201,Data!$Q$2:$Q$1201,7,Data!$R$2:$R$1201,4)/60)</f>
        <v>1.8816666666666666</v>
      </c>
      <c r="O72" s="130"/>
      <c r="P72" s="130"/>
      <c r="Q72" s="130">
        <f>IF(SUMIFS(Data!$N$2:$N$1201,Data!$E$2:$E$1201,"timed")=0,"",SUMIFS(Data!$N$2:$N$1201,Data!$Q$2:$Q$1201,7,Data!$R$2:$R$1201,5)/60)</f>
        <v>0.96033333333333337</v>
      </c>
      <c r="R72" s="130"/>
      <c r="S72" s="130"/>
      <c r="T72" s="130">
        <f>IF(SUMIFS(Data!$N$2:$N$1201,Data!$E$2:$E$1201,"timed")=0,"",SUMIFS(Data!$N$2:$N$1201,Data!$Q$2:$Q$1201,7,Data!$R$2:$R$1201,6)/60)</f>
        <v>0</v>
      </c>
      <c r="U72" s="130"/>
      <c r="V72" s="130"/>
      <c r="W72" s="130">
        <f>IF(SUMIFS(Data!$N$2:$N$1201,Data!$E$2:$E$1201,"timed")=0,"",SUMIFS(Data!$N$2:$N$1201,Data!$Q$2:$Q$1201,7,Data!$R$2:$R$1201,7)/60)</f>
        <v>0</v>
      </c>
      <c r="X72" s="130"/>
      <c r="Y72" s="130"/>
      <c r="Z72" s="1"/>
    </row>
    <row r="73" spans="2:26" ht="15" customHeight="1" x14ac:dyDescent="0.25">
      <c r="B73" s="1"/>
      <c r="C73" s="129" t="s">
        <v>66</v>
      </c>
      <c r="D73" s="129"/>
      <c r="E73" s="130">
        <f>IF(SUMIFS(Data!$N$2:$N$1201,Data!$E$2:$E$1201,"timed")=0,"",SUMIFS(Data!$N$2:$N$1201,Data!$Q$2:$Q$1201,8,Data!$R$2:$R$1201,1)/60)</f>
        <v>0.7756666666666665</v>
      </c>
      <c r="F73" s="130"/>
      <c r="G73" s="130"/>
      <c r="H73" s="130">
        <f>IF(SUMIFS(Data!$N$2:$N$1201,Data!$E$2:$E$1201,"timed")=0,"",SUMIFS(Data!$N$2:$N$1201,Data!$Q$2:$Q$1201,8,Data!$R$2:$R$1201,2)/60)</f>
        <v>1.0751666666666668</v>
      </c>
      <c r="I73" s="130"/>
      <c r="J73" s="130"/>
      <c r="K73" s="130">
        <f>IF(SUMIFS(Data!$N$2:$N$1201,Data!$E$2:$E$1201,"timed")=0,"",SUMIFS(Data!$N$2:$N$1201,Data!$Q$2:$Q$1201,8,Data!$R$2:$R$1201,3)/60)</f>
        <v>0.80366666666666664</v>
      </c>
      <c r="L73" s="130"/>
      <c r="M73" s="130"/>
      <c r="N73" s="130">
        <f>IF(SUMIFS(Data!$N$2:$N$1201,Data!$E$2:$E$1201,"timed")=0,"",SUMIFS(Data!$N$2:$N$1201,Data!$Q$2:$Q$1201,8,Data!$R$2:$R$1201,4)/60)</f>
        <v>0</v>
      </c>
      <c r="O73" s="130"/>
      <c r="P73" s="130"/>
      <c r="Q73" s="130">
        <f>IF(SUMIFS(Data!$N$2:$N$1201,Data!$E$2:$E$1201,"timed")=0,"",SUMIFS(Data!$N$2:$N$1201,Data!$Q$2:$Q$1201,8,Data!$R$2:$R$1201,5)/60)</f>
        <v>1.2828333333333333</v>
      </c>
      <c r="R73" s="130"/>
      <c r="S73" s="130"/>
      <c r="T73" s="130">
        <f>IF(SUMIFS(Data!$N$2:$N$1201,Data!$E$2:$E$1201,"timed")=0,"",SUMIFS(Data!$N$2:$N$1201,Data!$Q$2:$Q$1201,8,Data!$R$2:$R$1201,6)/60)</f>
        <v>0</v>
      </c>
      <c r="U73" s="130"/>
      <c r="V73" s="130"/>
      <c r="W73" s="130">
        <f>IF(SUMIFS(Data!$N$2:$N$1201,Data!$E$2:$E$1201,"timed")=0,"",SUMIFS(Data!$N$2:$N$1201,Data!$Q$2:$Q$1201,8,Data!$R$2:$R$1201,7)/60)</f>
        <v>0</v>
      </c>
      <c r="X73" s="130"/>
      <c r="Y73" s="130"/>
      <c r="Z73" s="1"/>
    </row>
    <row r="74" spans="2:26" ht="15" customHeight="1" x14ac:dyDescent="0.25">
      <c r="B74" s="1"/>
      <c r="C74" s="129"/>
      <c r="D74" s="129"/>
      <c r="E74" s="130">
        <f>IF(SUMIFS(Data!$N$2:$N$1201,Data!$E$2:$E$1201,"timed")=0,"",SUMIFS(Data!$N$2:$N$1201,Data!$Q$2:$Q$1201,9,Data!$R$2:$R$1201,1)/60)</f>
        <v>1.478</v>
      </c>
      <c r="F74" s="130"/>
      <c r="G74" s="130"/>
      <c r="H74" s="130">
        <f>IF(SUMIFS(Data!$N$2:$N$1201,Data!$E$2:$E$1201,"timed")=0,"",SUMIFS(Data!$N$2:$N$1201,Data!$Q$2:$Q$1201,9,Data!$R$2:$R$1201,2)/60)</f>
        <v>0.73</v>
      </c>
      <c r="I74" s="130"/>
      <c r="J74" s="130"/>
      <c r="K74" s="130">
        <f>IF(SUMIFS(Data!$N$2:$N$1201,Data!$E$2:$E$1201,"timed")=0,"",SUMIFS(Data!$N$2:$N$1201,Data!$Q$2:$Q$1201,9,Data!$R$2:$R$1201,3)/60)</f>
        <v>3.0125000000000002</v>
      </c>
      <c r="L74" s="130"/>
      <c r="M74" s="130"/>
      <c r="N74" s="130">
        <f>IF(SUMIFS(Data!$N$2:$N$1201,Data!$E$2:$E$1201,"timed")=0,"",SUMIFS(Data!$N$2:$N$1201,Data!$Q$2:$Q$1201,9,Data!$R$2:$R$1201,4)/60)</f>
        <v>1.2915000000000001</v>
      </c>
      <c r="O74" s="130"/>
      <c r="P74" s="130"/>
      <c r="Q74" s="130">
        <f>IF(SUMIFS(Data!$N$2:$N$1201,Data!$E$2:$E$1201,"timed")=0,"",SUMIFS(Data!$N$2:$N$1201,Data!$Q$2:$Q$1201,9,Data!$R$2:$R$1201,5)/60)</f>
        <v>0.26716666666666666</v>
      </c>
      <c r="R74" s="130"/>
      <c r="S74" s="130"/>
      <c r="T74" s="130">
        <f>IF(SUMIFS(Data!$N$2:$N$1201,Data!$E$2:$E$1201,"timed")=0,"",SUMIFS(Data!$N$2:$N$1201,Data!$Q$2:$Q$1201,9,Data!$R$2:$R$1201,6)/60)</f>
        <v>0</v>
      </c>
      <c r="U74" s="130"/>
      <c r="V74" s="130"/>
      <c r="W74" s="130">
        <f>IF(SUMIFS(Data!$N$2:$N$1201,Data!$E$2:$E$1201,"timed")=0,"",SUMIFS(Data!$N$2:$N$1201,Data!$Q$2:$Q$1201,9,Data!$R$2:$R$1201,7)/60)</f>
        <v>0</v>
      </c>
      <c r="X74" s="130"/>
      <c r="Y74" s="130"/>
      <c r="Z74" s="1"/>
    </row>
    <row r="75" spans="2:26" ht="15" customHeight="1" x14ac:dyDescent="0.25">
      <c r="B75" s="1"/>
      <c r="C75" s="129" t="s">
        <v>67</v>
      </c>
      <c r="D75" s="129"/>
      <c r="E75" s="130">
        <f>IF(SUMIFS(Data!$N$2:$N$1201,Data!$E$2:$E$1201,"timed")=0,"",SUMIFS(Data!$N$2:$N$1201,Data!$Q$2:$Q$1201,10,Data!$R$2:$R$1201,1)/60)</f>
        <v>1.7696666666666667</v>
      </c>
      <c r="F75" s="130"/>
      <c r="G75" s="130"/>
      <c r="H75" s="130">
        <f>IF(SUMIFS(Data!$N$2:$N$1201,Data!$E$2:$E$1201,"timed")=0,"",SUMIFS(Data!$N$2:$N$1201,Data!$Q$2:$Q$1201,10,Data!$R$2:$R$1201,2)/60)</f>
        <v>1.4448333333333332</v>
      </c>
      <c r="I75" s="130"/>
      <c r="J75" s="130"/>
      <c r="K75" s="130">
        <f>IF(SUMIFS(Data!$N$2:$N$1201,Data!$E$2:$E$1201,"timed")=0,"",SUMIFS(Data!$N$2:$N$1201,Data!$Q$2:$Q$1201,10,Data!$R$2:$R$1201,3)/60)</f>
        <v>0</v>
      </c>
      <c r="L75" s="130"/>
      <c r="M75" s="130"/>
      <c r="N75" s="130">
        <f>IF(SUMIFS(Data!$N$2:$N$1201,Data!$E$2:$E$1201,"timed")=0,"",SUMIFS(Data!$N$2:$N$1201,Data!$Q$2:$Q$1201,10,Data!$R$2:$R$1201,4)/60)</f>
        <v>2.8734999999999999</v>
      </c>
      <c r="O75" s="130"/>
      <c r="P75" s="130"/>
      <c r="Q75" s="130">
        <f>IF(SUMIFS(Data!$N$2:$N$1201,Data!$E$2:$E$1201,"timed")=0,"",SUMIFS(Data!$N$2:$N$1201,Data!$Q$2:$Q$1201,10,Data!$R$2:$R$1201,5)/60)</f>
        <v>1.4396666666666667</v>
      </c>
      <c r="R75" s="130"/>
      <c r="S75" s="130"/>
      <c r="T75" s="130">
        <f>IF(SUMIFS(Data!$N$2:$N$1201,Data!$E$2:$E$1201,"timed")=0,"",SUMIFS(Data!$N$2:$N$1201,Data!$Q$2:$Q$1201,10,Data!$R$2:$R$1201,6)/60)</f>
        <v>0</v>
      </c>
      <c r="U75" s="130"/>
      <c r="V75" s="130"/>
      <c r="W75" s="130">
        <f>IF(SUMIFS(Data!$N$2:$N$1201,Data!$E$2:$E$1201,"timed")=0,"",SUMIFS(Data!$N$2:$N$1201,Data!$Q$2:$Q$1201,10,Data!$R$2:$R$1201,7)/60)</f>
        <v>0</v>
      </c>
      <c r="X75" s="130"/>
      <c r="Y75" s="130"/>
      <c r="Z75" s="1"/>
    </row>
    <row r="76" spans="2:26" ht="15" customHeight="1" x14ac:dyDescent="0.25">
      <c r="B76" s="1"/>
      <c r="C76" s="129"/>
      <c r="D76" s="129"/>
      <c r="E76" s="130">
        <f>IF(SUMIFS(Data!$N$2:$N$1201,Data!$E$2:$E$1201,"timed")=0,"",SUMIFS(Data!$N$2:$N$1201,Data!$Q$2:$Q$1201,11,Data!$R$2:$R$1201,1)/60)</f>
        <v>0</v>
      </c>
      <c r="F76" s="130"/>
      <c r="G76" s="130"/>
      <c r="H76" s="130">
        <f>IF(SUMIFS(Data!$N$2:$N$1201,Data!$E$2:$E$1201,"timed")=0,"",SUMIFS(Data!$N$2:$N$1201,Data!$Q$2:$Q$1201,11,Data!$R$2:$R$1201,2)/60)</f>
        <v>1.5465000000000002</v>
      </c>
      <c r="I76" s="130"/>
      <c r="J76" s="130"/>
      <c r="K76" s="130">
        <f>IF(SUMIFS(Data!$N$2:$N$1201,Data!$E$2:$E$1201,"timed")=0,"",SUMIFS(Data!$N$2:$N$1201,Data!$Q$2:$Q$1201,11,Data!$R$2:$R$1201,3)/60)</f>
        <v>0</v>
      </c>
      <c r="L76" s="130"/>
      <c r="M76" s="130"/>
      <c r="N76" s="130">
        <f>IF(SUMIFS(Data!$N$2:$N$1201,Data!$E$2:$E$1201,"timed")=0,"",SUMIFS(Data!$N$2:$N$1201,Data!$Q$2:$Q$1201,11,Data!$R$2:$R$1201,4)/60)</f>
        <v>0</v>
      </c>
      <c r="O76" s="130"/>
      <c r="P76" s="130"/>
      <c r="Q76" s="130">
        <f>IF(SUMIFS(Data!$N$2:$N$1201,Data!$E$2:$E$1201,"timed")=0,"",SUMIFS(Data!$N$2:$N$1201,Data!$Q$2:$Q$1201,11,Data!$R$2:$R$1201,5)/60)</f>
        <v>0.62966666666666671</v>
      </c>
      <c r="R76" s="130"/>
      <c r="S76" s="130"/>
      <c r="T76" s="130">
        <f>IF(SUMIFS(Data!$N$2:$N$1201,Data!$E$2:$E$1201,"timed")=0,"",SUMIFS(Data!$N$2:$N$1201,Data!$Q$2:$Q$1201,11,Data!$R$2:$R$1201,6)/60)</f>
        <v>0</v>
      </c>
      <c r="U76" s="130"/>
      <c r="V76" s="130"/>
      <c r="W76" s="130">
        <f>IF(SUMIFS(Data!$N$2:$N$1201,Data!$E$2:$E$1201,"timed")=0,"",SUMIFS(Data!$N$2:$N$1201,Data!$Q$2:$Q$1201,11,Data!$R$2:$R$1201,7)/60)</f>
        <v>0</v>
      </c>
      <c r="X76" s="130"/>
      <c r="Y76" s="130"/>
      <c r="Z76" s="1"/>
    </row>
    <row r="77" spans="2:26" ht="15" customHeight="1" x14ac:dyDescent="0.25">
      <c r="B77" s="1"/>
      <c r="C77" s="129" t="s">
        <v>68</v>
      </c>
      <c r="D77" s="129"/>
      <c r="E77" s="130">
        <f>IF(SUMIFS(Data!$N$2:$N$1201,Data!$E$2:$E$1201,"timed")=0,"",SUMIFS(Data!$N$2:$N$1201,Data!$Q$2:$Q$1201,12,Data!$R$2:$R$1201,1)/60)</f>
        <v>2.4643333333333333</v>
      </c>
      <c r="F77" s="130"/>
      <c r="G77" s="130"/>
      <c r="H77" s="130">
        <f>IF(SUMIFS(Data!$N$2:$N$1201,Data!$E$2:$E$1201,"timed")=0,"",SUMIFS(Data!$N$2:$N$1201,Data!$Q$2:$Q$1201,12,Data!$R$2:$R$1201,2)/60)</f>
        <v>0</v>
      </c>
      <c r="I77" s="130"/>
      <c r="J77" s="130"/>
      <c r="K77" s="130">
        <f>IF(SUMIFS(Data!$N$2:$N$1201,Data!$E$2:$E$1201,"timed")=0,"",SUMIFS(Data!$N$2:$N$1201,Data!$Q$2:$Q$1201,12,Data!$R$2:$R$1201,3)/60)</f>
        <v>1.4861666666666666</v>
      </c>
      <c r="L77" s="130"/>
      <c r="M77" s="130"/>
      <c r="N77" s="130">
        <f>IF(SUMIFS(Data!$N$2:$N$1201,Data!$E$2:$E$1201,"timed")=0,"",SUMIFS(Data!$N$2:$N$1201,Data!$Q$2:$Q$1201,12,Data!$R$2:$R$1201,4)/60)</f>
        <v>0</v>
      </c>
      <c r="O77" s="130"/>
      <c r="P77" s="130"/>
      <c r="Q77" s="130">
        <f>IF(SUMIFS(Data!$N$2:$N$1201,Data!$E$2:$E$1201,"timed")=0,"",SUMIFS(Data!$N$2:$N$1201,Data!$Q$2:$Q$1201,12,Data!$R$2:$R$1201,5)/60)</f>
        <v>2.1116666666666668</v>
      </c>
      <c r="R77" s="130"/>
      <c r="S77" s="130"/>
      <c r="T77" s="130">
        <f>IF(SUMIFS(Data!$N$2:$N$1201,Data!$E$2:$E$1201,"timed")=0,"",SUMIFS(Data!$N$2:$N$1201,Data!$Q$2:$Q$1201,12,Data!$R$2:$R$1201,6)/60)</f>
        <v>0</v>
      </c>
      <c r="U77" s="130"/>
      <c r="V77" s="130"/>
      <c r="W77" s="130">
        <f>IF(SUMIFS(Data!$N$2:$N$1201,Data!$E$2:$E$1201,"timed")=0,"",SUMIFS(Data!$N$2:$N$1201,Data!$Q$2:$Q$1201,12,Data!$R$2:$R$1201,7)/60)</f>
        <v>0</v>
      </c>
      <c r="X77" s="130"/>
      <c r="Y77" s="130"/>
      <c r="Z77" s="1"/>
    </row>
    <row r="78" spans="2:26" ht="15" customHeight="1" x14ac:dyDescent="0.25">
      <c r="B78" s="1"/>
      <c r="C78" s="129"/>
      <c r="D78" s="129"/>
      <c r="E78" s="130">
        <f>IF(SUMIFS(Data!$N$2:$N$1201,Data!$E$2:$E$1201,"timed")=0,"",SUMIFS(Data!$N$2:$N$1201,Data!$Q$2:$Q$1201,13,Data!$R$2:$R$1201,1)/60)</f>
        <v>0</v>
      </c>
      <c r="F78" s="130"/>
      <c r="G78" s="130"/>
      <c r="H78" s="130">
        <f>IF(SUMIFS(Data!$N$2:$N$1201,Data!$E$2:$E$1201,"timed")=0,"",SUMIFS(Data!$N$2:$N$1201,Data!$Q$2:$Q$1201,13,Data!$R$2:$R$1201,2)/60)</f>
        <v>0.83750000000000002</v>
      </c>
      <c r="I78" s="130"/>
      <c r="J78" s="130"/>
      <c r="K78" s="130">
        <f>IF(SUMIFS(Data!$N$2:$N$1201,Data!$E$2:$E$1201,"timed")=0,"",SUMIFS(Data!$N$2:$N$1201,Data!$Q$2:$Q$1201,13,Data!$R$2:$R$1201,3)/60)</f>
        <v>1.3516666666666666</v>
      </c>
      <c r="L78" s="130"/>
      <c r="M78" s="130"/>
      <c r="N78" s="130">
        <f>IF(SUMIFS(Data!$N$2:$N$1201,Data!$E$2:$E$1201,"timed")=0,"",SUMIFS(Data!$N$2:$N$1201,Data!$Q$2:$Q$1201,13,Data!$R$2:$R$1201,4)/60)</f>
        <v>0.8125</v>
      </c>
      <c r="O78" s="130"/>
      <c r="P78" s="130"/>
      <c r="Q78" s="130">
        <f>IF(SUMIFS(Data!$N$2:$N$1201,Data!$E$2:$E$1201,"timed")=0,"",SUMIFS(Data!$N$2:$N$1201,Data!$Q$2:$Q$1201,13,Data!$R$2:$R$1201,5)/60)</f>
        <v>0</v>
      </c>
      <c r="R78" s="130"/>
      <c r="S78" s="130"/>
      <c r="T78" s="130">
        <f>IF(SUMIFS(Data!$N$2:$N$1201,Data!$E$2:$E$1201,"timed")=0,"",SUMIFS(Data!$N$2:$N$1201,Data!$Q$2:$Q$1201,13,Data!$R$2:$R$1201,6)/60)</f>
        <v>0</v>
      </c>
      <c r="U78" s="130"/>
      <c r="V78" s="130"/>
      <c r="W78" s="130">
        <f>IF(SUMIFS(Data!$N$2:$N$1201,Data!$E$2:$E$1201,"timed")=0,"",SUMIFS(Data!$N$2:$N$1201,Data!$Q$2:$Q$1201,13,Data!$R$2:$R$1201,7)/60)</f>
        <v>0</v>
      </c>
      <c r="X78" s="130"/>
      <c r="Y78" s="130"/>
      <c r="Z78" s="1"/>
    </row>
    <row r="79" spans="2:26" ht="15" customHeight="1" x14ac:dyDescent="0.25">
      <c r="B79" s="1"/>
      <c r="C79" s="129" t="s">
        <v>69</v>
      </c>
      <c r="D79" s="129"/>
      <c r="E79" s="130">
        <f>IF(SUMIFS(Data!$N$2:$N$1201,Data!$E$2:$E$1201,"timed")=0,"",SUMIFS(Data!$N$2:$N$1201,Data!$Q$2:$Q$1201,14,Data!$R$2:$R$1201,1)/60)</f>
        <v>0.32200000000000001</v>
      </c>
      <c r="F79" s="130"/>
      <c r="G79" s="130"/>
      <c r="H79" s="130">
        <f>IF(SUMIFS(Data!$N$2:$N$1201,Data!$E$2:$E$1201,"timed")=0,"",SUMIFS(Data!$N$2:$N$1201,Data!$Q$2:$Q$1201,14,Data!$R$2:$R$1201,2)/60)</f>
        <v>1.9346666666666665</v>
      </c>
      <c r="I79" s="130"/>
      <c r="J79" s="130"/>
      <c r="K79" s="130">
        <f>IF(SUMIFS(Data!$N$2:$N$1201,Data!$E$2:$E$1201,"timed")=0,"",SUMIFS(Data!$N$2:$N$1201,Data!$Q$2:$Q$1201,14,Data!$R$2:$R$1201,3)/60)</f>
        <v>0</v>
      </c>
      <c r="L79" s="130"/>
      <c r="M79" s="130"/>
      <c r="N79" s="130">
        <f>IF(SUMIFS(Data!$N$2:$N$1201,Data!$E$2:$E$1201,"timed")=0,"",SUMIFS(Data!$N$2:$N$1201,Data!$Q$2:$Q$1201,14,Data!$R$2:$R$1201,4)/60)</f>
        <v>1.1013333333333333</v>
      </c>
      <c r="O79" s="130"/>
      <c r="P79" s="130"/>
      <c r="Q79" s="130">
        <f>IF(SUMIFS(Data!$N$2:$N$1201,Data!$E$2:$E$1201,"timed")=0,"",SUMIFS(Data!$N$2:$N$1201,Data!$Q$2:$Q$1201,14,Data!$R$2:$R$1201,5)/60)</f>
        <v>1.6495</v>
      </c>
      <c r="R79" s="130"/>
      <c r="S79" s="130"/>
      <c r="T79" s="130">
        <f>IF(SUMIFS(Data!$N$2:$N$1201,Data!$E$2:$E$1201,"timed")=0,"",SUMIFS(Data!$N$2:$N$1201,Data!$Q$2:$Q$1201,14,Data!$R$2:$R$1201,6)/60)</f>
        <v>0</v>
      </c>
      <c r="U79" s="130"/>
      <c r="V79" s="130"/>
      <c r="W79" s="130">
        <f>IF(SUMIFS(Data!$N$2:$N$1201,Data!$E$2:$E$1201,"timed")=0,"",SUMIFS(Data!$N$2:$N$1201,Data!$Q$2:$Q$1201,14,Data!$R$2:$R$1201,7)/60)</f>
        <v>0</v>
      </c>
      <c r="X79" s="130"/>
      <c r="Y79" s="130"/>
      <c r="Z79" s="1"/>
    </row>
    <row r="80" spans="2:26" ht="15" customHeight="1" x14ac:dyDescent="0.25">
      <c r="B80" s="1"/>
      <c r="C80" s="129"/>
      <c r="D80" s="129"/>
      <c r="E80" s="130">
        <f>IF(SUMIFS(Data!$N$2:$N$1201,Data!$E$2:$E$1201,"timed")=0,"",SUMIFS(Data!$N$2:$N$1201,Data!$Q$2:$Q$1201,15,Data!$R$2:$R$1201,1)/60)</f>
        <v>0.86716666666666664</v>
      </c>
      <c r="F80" s="130"/>
      <c r="G80" s="130"/>
      <c r="H80" s="130">
        <f>IF(SUMIFS(Data!$N$2:$N$1201,Data!$E$2:$E$1201,"timed")=0,"",SUMIFS(Data!$N$2:$N$1201,Data!$Q$2:$Q$1201,15,Data!$R$2:$R$1201,2)/60)</f>
        <v>0.34066666666666667</v>
      </c>
      <c r="I80" s="130"/>
      <c r="J80" s="130"/>
      <c r="K80" s="130">
        <f>IF(SUMIFS(Data!$N$2:$N$1201,Data!$E$2:$E$1201,"timed")=0,"",SUMIFS(Data!$N$2:$N$1201,Data!$Q$2:$Q$1201,15,Data!$R$2:$R$1201,3)/60)</f>
        <v>0.16900000000000001</v>
      </c>
      <c r="L80" s="130"/>
      <c r="M80" s="130"/>
      <c r="N80" s="130">
        <f>IF(SUMIFS(Data!$N$2:$N$1201,Data!$E$2:$E$1201,"timed")=0,"",SUMIFS(Data!$N$2:$N$1201,Data!$Q$2:$Q$1201,15,Data!$R$2:$R$1201,4)/60)</f>
        <v>0.73716666666666664</v>
      </c>
      <c r="O80" s="130"/>
      <c r="P80" s="130"/>
      <c r="Q80" s="130">
        <f>IF(SUMIFS(Data!$N$2:$N$1201,Data!$E$2:$E$1201,"timed")=0,"",SUMIFS(Data!$N$2:$N$1201,Data!$Q$2:$Q$1201,15,Data!$R$2:$R$1201,5)/60)</f>
        <v>0.18183333333333335</v>
      </c>
      <c r="R80" s="130"/>
      <c r="S80" s="130"/>
      <c r="T80" s="130">
        <f>IF(SUMIFS(Data!$N$2:$N$1201,Data!$E$2:$E$1201,"timed")=0,"",SUMIFS(Data!$N$2:$N$1201,Data!$Q$2:$Q$1201,15,Data!$R$2:$R$1201,6)/60)</f>
        <v>0</v>
      </c>
      <c r="U80" s="130"/>
      <c r="V80" s="130"/>
      <c r="W80" s="130">
        <f>IF(SUMIFS(Data!$N$2:$N$1201,Data!$E$2:$E$1201,"timed")=0,"",SUMIFS(Data!$N$2:$N$1201,Data!$Q$2:$Q$1201,15,Data!$R$2:$R$1201,7)/60)</f>
        <v>0</v>
      </c>
      <c r="X80" s="130"/>
      <c r="Y80" s="130"/>
      <c r="Z80" s="1"/>
    </row>
    <row r="81" spans="2:26" ht="15" customHeight="1" x14ac:dyDescent="0.25">
      <c r="B81" s="1"/>
      <c r="C81" s="129" t="s">
        <v>70</v>
      </c>
      <c r="D81" s="129"/>
      <c r="E81" s="130">
        <f>IF(SUMIFS(Data!$N$2:$N$1201,Data!$E$2:$E$1201,"timed")=0,"",SUMIFS(Data!$N$2:$N$1201,Data!$Q$2:$Q$1201,16,Data!$R$2:$R$1201,1)/60)</f>
        <v>0</v>
      </c>
      <c r="F81" s="130"/>
      <c r="G81" s="130"/>
      <c r="H81" s="130">
        <f>IF(SUMIFS(Data!$N$2:$N$1201,Data!$E$2:$E$1201,"timed")=0,"",SUMIFS(Data!$N$2:$N$1201,Data!$Q$2:$Q$1201,16,Data!$R$2:$R$1201,2)/60)</f>
        <v>6.8333333333333329E-2</v>
      </c>
      <c r="I81" s="130"/>
      <c r="J81" s="130"/>
      <c r="K81" s="130">
        <f>IF(SUMIFS(Data!$N$2:$N$1201,Data!$E$2:$E$1201,"timed")=0,"",SUMIFS(Data!$N$2:$N$1201,Data!$Q$2:$Q$1201,16,Data!$R$2:$R$1201,3)/60)</f>
        <v>0</v>
      </c>
      <c r="L81" s="130"/>
      <c r="M81" s="130"/>
      <c r="N81" s="130">
        <f>IF(SUMIFS(Data!$N$2:$N$1201,Data!$E$2:$E$1201,"timed")=0,"",SUMIFS(Data!$N$2:$N$1201,Data!$Q$2:$Q$1201,16,Data!$R$2:$R$1201,4)/60)</f>
        <v>0.7536666666666666</v>
      </c>
      <c r="O81" s="130"/>
      <c r="P81" s="130"/>
      <c r="Q81" s="130">
        <f>IF(SUMIFS(Data!$N$2:$N$1201,Data!$E$2:$E$1201,"timed")=0,"",SUMIFS(Data!$N$2:$N$1201,Data!$Q$2:$Q$1201,16,Data!$R$2:$R$1201,5)/60)</f>
        <v>2E-3</v>
      </c>
      <c r="R81" s="130"/>
      <c r="S81" s="130"/>
      <c r="T81" s="130">
        <f>IF(SUMIFS(Data!$N$2:$N$1201,Data!$E$2:$E$1201,"timed")=0,"",SUMIFS(Data!$N$2:$N$1201,Data!$Q$2:$Q$1201,16,Data!$R$2:$R$1201,6)/60)</f>
        <v>0</v>
      </c>
      <c r="U81" s="130"/>
      <c r="V81" s="130"/>
      <c r="W81" s="130">
        <f>IF(SUMIFS(Data!$N$2:$N$1201,Data!$E$2:$E$1201,"timed")=0,"",SUMIFS(Data!$N$2:$N$1201,Data!$Q$2:$Q$1201,16,Data!$R$2:$R$1201,7)/60)</f>
        <v>0</v>
      </c>
      <c r="X81" s="130"/>
      <c r="Y81" s="130"/>
      <c r="Z81" s="1"/>
    </row>
    <row r="82" spans="2:26" ht="15" customHeight="1" x14ac:dyDescent="0.25">
      <c r="B82" s="1"/>
      <c r="C82" s="129"/>
      <c r="D82" s="129"/>
      <c r="E82" s="130">
        <f>IF(SUMIFS(Data!$N$2:$N$1201,Data!$E$2:$E$1201,"timed")=0,"",SUMIFS(Data!$N$2:$N$1201,Data!$Q$2:$Q$1201,17,Data!$R$2:$R$1201,1)/60)</f>
        <v>1.1666666666666668E-3</v>
      </c>
      <c r="F82" s="130"/>
      <c r="G82" s="130"/>
      <c r="H82" s="130">
        <f>IF(SUMIFS(Data!$N$2:$N$1201,Data!$E$2:$E$1201,"timed")=0,"",SUMIFS(Data!$N$2:$N$1201,Data!$Q$2:$Q$1201,17,Data!$R$2:$R$1201,2)/60)</f>
        <v>0</v>
      </c>
      <c r="I82" s="130"/>
      <c r="J82" s="130"/>
      <c r="K82" s="130">
        <f>IF(SUMIFS(Data!$N$2:$N$1201,Data!$E$2:$E$1201,"timed")=0,"",SUMIFS(Data!$N$2:$N$1201,Data!$Q$2:$Q$1201,17,Data!$R$2:$R$1201,3)/60)</f>
        <v>0</v>
      </c>
      <c r="L82" s="130"/>
      <c r="M82" s="130"/>
      <c r="N82" s="130">
        <f>IF(SUMIFS(Data!$N$2:$N$1201,Data!$E$2:$E$1201,"timed")=0,"",SUMIFS(Data!$N$2:$N$1201,Data!$Q$2:$Q$1201,17,Data!$R$2:$R$1201,4)/60)</f>
        <v>0</v>
      </c>
      <c r="O82" s="130"/>
      <c r="P82" s="130"/>
      <c r="Q82" s="130">
        <f>IF(SUMIFS(Data!$N$2:$N$1201,Data!$E$2:$E$1201,"timed")=0,"",SUMIFS(Data!$N$2:$N$1201,Data!$Q$2:$Q$1201,17,Data!$R$2:$R$1201,5)/60)</f>
        <v>0</v>
      </c>
      <c r="R82" s="130"/>
      <c r="S82" s="130"/>
      <c r="T82" s="130">
        <f>IF(SUMIFS(Data!$N$2:$N$1201,Data!$E$2:$E$1201,"timed")=0,"",SUMIFS(Data!$N$2:$N$1201,Data!$Q$2:$Q$1201,17,Data!$R$2:$R$1201,6)/60)</f>
        <v>0</v>
      </c>
      <c r="U82" s="130"/>
      <c r="V82" s="130"/>
      <c r="W82" s="130">
        <f>IF(SUMIFS(Data!$N$2:$N$1201,Data!$E$2:$E$1201,"timed")=0,"",SUMIFS(Data!$N$2:$N$1201,Data!$Q$2:$Q$1201,17,Data!$R$2:$R$1201,7)/60)</f>
        <v>0</v>
      </c>
      <c r="X82" s="130"/>
      <c r="Y82" s="130"/>
      <c r="Z82" s="1"/>
    </row>
    <row r="83" spans="2:26" ht="15" customHeight="1" x14ac:dyDescent="0.25">
      <c r="B83" s="1"/>
      <c r="C83" s="129" t="s">
        <v>71</v>
      </c>
      <c r="D83" s="129"/>
      <c r="E83" s="130">
        <f>IF(SUMIFS(Data!$N$2:$N$1201,Data!$E$2:$E$1201,"timed")=0,"",SUMIFS(Data!$N$2:$N$1201,Data!$Q$2:$Q$1201,18,Data!$R$2:$R$1201,1)/60)</f>
        <v>0</v>
      </c>
      <c r="F83" s="130"/>
      <c r="G83" s="130"/>
      <c r="H83" s="130">
        <f>IF(SUMIFS(Data!$N$2:$N$1201,Data!$E$2:$E$1201,"timed")=0,"",SUMIFS(Data!$N$2:$N$1201,Data!$Q$2:$Q$1201,18,Data!$R$2:$R$1201,2)/60)</f>
        <v>0</v>
      </c>
      <c r="I83" s="130"/>
      <c r="J83" s="130"/>
      <c r="K83" s="130">
        <f>IF(SUMIFS(Data!$N$2:$N$1201,Data!$E$2:$E$1201,"timed")=0,"",SUMIFS(Data!$N$2:$N$1201,Data!$Q$2:$Q$1201,18,Data!$R$2:$R$1201,3)/60)</f>
        <v>0</v>
      </c>
      <c r="L83" s="130"/>
      <c r="M83" s="130"/>
      <c r="N83" s="130">
        <f>IF(SUMIFS(Data!$N$2:$N$1201,Data!$E$2:$E$1201,"timed")=0,"",SUMIFS(Data!$N$2:$N$1201,Data!$Q$2:$Q$1201,18,Data!$R$2:$R$1201,4)/60)</f>
        <v>0</v>
      </c>
      <c r="O83" s="130"/>
      <c r="P83" s="130"/>
      <c r="Q83" s="130">
        <f>IF(SUMIFS(Data!$N$2:$N$1201,Data!$E$2:$E$1201,"timed")=0,"",SUMIFS(Data!$N$2:$N$1201,Data!$Q$2:$Q$1201,18,Data!$R$2:$R$1201,5)/60)</f>
        <v>0</v>
      </c>
      <c r="R83" s="130"/>
      <c r="S83" s="130"/>
      <c r="T83" s="130">
        <f>IF(SUMIFS(Data!$N$2:$N$1201,Data!$E$2:$E$1201,"timed")=0,"",SUMIFS(Data!$N$2:$N$1201,Data!$Q$2:$Q$1201,18,Data!$R$2:$R$1201,6)/60)</f>
        <v>0</v>
      </c>
      <c r="U83" s="130"/>
      <c r="V83" s="130"/>
      <c r="W83" s="130">
        <f>IF(SUMIFS(Data!$N$2:$N$1201,Data!$E$2:$E$1201,"timed")=0,"",SUMIFS(Data!$N$2:$N$1201,Data!$Q$2:$Q$1201,18,Data!$R$2:$R$1201,7)/60)</f>
        <v>0</v>
      </c>
      <c r="X83" s="130"/>
      <c r="Y83" s="130"/>
      <c r="Z83" s="1"/>
    </row>
    <row r="84" spans="2:26" ht="15" customHeight="1" x14ac:dyDescent="0.25">
      <c r="B84" s="1"/>
      <c r="C84" s="129"/>
      <c r="D84" s="129"/>
      <c r="E84" s="130">
        <f>IF(SUMIFS(Data!$N$2:$N$1201,Data!$E$2:$E$1201,"timed")=0,"",SUMIFS(Data!$N$2:$N$1201,Data!$Q$2:$Q$1201,19,Data!$R$2:$R$1201,1)/60)</f>
        <v>0</v>
      </c>
      <c r="F84" s="130"/>
      <c r="G84" s="130"/>
      <c r="H84" s="130">
        <f>IF(SUMIFS(Data!$N$2:$N$1201,Data!$E$2:$E$1201,"timed")=0,"",SUMIFS(Data!$N$2:$N$1201,Data!$Q$2:$Q$1201,19,Data!$R$2:$R$1201,2)/60)</f>
        <v>0</v>
      </c>
      <c r="I84" s="130"/>
      <c r="J84" s="130"/>
      <c r="K84" s="130">
        <f>IF(SUMIFS(Data!$N$2:$N$1201,Data!$E$2:$E$1201,"timed")=0,"",SUMIFS(Data!$N$2:$N$1201,Data!$Q$2:$Q$1201,19,Data!$R$2:$R$1201,3)/60)</f>
        <v>0</v>
      </c>
      <c r="L84" s="130"/>
      <c r="M84" s="130"/>
      <c r="N84" s="130">
        <f>IF(SUMIFS(Data!$N$2:$N$1201,Data!$E$2:$E$1201,"timed")=0,"",SUMIFS(Data!$N$2:$N$1201,Data!$Q$2:$Q$1201,19,Data!$R$2:$R$1201,4)/60)</f>
        <v>0</v>
      </c>
      <c r="O84" s="130"/>
      <c r="P84" s="130"/>
      <c r="Q84" s="130">
        <f>IF(SUMIFS(Data!$N$2:$N$1201,Data!$E$2:$E$1201,"timed")=0,"",SUMIFS(Data!$N$2:$N$1201,Data!$Q$2:$Q$1201,19,Data!$R$2:$R$1201,5)/60)</f>
        <v>0</v>
      </c>
      <c r="R84" s="130"/>
      <c r="S84" s="130"/>
      <c r="T84" s="130">
        <f>IF(SUMIFS(Data!$N$2:$N$1201,Data!$E$2:$E$1201,"timed")=0,"",SUMIFS(Data!$N$2:$N$1201,Data!$Q$2:$Q$1201,19,Data!$R$2:$R$1201,6)/60)</f>
        <v>0</v>
      </c>
      <c r="U84" s="130"/>
      <c r="V84" s="130"/>
      <c r="W84" s="130">
        <f>IF(SUMIFS(Data!$N$2:$N$1201,Data!$E$2:$E$1201,"timed")=0,"",SUMIFS(Data!$N$2:$N$1201,Data!$Q$2:$Q$1201,19,Data!$R$2:$R$1201,7)/60)</f>
        <v>0</v>
      </c>
      <c r="X84" s="130"/>
      <c r="Y84" s="130"/>
      <c r="Z84" s="1"/>
    </row>
    <row r="85" spans="2:26" ht="15" customHeight="1" x14ac:dyDescent="0.25">
      <c r="B85" s="1"/>
      <c r="C85" s="129" t="s">
        <v>72</v>
      </c>
      <c r="D85" s="129"/>
      <c r="E85" s="130">
        <f>IF(SUMIFS(Data!$N$2:$N$1201,Data!$E$2:$E$1201,"timed")=0,"",SUMIFS(Data!$N$2:$N$1201,Data!$Q$2:$Q$1201,20,Data!$R$2:$R$1201,1)/60)</f>
        <v>0</v>
      </c>
      <c r="F85" s="130"/>
      <c r="G85" s="130"/>
      <c r="H85" s="130">
        <f>IF(SUMIFS(Data!$N$2:$N$1201,Data!$E$2:$E$1201,"timed")=0,"",SUMIFS(Data!$N$2:$N$1201,Data!$Q$2:$Q$1201,20,Data!$R$2:$R$1201,2)/60)</f>
        <v>0</v>
      </c>
      <c r="I85" s="130"/>
      <c r="J85" s="130"/>
      <c r="K85" s="130">
        <f>IF(SUMIFS(Data!$N$2:$N$1201,Data!$E$2:$E$1201,"timed")=0,"",SUMIFS(Data!$N$2:$N$1201,Data!$Q$2:$Q$1201,20,Data!$R$2:$R$1201,3)/60)</f>
        <v>0</v>
      </c>
      <c r="L85" s="130"/>
      <c r="M85" s="130"/>
      <c r="N85" s="130">
        <f>IF(SUMIFS(Data!$N$2:$N$1201,Data!$E$2:$E$1201,"timed")=0,"",SUMIFS(Data!$N$2:$N$1201,Data!$Q$2:$Q$1201,20,Data!$R$2:$R$1201,4)/60)</f>
        <v>0</v>
      </c>
      <c r="O85" s="130"/>
      <c r="P85" s="130"/>
      <c r="Q85" s="130">
        <f>IF(SUMIFS(Data!$N$2:$N$1201,Data!$E$2:$E$1201,"timed")=0,"",SUMIFS(Data!$N$2:$N$1201,Data!$Q$2:$Q$1201,20,Data!$R$2:$R$1201,5)/60)</f>
        <v>0</v>
      </c>
      <c r="R85" s="130"/>
      <c r="S85" s="130"/>
      <c r="T85" s="130">
        <f>IF(SUMIFS(Data!$N$2:$N$1201,Data!$E$2:$E$1201,"timed")=0,"",SUMIFS(Data!$N$2:$N$1201,Data!$Q$2:$Q$1201,20,Data!$R$2:$R$1201,6)/60)</f>
        <v>0</v>
      </c>
      <c r="U85" s="130"/>
      <c r="V85" s="130"/>
      <c r="W85" s="130">
        <f>IF(SUMIFS(Data!$N$2:$N$1201,Data!$E$2:$E$1201,"timed")=0,"",SUMIFS(Data!$N$2:$N$1201,Data!$Q$2:$Q$1201,20,Data!$R$2:$R$1201,7)/60)</f>
        <v>0</v>
      </c>
      <c r="X85" s="130"/>
      <c r="Y85" s="130"/>
      <c r="Z85" s="1"/>
    </row>
    <row r="86" spans="2:26" ht="15" customHeight="1" x14ac:dyDescent="0.25">
      <c r="B86" s="1"/>
      <c r="C86" s="129"/>
      <c r="D86" s="129"/>
      <c r="E86" s="130">
        <f>IF(SUMIFS(Data!$N$2:$N$1201,Data!$E$2:$E$1201,"timed")=0,"",SUMIFS(Data!$N$2:$N$1201,Data!$Q$2:$Q$1201,21,Data!$R$2:$R$1201,1)/60)</f>
        <v>0</v>
      </c>
      <c r="F86" s="130"/>
      <c r="G86" s="130"/>
      <c r="H86" s="130">
        <f>IF(SUMIFS(Data!$N$2:$N$1201,Data!$E$2:$E$1201,"timed")=0,"",SUMIFS(Data!$N$2:$N$1201,Data!$Q$2:$Q$1201,21,Data!$R$2:$R$1201,2)/60)</f>
        <v>0</v>
      </c>
      <c r="I86" s="130"/>
      <c r="J86" s="130"/>
      <c r="K86" s="130">
        <f>IF(SUMIFS(Data!$N$2:$N$1201,Data!$E$2:$E$1201,"timed")=0,"",SUMIFS(Data!$N$2:$N$1201,Data!$Q$2:$Q$1201,21,Data!$R$2:$R$1201,3)/60)</f>
        <v>0</v>
      </c>
      <c r="L86" s="130"/>
      <c r="M86" s="130"/>
      <c r="N86" s="130">
        <f>IF(SUMIFS(Data!$N$2:$N$1201,Data!$E$2:$E$1201,"timed")=0,"",SUMIFS(Data!$N$2:$N$1201,Data!$Q$2:$Q$1201,21,Data!$R$2:$R$1201,4)/60)</f>
        <v>0</v>
      </c>
      <c r="O86" s="130"/>
      <c r="P86" s="130"/>
      <c r="Q86" s="130">
        <f>IF(SUMIFS(Data!$N$2:$N$1201,Data!$E$2:$E$1201,"timed")=0,"",SUMIFS(Data!$N$2:$N$1201,Data!$Q$2:$Q$1201,21,Data!$R$2:$R$1201,5)/60)</f>
        <v>0</v>
      </c>
      <c r="R86" s="130"/>
      <c r="S86" s="130"/>
      <c r="T86" s="130">
        <f>IF(SUMIFS(Data!$N$2:$N$1201,Data!$E$2:$E$1201,"timed")=0,"",SUMIFS(Data!$N$2:$N$1201,Data!$Q$2:$Q$1201,21,Data!$R$2:$R$1201,6)/60)</f>
        <v>0</v>
      </c>
      <c r="U86" s="130"/>
      <c r="V86" s="130"/>
      <c r="W86" s="130">
        <f>IF(SUMIFS(Data!$N$2:$N$1201,Data!$E$2:$E$1201,"timed")=0,"",SUMIFS(Data!$N$2:$N$1201,Data!$Q$2:$Q$1201,21,Data!$R$2:$R$1201,7)/60)</f>
        <v>0</v>
      </c>
      <c r="X86" s="130"/>
      <c r="Y86" s="130"/>
      <c r="Z86" s="1"/>
    </row>
    <row r="87" spans="2:26" ht="15" customHeight="1" x14ac:dyDescent="0.25">
      <c r="B87" s="1"/>
      <c r="C87" s="129" t="s">
        <v>73</v>
      </c>
      <c r="D87" s="129"/>
      <c r="E87" s="130">
        <f>IF(SUMIFS(Data!$N$2:$N$1201,Data!$E$2:$E$1201,"timed")=0,"",SUMIFS(Data!$N$2:$N$1201,Data!$Q$2:$Q$1201,22,Data!$R$2:$R$1201,1)/60)</f>
        <v>0</v>
      </c>
      <c r="F87" s="130"/>
      <c r="G87" s="130"/>
      <c r="H87" s="130">
        <f>IF(SUMIFS(Data!$N$2:$N$1201,Data!$E$2:$E$1201,"timed")=0,"",SUMIFS(Data!$N$2:$N$1201,Data!$Q$2:$Q$1201,22,Data!$R$2:$R$1201,2)/60)</f>
        <v>0</v>
      </c>
      <c r="I87" s="130"/>
      <c r="J87" s="130"/>
      <c r="K87" s="130">
        <f>IF(SUMIFS(Data!$N$2:$N$1201,Data!$E$2:$E$1201,"timed")=0,"",SUMIFS(Data!$N$2:$N$1201,Data!$Q$2:$Q$1201,22,Data!$R$2:$R$1201,3)/60)</f>
        <v>0</v>
      </c>
      <c r="L87" s="130"/>
      <c r="M87" s="130"/>
      <c r="N87" s="130">
        <f>IF(SUMIFS(Data!$N$2:$N$1201,Data!$E$2:$E$1201,"timed")=0,"",SUMIFS(Data!$N$2:$N$1201,Data!$Q$2:$Q$1201,22,Data!$R$2:$R$1201,4)/60)</f>
        <v>0</v>
      </c>
      <c r="O87" s="130"/>
      <c r="P87" s="130"/>
      <c r="Q87" s="130">
        <f>IF(SUMIFS(Data!$N$2:$N$1201,Data!$E$2:$E$1201,"timed")=0,"",SUMIFS(Data!$N$2:$N$1201,Data!$Q$2:$Q$1201,22,Data!$R$2:$R$1201,5)/60)</f>
        <v>0</v>
      </c>
      <c r="R87" s="130"/>
      <c r="S87" s="130"/>
      <c r="T87" s="130">
        <f>IF(SUMIFS(Data!$N$2:$N$1201,Data!$E$2:$E$1201,"timed")=0,"",SUMIFS(Data!$N$2:$N$1201,Data!$Q$2:$Q$1201,22,Data!$R$2:$R$1201,6)/60)</f>
        <v>0</v>
      </c>
      <c r="U87" s="130"/>
      <c r="V87" s="130"/>
      <c r="W87" s="130">
        <f>IF(SUMIFS(Data!$N$2:$N$1201,Data!$E$2:$E$1201,"timed")=0,"",SUMIFS(Data!$N$2:$N$1201,Data!$Q$2:$Q$1201,22,Data!$R$2:$R$1201,7)/60)</f>
        <v>0</v>
      </c>
      <c r="X87" s="130"/>
      <c r="Y87" s="130"/>
      <c r="Z87" s="1"/>
    </row>
    <row r="88" spans="2:26" ht="15" customHeight="1" x14ac:dyDescent="0.25">
      <c r="B88" s="1"/>
      <c r="C88" s="129"/>
      <c r="D88" s="129"/>
      <c r="E88" s="130">
        <f>IF(SUMIFS(Data!$N$2:$N$1201,Data!$E$2:$E$1201,"timed")=0,"",SUMIFS(Data!$N$2:$N$1201,Data!$Q$2:$Q$1201,23,Data!$R$2:$R$1201,1)/60)</f>
        <v>0</v>
      </c>
      <c r="F88" s="130"/>
      <c r="G88" s="130"/>
      <c r="H88" s="130">
        <f>IF(SUMIFS(Data!$N$2:$N$1201,Data!$E$2:$E$1201,"timed")=0,"",SUMIFS(Data!$N$2:$N$1201,Data!$Q$2:$Q$1201,23,Data!$R$2:$R$1201,2)/60)</f>
        <v>0</v>
      </c>
      <c r="I88" s="130"/>
      <c r="J88" s="130"/>
      <c r="K88" s="130">
        <f>IF(SUMIFS(Data!$N$2:$N$1201,Data!$E$2:$E$1201,"timed")=0,"",SUMIFS(Data!$N$2:$N$1201,Data!$Q$2:$Q$1201,23,Data!$R$2:$R$1201,3)/60)</f>
        <v>0</v>
      </c>
      <c r="L88" s="130"/>
      <c r="M88" s="130"/>
      <c r="N88" s="130">
        <f>IF(SUMIFS(Data!$N$2:$N$1201,Data!$E$2:$E$1201,"timed")=0,"",SUMIFS(Data!$N$2:$N$1201,Data!$Q$2:$Q$1201,23,Data!$R$2:$R$1201,4)/60)</f>
        <v>0</v>
      </c>
      <c r="O88" s="130"/>
      <c r="P88" s="130"/>
      <c r="Q88" s="130">
        <f>IF(SUMIFS(Data!$N$2:$N$1201,Data!$E$2:$E$1201,"timed")=0,"",SUMIFS(Data!$N$2:$N$1201,Data!$Q$2:$Q$1201,23,Data!$R$2:$R$1201,5)/60)</f>
        <v>0</v>
      </c>
      <c r="R88" s="130"/>
      <c r="S88" s="130"/>
      <c r="T88" s="130">
        <f>IF(SUMIFS(Data!$N$2:$N$1201,Data!$E$2:$E$1201,"timed")=0,"",SUMIFS(Data!$N$2:$N$1201,Data!$Q$2:$Q$1201,23,Data!$R$2:$R$1201,6)/60)</f>
        <v>0</v>
      </c>
      <c r="U88" s="130"/>
      <c r="V88" s="130"/>
      <c r="W88" s="130">
        <f>IF(SUMIFS(Data!$N$2:$N$1201,Data!$E$2:$E$1201,"timed")=0,"",SUMIFS(Data!$N$2:$N$1201,Data!$Q$2:$Q$1201,23,Data!$R$2:$R$1201,7)/60)</f>
        <v>0</v>
      </c>
      <c r="X88" s="130"/>
      <c r="Y88" s="130"/>
      <c r="Z88" s="1"/>
    </row>
    <row r="89" spans="2:26" ht="7.5" customHeight="1" x14ac:dyDescent="0.25">
      <c r="B89" s="1"/>
      <c r="C89" s="9"/>
      <c r="D89" s="23"/>
      <c r="E89" s="23"/>
      <c r="F89" s="23"/>
      <c r="G89" s="23"/>
      <c r="H89" s="23"/>
      <c r="I89" s="23"/>
      <c r="J89" s="23"/>
      <c r="K89" s="23"/>
      <c r="L89" s="23"/>
      <c r="M89" s="23"/>
      <c r="N89" s="23"/>
      <c r="O89" s="23"/>
      <c r="P89" s="23"/>
      <c r="Q89" s="23"/>
      <c r="R89" s="23"/>
      <c r="S89" s="23"/>
      <c r="T89" s="23"/>
      <c r="U89" s="23"/>
      <c r="V89" s="23"/>
      <c r="W89" s="23"/>
      <c r="X89" s="23"/>
      <c r="Y89" s="11"/>
      <c r="Z89" s="1"/>
    </row>
    <row r="90" spans="2:26" ht="7.5" customHeight="1" x14ac:dyDescent="0.25">
      <c r="B90" s="1"/>
      <c r="C90" s="135" t="s">
        <v>74</v>
      </c>
      <c r="D90" s="135"/>
      <c r="E90" s="135"/>
      <c r="F90" s="25"/>
      <c r="G90" s="26"/>
      <c r="H90" s="27"/>
      <c r="I90" s="28"/>
      <c r="J90" s="29"/>
      <c r="K90" s="30"/>
      <c r="L90" s="31"/>
      <c r="M90" s="136" t="s">
        <v>75</v>
      </c>
      <c r="N90" s="136"/>
      <c r="O90" s="136"/>
      <c r="P90" s="13"/>
      <c r="Q90" s="13"/>
      <c r="R90" s="13"/>
      <c r="S90" s="13"/>
      <c r="T90" s="13"/>
      <c r="U90" s="13"/>
      <c r="V90" s="13"/>
      <c r="W90" s="13"/>
      <c r="X90" s="13"/>
      <c r="Y90" s="14"/>
      <c r="Z90" s="1"/>
    </row>
    <row r="91" spans="2:26" x14ac:dyDescent="0.25">
      <c r="B91" s="1"/>
      <c r="C91" s="1"/>
      <c r="D91" s="1"/>
      <c r="E91" s="1"/>
      <c r="F91" s="1"/>
      <c r="G91" s="1"/>
      <c r="H91" s="1"/>
      <c r="I91" s="1"/>
      <c r="J91" s="1"/>
      <c r="K91" s="1"/>
      <c r="L91" s="1"/>
      <c r="M91" s="1"/>
      <c r="N91" s="1"/>
      <c r="O91" s="1"/>
      <c r="P91" s="1"/>
      <c r="Q91" s="1"/>
      <c r="R91" s="1"/>
      <c r="S91" s="1"/>
      <c r="T91" s="1"/>
      <c r="U91" s="1"/>
      <c r="V91" s="1"/>
      <c r="W91" s="1"/>
      <c r="X91" s="1"/>
      <c r="Y91" s="1"/>
      <c r="Z91" s="1"/>
    </row>
    <row r="92" spans="2:26" x14ac:dyDescent="0.25">
      <c r="B92" s="1"/>
      <c r="C92" s="114" t="s">
        <v>76</v>
      </c>
      <c r="D92" s="114"/>
      <c r="E92" s="114"/>
      <c r="F92" s="114"/>
      <c r="G92" s="114"/>
      <c r="H92" s="114"/>
      <c r="I92" s="114"/>
      <c r="J92" s="114"/>
      <c r="K92" s="114"/>
      <c r="L92" s="114"/>
      <c r="M92" s="20"/>
      <c r="N92" s="20"/>
      <c r="O92" s="20"/>
      <c r="P92" s="20"/>
      <c r="Q92" s="20"/>
      <c r="R92" s="20"/>
      <c r="S92" s="20"/>
      <c r="T92" s="20"/>
      <c r="U92" s="20"/>
      <c r="V92" s="20"/>
      <c r="W92" s="20"/>
      <c r="X92" s="20"/>
      <c r="Y92" s="20"/>
      <c r="Z92" s="32">
        <f>IFERROR(PERCENTILE(Rhythm!$C$216:$I$239,0.9)+0.6*(PERCENTILE(Rhythm!$C$216:$I$239,0.98)-PERCENTILE(Rhythm!$C$216:$I$239,0.9)),1E+99)</f>
        <v>1.6640986666666664</v>
      </c>
    </row>
    <row r="93" spans="2:26" x14ac:dyDescent="0.25">
      <c r="B93" s="1"/>
      <c r="C93" s="125" t="s">
        <v>77</v>
      </c>
      <c r="D93" s="125"/>
      <c r="E93" s="125"/>
      <c r="F93" s="125"/>
      <c r="G93" s="125"/>
      <c r="H93" s="125"/>
      <c r="I93" s="125"/>
      <c r="J93" s="125"/>
      <c r="K93" s="125"/>
      <c r="L93" s="125"/>
      <c r="M93" s="125"/>
      <c r="N93" s="125"/>
      <c r="O93" s="125"/>
      <c r="P93" s="125"/>
      <c r="Q93" s="125"/>
      <c r="R93" s="125"/>
      <c r="S93" s="125"/>
      <c r="T93" s="125"/>
      <c r="U93" s="125"/>
      <c r="V93" s="125"/>
      <c r="W93" s="125"/>
      <c r="X93" s="125"/>
      <c r="Y93" s="125"/>
      <c r="Z93" s="1"/>
    </row>
    <row r="94" spans="2:26" x14ac:dyDescent="0.25">
      <c r="B94" s="1"/>
      <c r="C94" s="1"/>
      <c r="D94" s="1"/>
      <c r="E94" s="1"/>
      <c r="F94" s="1"/>
      <c r="G94" s="1"/>
      <c r="H94" s="1"/>
      <c r="I94" s="1"/>
      <c r="J94" s="1"/>
      <c r="K94" s="1"/>
      <c r="L94" s="1"/>
      <c r="M94" s="1"/>
      <c r="N94" s="1"/>
      <c r="O94" s="1"/>
      <c r="P94" s="1"/>
      <c r="Q94" s="1"/>
      <c r="R94" s="1"/>
      <c r="S94" s="1"/>
      <c r="T94" s="1"/>
      <c r="U94" s="1"/>
      <c r="V94" s="1"/>
      <c r="W94" s="1"/>
      <c r="X94" s="1"/>
      <c r="Y94" s="1"/>
      <c r="Z94" s="1"/>
    </row>
    <row r="95" spans="2:26" ht="6" customHeight="1" x14ac:dyDescent="0.25">
      <c r="B95" s="1"/>
      <c r="C95" s="21"/>
      <c r="D95" s="22"/>
      <c r="E95" s="22"/>
      <c r="F95" s="22"/>
      <c r="G95" s="22"/>
      <c r="H95" s="22"/>
      <c r="I95" s="22"/>
      <c r="J95" s="22"/>
      <c r="K95" s="22"/>
      <c r="L95" s="22"/>
      <c r="M95" s="22"/>
      <c r="N95" s="22"/>
      <c r="O95" s="22"/>
      <c r="P95" s="22"/>
      <c r="Q95" s="22"/>
      <c r="R95" s="22"/>
      <c r="S95" s="22"/>
      <c r="T95" s="22"/>
      <c r="U95" s="22"/>
      <c r="V95" s="22"/>
      <c r="W95" s="22"/>
      <c r="X95" s="22"/>
      <c r="Y95" s="8"/>
      <c r="Z95" s="1"/>
    </row>
    <row r="96" spans="2:26" x14ac:dyDescent="0.25">
      <c r="B96" s="1"/>
      <c r="C96" s="137" t="s">
        <v>78</v>
      </c>
      <c r="D96" s="137"/>
      <c r="E96" s="137"/>
      <c r="F96" s="137"/>
      <c r="G96" s="137"/>
      <c r="H96" s="137"/>
      <c r="I96" s="137"/>
      <c r="J96" s="137"/>
      <c r="K96" s="137"/>
      <c r="L96" s="137"/>
      <c r="M96" s="137"/>
      <c r="N96" s="33"/>
      <c r="O96" s="138" t="s">
        <v>79</v>
      </c>
      <c r="P96" s="138"/>
      <c r="Q96" s="138"/>
      <c r="R96" s="138" t="s">
        <v>80</v>
      </c>
      <c r="S96" s="138"/>
      <c r="T96" s="138"/>
      <c r="U96" s="138" t="s">
        <v>81</v>
      </c>
      <c r="V96" s="138"/>
      <c r="W96" s="138"/>
      <c r="X96" s="138"/>
      <c r="Y96" s="138"/>
      <c r="Z96" s="1"/>
    </row>
    <row r="97" spans="2:26" ht="18.75" customHeight="1" x14ac:dyDescent="0.25">
      <c r="B97" s="1"/>
      <c r="C97" s="132" t="s">
        <v>82</v>
      </c>
      <c r="D97" s="132"/>
      <c r="E97" s="132"/>
      <c r="F97" s="132"/>
      <c r="G97" s="132"/>
      <c r="H97" s="132"/>
      <c r="I97" s="132"/>
      <c r="J97" s="132"/>
      <c r="K97" s="132"/>
      <c r="L97" s="132"/>
      <c r="M97" s="132"/>
      <c r="N97" s="34"/>
      <c r="O97" s="139">
        <f>Compare!$C$13</f>
        <v>8.2313333333333336</v>
      </c>
      <c r="P97" s="139"/>
      <c r="Q97" s="139"/>
      <c r="R97" s="140">
        <f>Compare!$F$13</f>
        <v>8.9879999999999995</v>
      </c>
      <c r="S97" s="140"/>
      <c r="T97" s="140"/>
      <c r="U97" s="131">
        <f>IF(Compare!$K$13="","",Compare!$K$13)</f>
        <v>9.192516400745121E-2</v>
      </c>
      <c r="V97" s="131"/>
      <c r="W97" s="131"/>
      <c r="X97" s="131"/>
      <c r="Y97" s="131"/>
      <c r="Z97" s="1"/>
    </row>
    <row r="98" spans="2:26" ht="18.75" customHeight="1" x14ac:dyDescent="0.25">
      <c r="B98" s="1"/>
      <c r="C98" s="132" t="s">
        <v>83</v>
      </c>
      <c r="D98" s="132"/>
      <c r="E98" s="132"/>
      <c r="F98" s="132"/>
      <c r="G98" s="132"/>
      <c r="H98" s="132"/>
      <c r="I98" s="132"/>
      <c r="J98" s="132"/>
      <c r="K98" s="132"/>
      <c r="L98" s="132"/>
      <c r="M98" s="132"/>
      <c r="N98" s="34"/>
      <c r="O98" s="133">
        <f>Compare!$C$14</f>
        <v>16.666666666666668</v>
      </c>
      <c r="P98" s="133"/>
      <c r="Q98" s="133"/>
      <c r="R98" s="134">
        <f>Compare!$F$14</f>
        <v>16.5</v>
      </c>
      <c r="S98" s="134"/>
      <c r="T98" s="134"/>
      <c r="U98" s="131">
        <f>IF(Compare!$K$14="","",Compare!$K$14)</f>
        <v>-1.000000000000012E-2</v>
      </c>
      <c r="V98" s="131"/>
      <c r="W98" s="131"/>
      <c r="X98" s="131"/>
      <c r="Y98" s="131"/>
      <c r="Z98" s="1"/>
    </row>
    <row r="99" spans="2:26" ht="18.75" customHeight="1" x14ac:dyDescent="0.25">
      <c r="B99" s="1"/>
      <c r="C99" s="132" t="s">
        <v>84</v>
      </c>
      <c r="D99" s="132"/>
      <c r="E99" s="132"/>
      <c r="F99" s="132"/>
      <c r="G99" s="132"/>
      <c r="H99" s="132"/>
      <c r="I99" s="132"/>
      <c r="J99" s="132"/>
      <c r="K99" s="132"/>
      <c r="L99" s="132"/>
      <c r="M99" s="132"/>
      <c r="N99" s="34"/>
      <c r="O99" s="154">
        <f>Compare!$C$15</f>
        <v>29.632799999999996</v>
      </c>
      <c r="P99" s="154"/>
      <c r="Q99" s="154"/>
      <c r="R99" s="155">
        <f>Compare!$F$15</f>
        <v>32.68363636363636</v>
      </c>
      <c r="S99" s="155"/>
      <c r="T99" s="155"/>
      <c r="U99" s="131">
        <f>IF(Compare!$K$15="","",Compare!$K$15)</f>
        <v>0.10295471111863752</v>
      </c>
      <c r="V99" s="131"/>
      <c r="W99" s="131"/>
      <c r="X99" s="131"/>
      <c r="Y99" s="131"/>
      <c r="Z99" s="1"/>
    </row>
    <row r="100" spans="2:26" ht="18.75" customHeight="1" x14ac:dyDescent="0.25">
      <c r="B100" s="1"/>
      <c r="C100" s="132" t="s">
        <v>85</v>
      </c>
      <c r="D100" s="132"/>
      <c r="E100" s="132"/>
      <c r="F100" s="132"/>
      <c r="G100" s="132"/>
      <c r="H100" s="132"/>
      <c r="I100" s="132"/>
      <c r="J100" s="132"/>
      <c r="K100" s="132"/>
      <c r="L100" s="132"/>
      <c r="M100" s="132"/>
      <c r="N100" s="34"/>
      <c r="O100" s="133">
        <f>Compare!$C$16</f>
        <v>15.333333333333334</v>
      </c>
      <c r="P100" s="133"/>
      <c r="Q100" s="133"/>
      <c r="R100" s="134">
        <f>Compare!$F$16</f>
        <v>13.5</v>
      </c>
      <c r="S100" s="134"/>
      <c r="T100" s="134"/>
      <c r="U100" s="131">
        <f>IF(Compare!$K$16="","",Compare!$K$16)</f>
        <v>-0.11956521739130443</v>
      </c>
      <c r="V100" s="131"/>
      <c r="W100" s="131"/>
      <c r="X100" s="131"/>
      <c r="Y100" s="131"/>
      <c r="Z100" s="1"/>
    </row>
    <row r="101" spans="2:26" ht="18.75" customHeight="1" x14ac:dyDescent="0.25">
      <c r="B101" s="1"/>
      <c r="C101" s="132" t="s">
        <v>86</v>
      </c>
      <c r="D101" s="132"/>
      <c r="E101" s="132"/>
      <c r="F101" s="132"/>
      <c r="G101" s="132"/>
      <c r="H101" s="132"/>
      <c r="I101" s="132"/>
      <c r="J101" s="132"/>
      <c r="K101" s="132"/>
      <c r="L101" s="132"/>
      <c r="M101" s="132"/>
      <c r="N101" s="34"/>
      <c r="O101" s="150">
        <f>Compare!$C$17</f>
        <v>0.6064968548365326</v>
      </c>
      <c r="P101" s="150"/>
      <c r="Q101" s="150"/>
      <c r="R101" s="151">
        <f>Compare!$F$17</f>
        <v>0.5652351283192405</v>
      </c>
      <c r="S101" s="151"/>
      <c r="T101" s="151"/>
      <c r="U101" s="131">
        <f>IF(Compare!$K$17="","",Compare!$K$17)</f>
        <v>-6.8032877974962047E-2</v>
      </c>
      <c r="V101" s="131"/>
      <c r="W101" s="131"/>
      <c r="X101" s="131"/>
      <c r="Y101" s="131"/>
      <c r="Z101" s="1"/>
    </row>
    <row r="102" spans="2:26" ht="18.75" customHeight="1" x14ac:dyDescent="0.25">
      <c r="B102" s="1"/>
      <c r="C102" s="132" t="s">
        <v>87</v>
      </c>
      <c r="D102" s="132"/>
      <c r="E102" s="132"/>
      <c r="F102" s="132"/>
      <c r="G102" s="132"/>
      <c r="H102" s="132"/>
      <c r="I102" s="132"/>
      <c r="J102" s="132"/>
      <c r="K102" s="132"/>
      <c r="L102" s="132"/>
      <c r="M102" s="132"/>
      <c r="N102" s="34"/>
      <c r="O102" s="133">
        <f>Compare!$C$18</f>
        <v>4.666666666666667</v>
      </c>
      <c r="P102" s="133"/>
      <c r="Q102" s="133"/>
      <c r="R102" s="134">
        <f>Compare!$F$18</f>
        <v>5.5</v>
      </c>
      <c r="S102" s="134"/>
      <c r="T102" s="134"/>
      <c r="U102" s="131">
        <f>IF(Compare!$K$18="","",Compare!$K$18)</f>
        <v>0.1785714285714286</v>
      </c>
      <c r="V102" s="131"/>
      <c r="W102" s="131"/>
      <c r="X102" s="131"/>
      <c r="Y102" s="131"/>
      <c r="Z102" s="1"/>
    </row>
    <row r="103" spans="2:26" ht="18.75" customHeight="1" x14ac:dyDescent="0.25">
      <c r="B103" s="1"/>
      <c r="C103" s="132" t="s">
        <v>88</v>
      </c>
      <c r="D103" s="132"/>
      <c r="E103" s="132"/>
      <c r="F103" s="132"/>
      <c r="G103" s="132"/>
      <c r="H103" s="132"/>
      <c r="I103" s="132"/>
      <c r="J103" s="132"/>
      <c r="K103" s="132"/>
      <c r="L103" s="132"/>
      <c r="M103" s="132"/>
      <c r="N103" s="34"/>
      <c r="O103" s="152">
        <f>Compare!$C$19</f>
        <v>316.24999999999994</v>
      </c>
      <c r="P103" s="152"/>
      <c r="Q103" s="152"/>
      <c r="R103" s="153">
        <f>Compare!$F$19</f>
        <v>345.32499999999999</v>
      </c>
      <c r="S103" s="153"/>
      <c r="T103" s="153"/>
      <c r="U103" s="131">
        <f>IF(Compare!$K$19="","",Compare!$K$19)</f>
        <v>9.1936758893280901E-2</v>
      </c>
      <c r="V103" s="131"/>
      <c r="W103" s="131"/>
      <c r="X103" s="131"/>
      <c r="Y103" s="131"/>
      <c r="Z103" s="1"/>
    </row>
    <row r="104" spans="2:26" ht="7.5" customHeight="1" x14ac:dyDescent="0.25">
      <c r="B104" s="1"/>
      <c r="C104" s="9"/>
      <c r="D104" s="23"/>
      <c r="E104" s="23"/>
      <c r="F104" s="23"/>
      <c r="G104" s="23"/>
      <c r="H104" s="23"/>
      <c r="I104" s="23"/>
      <c r="J104" s="23"/>
      <c r="K104" s="23"/>
      <c r="L104" s="23"/>
      <c r="M104" s="23"/>
      <c r="N104" s="23"/>
      <c r="O104" s="23"/>
      <c r="P104" s="23"/>
      <c r="Q104" s="23"/>
      <c r="R104" s="23"/>
      <c r="S104" s="23"/>
      <c r="T104" s="23"/>
      <c r="U104" s="23"/>
      <c r="V104" s="23"/>
      <c r="W104" s="23"/>
      <c r="X104" s="23"/>
      <c r="Y104" s="11"/>
      <c r="Z104" s="1"/>
    </row>
    <row r="105" spans="2:26" x14ac:dyDescent="0.25">
      <c r="B105" s="1"/>
      <c r="C105" s="12"/>
      <c r="D105" s="13"/>
      <c r="E105" s="13"/>
      <c r="F105" s="13"/>
      <c r="G105" s="13"/>
      <c r="H105" s="13"/>
      <c r="I105" s="13"/>
      <c r="J105" s="13"/>
      <c r="K105" s="13"/>
      <c r="L105" s="13"/>
      <c r="M105" s="13"/>
      <c r="N105" s="13"/>
      <c r="O105" s="13"/>
      <c r="P105" s="13"/>
      <c r="Q105" s="13"/>
      <c r="R105" s="13"/>
      <c r="S105" s="13"/>
      <c r="T105" s="13"/>
      <c r="U105" s="13"/>
      <c r="V105" s="13"/>
      <c r="W105" s="13"/>
      <c r="X105" s="13"/>
      <c r="Y105" s="14"/>
      <c r="Z105" s="1"/>
    </row>
    <row r="106" spans="2:26" x14ac:dyDescent="0.25">
      <c r="B106" s="1"/>
      <c r="C106" s="125" t="s">
        <v>89</v>
      </c>
      <c r="D106" s="125"/>
      <c r="E106" s="125"/>
      <c r="F106" s="125"/>
      <c r="G106" s="125"/>
      <c r="H106" s="125"/>
      <c r="I106" s="125"/>
      <c r="J106" s="125"/>
      <c r="K106" s="125"/>
      <c r="L106" s="125"/>
      <c r="M106" s="125"/>
      <c r="N106" s="125"/>
      <c r="O106" s="125"/>
      <c r="P106" s="125"/>
      <c r="Q106" s="125"/>
      <c r="R106" s="125"/>
      <c r="S106" s="125"/>
      <c r="T106" s="125"/>
      <c r="U106" s="125"/>
      <c r="V106" s="125"/>
      <c r="W106" s="125"/>
      <c r="X106" s="125"/>
      <c r="Y106" s="125"/>
      <c r="Z106" s="1"/>
    </row>
    <row r="107" spans="2:26" x14ac:dyDescent="0.25">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2:26" x14ac:dyDescent="0.25">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2:26" x14ac:dyDescent="0.25">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2:26" x14ac:dyDescent="0.25">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2:26" x14ac:dyDescent="0.25">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2:26" x14ac:dyDescent="0.25">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2:26" x14ac:dyDescent="0.25">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2:26" x14ac:dyDescent="0.25">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2:26" x14ac:dyDescent="0.25">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2:26" x14ac:dyDescent="0.25">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2:26" x14ac:dyDescent="0.25">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2:26" x14ac:dyDescent="0.25">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2:26" x14ac:dyDescent="0.25">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2:26" x14ac:dyDescent="0.25">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2:26" x14ac:dyDescent="0.25">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2:26" x14ac:dyDescent="0.25">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2:26" x14ac:dyDescent="0.25">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2:26" x14ac:dyDescent="0.25">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2:26" x14ac:dyDescent="0.25">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2:26" x14ac:dyDescent="0.25">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2:26" x14ac:dyDescent="0.25">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2:26" x14ac:dyDescent="0.25">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2:26" x14ac:dyDescent="0.25">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2:26" x14ac:dyDescent="0.25">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sheetData>
  <mergeCells count="281">
    <mergeCell ref="C106:Y106"/>
    <mergeCell ref="C4:Y4"/>
    <mergeCell ref="C5:Y6"/>
    <mergeCell ref="C3:Y3"/>
    <mergeCell ref="O15:S16"/>
    <mergeCell ref="C101:M101"/>
    <mergeCell ref="O101:Q101"/>
    <mergeCell ref="R101:T101"/>
    <mergeCell ref="U101:Y101"/>
    <mergeCell ref="C102:M102"/>
    <mergeCell ref="O102:Q102"/>
    <mergeCell ref="R102:T102"/>
    <mergeCell ref="U102:Y102"/>
    <mergeCell ref="C103:M103"/>
    <mergeCell ref="O103:Q103"/>
    <mergeCell ref="R103:T103"/>
    <mergeCell ref="U103:Y103"/>
    <mergeCell ref="C98:M98"/>
    <mergeCell ref="O98:Q98"/>
    <mergeCell ref="R98:T98"/>
    <mergeCell ref="U98:Y98"/>
    <mergeCell ref="C99:M99"/>
    <mergeCell ref="O99:Q99"/>
    <mergeCell ref="R99:T99"/>
    <mergeCell ref="C100:M100"/>
    <mergeCell ref="O100:Q100"/>
    <mergeCell ref="R100:T100"/>
    <mergeCell ref="U100:Y100"/>
    <mergeCell ref="C90:E90"/>
    <mergeCell ref="M90:O90"/>
    <mergeCell ref="C92:L92"/>
    <mergeCell ref="C93:Y93"/>
    <mergeCell ref="C96:M96"/>
    <mergeCell ref="O96:Q96"/>
    <mergeCell ref="R96:T96"/>
    <mergeCell ref="U96:Y96"/>
    <mergeCell ref="C97:M97"/>
    <mergeCell ref="O97:Q97"/>
    <mergeCell ref="R97:T97"/>
    <mergeCell ref="U97:Y97"/>
    <mergeCell ref="C88:D88"/>
    <mergeCell ref="E88:G88"/>
    <mergeCell ref="H88:J88"/>
    <mergeCell ref="K88:M88"/>
    <mergeCell ref="N88:P88"/>
    <mergeCell ref="Q88:S88"/>
    <mergeCell ref="T88:V88"/>
    <mergeCell ref="W88:Y88"/>
    <mergeCell ref="U99:Y99"/>
    <mergeCell ref="C86:D86"/>
    <mergeCell ref="E86:G86"/>
    <mergeCell ref="H86:J86"/>
    <mergeCell ref="K86:M86"/>
    <mergeCell ref="N86:P86"/>
    <mergeCell ref="Q86:S86"/>
    <mergeCell ref="T86:V86"/>
    <mergeCell ref="W86:Y86"/>
    <mergeCell ref="C87:D87"/>
    <mergeCell ref="E87:G87"/>
    <mergeCell ref="H87:J87"/>
    <mergeCell ref="K87:M87"/>
    <mergeCell ref="N87:P87"/>
    <mergeCell ref="Q87:S87"/>
    <mergeCell ref="T87:V87"/>
    <mergeCell ref="W87:Y87"/>
    <mergeCell ref="C84:D84"/>
    <mergeCell ref="E84:G84"/>
    <mergeCell ref="H84:J84"/>
    <mergeCell ref="K84:M84"/>
    <mergeCell ref="N84:P84"/>
    <mergeCell ref="Q84:S84"/>
    <mergeCell ref="T84:V84"/>
    <mergeCell ref="W84:Y84"/>
    <mergeCell ref="C85:D85"/>
    <mergeCell ref="E85:G85"/>
    <mergeCell ref="H85:J85"/>
    <mergeCell ref="K85:M85"/>
    <mergeCell ref="N85:P85"/>
    <mergeCell ref="Q85:S85"/>
    <mergeCell ref="T85:V85"/>
    <mergeCell ref="W85:Y85"/>
    <mergeCell ref="C82:D82"/>
    <mergeCell ref="E82:G82"/>
    <mergeCell ref="H82:J82"/>
    <mergeCell ref="K82:M82"/>
    <mergeCell ref="N82:P82"/>
    <mergeCell ref="Q82:S82"/>
    <mergeCell ref="T82:V82"/>
    <mergeCell ref="W82:Y82"/>
    <mergeCell ref="C83:D83"/>
    <mergeCell ref="E83:G83"/>
    <mergeCell ref="H83:J83"/>
    <mergeCell ref="K83:M83"/>
    <mergeCell ref="N83:P83"/>
    <mergeCell ref="Q83:S83"/>
    <mergeCell ref="T83:V83"/>
    <mergeCell ref="W83:Y83"/>
    <mergeCell ref="C80:D80"/>
    <mergeCell ref="E80:G80"/>
    <mergeCell ref="H80:J80"/>
    <mergeCell ref="K80:M80"/>
    <mergeCell ref="N80:P80"/>
    <mergeCell ref="Q80:S80"/>
    <mergeCell ref="T80:V80"/>
    <mergeCell ref="W80:Y80"/>
    <mergeCell ref="C81:D81"/>
    <mergeCell ref="E81:G81"/>
    <mergeCell ref="H81:J81"/>
    <mergeCell ref="K81:M81"/>
    <mergeCell ref="N81:P81"/>
    <mergeCell ref="Q81:S81"/>
    <mergeCell ref="T81:V81"/>
    <mergeCell ref="W81:Y81"/>
    <mergeCell ref="C78:D78"/>
    <mergeCell ref="E78:G78"/>
    <mergeCell ref="H78:J78"/>
    <mergeCell ref="K78:M78"/>
    <mergeCell ref="N78:P78"/>
    <mergeCell ref="Q78:S78"/>
    <mergeCell ref="T78:V78"/>
    <mergeCell ref="W78:Y78"/>
    <mergeCell ref="C79:D79"/>
    <mergeCell ref="E79:G79"/>
    <mergeCell ref="H79:J79"/>
    <mergeCell ref="K79:M79"/>
    <mergeCell ref="N79:P79"/>
    <mergeCell ref="Q79:S79"/>
    <mergeCell ref="T79:V79"/>
    <mergeCell ref="W79:Y79"/>
    <mergeCell ref="C76:D76"/>
    <mergeCell ref="E76:G76"/>
    <mergeCell ref="H76:J76"/>
    <mergeCell ref="K76:M76"/>
    <mergeCell ref="N76:P76"/>
    <mergeCell ref="Q76:S76"/>
    <mergeCell ref="T76:V76"/>
    <mergeCell ref="W76:Y76"/>
    <mergeCell ref="C77:D77"/>
    <mergeCell ref="E77:G77"/>
    <mergeCell ref="H77:J77"/>
    <mergeCell ref="K77:M77"/>
    <mergeCell ref="N77:P77"/>
    <mergeCell ref="Q77:S77"/>
    <mergeCell ref="T77:V77"/>
    <mergeCell ref="W77:Y77"/>
    <mergeCell ref="C74:D74"/>
    <mergeCell ref="E74:G74"/>
    <mergeCell ref="H74:J74"/>
    <mergeCell ref="K74:M74"/>
    <mergeCell ref="N74:P74"/>
    <mergeCell ref="Q74:S74"/>
    <mergeCell ref="T74:V74"/>
    <mergeCell ref="W74:Y74"/>
    <mergeCell ref="C75:D75"/>
    <mergeCell ref="E75:G75"/>
    <mergeCell ref="H75:J75"/>
    <mergeCell ref="K75:M75"/>
    <mergeCell ref="N75:P75"/>
    <mergeCell ref="Q75:S75"/>
    <mergeCell ref="T75:V75"/>
    <mergeCell ref="W75:Y75"/>
    <mergeCell ref="C72:D72"/>
    <mergeCell ref="E72:G72"/>
    <mergeCell ref="H72:J72"/>
    <mergeCell ref="K72:M72"/>
    <mergeCell ref="N72:P72"/>
    <mergeCell ref="Q72:S72"/>
    <mergeCell ref="T72:V72"/>
    <mergeCell ref="W72:Y72"/>
    <mergeCell ref="C73:D73"/>
    <mergeCell ref="E73:G73"/>
    <mergeCell ref="H73:J73"/>
    <mergeCell ref="K73:M73"/>
    <mergeCell ref="N73:P73"/>
    <mergeCell ref="Q73:S73"/>
    <mergeCell ref="T73:V73"/>
    <mergeCell ref="W73:Y73"/>
    <mergeCell ref="C70:D70"/>
    <mergeCell ref="E70:G70"/>
    <mergeCell ref="H70:J70"/>
    <mergeCell ref="K70:M70"/>
    <mergeCell ref="N70:P70"/>
    <mergeCell ref="Q70:S70"/>
    <mergeCell ref="T70:V70"/>
    <mergeCell ref="W70:Y70"/>
    <mergeCell ref="C71:D71"/>
    <mergeCell ref="E71:G71"/>
    <mergeCell ref="H71:J71"/>
    <mergeCell ref="K71:M71"/>
    <mergeCell ref="N71:P71"/>
    <mergeCell ref="Q71:S71"/>
    <mergeCell ref="T71:V71"/>
    <mergeCell ref="W71:Y71"/>
    <mergeCell ref="C68:D68"/>
    <mergeCell ref="E68:G68"/>
    <mergeCell ref="H68:J68"/>
    <mergeCell ref="K68:M68"/>
    <mergeCell ref="N68:P68"/>
    <mergeCell ref="Q68:S68"/>
    <mergeCell ref="T68:V68"/>
    <mergeCell ref="W68:Y68"/>
    <mergeCell ref="C69:D69"/>
    <mergeCell ref="E69:G69"/>
    <mergeCell ref="H69:J69"/>
    <mergeCell ref="K69:M69"/>
    <mergeCell ref="N69:P69"/>
    <mergeCell ref="Q69:S69"/>
    <mergeCell ref="T69:V69"/>
    <mergeCell ref="W69:Y69"/>
    <mergeCell ref="C66:D66"/>
    <mergeCell ref="E66:G66"/>
    <mergeCell ref="H66:J66"/>
    <mergeCell ref="K66:M66"/>
    <mergeCell ref="N66:P66"/>
    <mergeCell ref="Q66:S66"/>
    <mergeCell ref="T66:V66"/>
    <mergeCell ref="W66:Y66"/>
    <mergeCell ref="C67:D67"/>
    <mergeCell ref="E67:G67"/>
    <mergeCell ref="H67:J67"/>
    <mergeCell ref="K67:M67"/>
    <mergeCell ref="N67:P67"/>
    <mergeCell ref="Q67:S67"/>
    <mergeCell ref="T67:V67"/>
    <mergeCell ref="W67:Y67"/>
    <mergeCell ref="C61:Y61"/>
    <mergeCell ref="E64:G64"/>
    <mergeCell ref="H64:J64"/>
    <mergeCell ref="K64:M64"/>
    <mergeCell ref="N64:P64"/>
    <mergeCell ref="Q64:S64"/>
    <mergeCell ref="T64:V64"/>
    <mergeCell ref="W64:Y64"/>
    <mergeCell ref="C65:D65"/>
    <mergeCell ref="E65:G65"/>
    <mergeCell ref="H65:J65"/>
    <mergeCell ref="K65:M65"/>
    <mergeCell ref="N65:P65"/>
    <mergeCell ref="Q65:S65"/>
    <mergeCell ref="T65:V65"/>
    <mergeCell ref="W65:Y65"/>
    <mergeCell ref="C25:L25"/>
    <mergeCell ref="C26:Y26"/>
    <mergeCell ref="D29:X29"/>
    <mergeCell ref="D31:X31"/>
    <mergeCell ref="D33:X33"/>
    <mergeCell ref="D35:X35"/>
    <mergeCell ref="D37:X37"/>
    <mergeCell ref="C41:L41"/>
    <mergeCell ref="C60:L60"/>
    <mergeCell ref="C20:G21"/>
    <mergeCell ref="I20:M21"/>
    <mergeCell ref="O20:S21"/>
    <mergeCell ref="U20:Y21"/>
    <mergeCell ref="C22:G22"/>
    <mergeCell ref="I22:M22"/>
    <mergeCell ref="O22:S22"/>
    <mergeCell ref="U22:Y22"/>
    <mergeCell ref="C23:G23"/>
    <mergeCell ref="I23:M23"/>
    <mergeCell ref="O23:S23"/>
    <mergeCell ref="U23:Y23"/>
    <mergeCell ref="C15:G15"/>
    <mergeCell ref="I15:M15"/>
    <mergeCell ref="U15:Y15"/>
    <mergeCell ref="C16:G16"/>
    <mergeCell ref="I16:M16"/>
    <mergeCell ref="U16:Y16"/>
    <mergeCell ref="C19:G19"/>
    <mergeCell ref="I19:M19"/>
    <mergeCell ref="O19:S19"/>
    <mergeCell ref="U19:Y19"/>
    <mergeCell ref="C9:L9"/>
    <mergeCell ref="C12:G12"/>
    <mergeCell ref="I12:M12"/>
    <mergeCell ref="O12:S12"/>
    <mergeCell ref="U12:Y12"/>
    <mergeCell ref="C13:G14"/>
    <mergeCell ref="I13:M14"/>
    <mergeCell ref="O13:S14"/>
    <mergeCell ref="U13:Y14"/>
  </mergeCells>
  <conditionalFormatting sqref="D29">
    <cfRule type="expression" dxfId="45" priority="2">
      <formula>$D$29&lt;&gt;""</formula>
    </cfRule>
  </conditionalFormatting>
  <conditionalFormatting sqref="D31">
    <cfRule type="expression" dxfId="44" priority="3">
      <formula>$D$31&lt;&gt;""</formula>
    </cfRule>
  </conditionalFormatting>
  <conditionalFormatting sqref="D33">
    <cfRule type="expression" dxfId="43" priority="4">
      <formula>$D$33&lt;&gt;""</formula>
    </cfRule>
  </conditionalFormatting>
  <conditionalFormatting sqref="D35">
    <cfRule type="expression" dxfId="42" priority="5">
      <formula>$D$35&lt;&gt;""</formula>
    </cfRule>
  </conditionalFormatting>
  <conditionalFormatting sqref="D37">
    <cfRule type="expression" dxfId="41" priority="6">
      <formula>$D$37&lt;&gt;""</formula>
    </cfRule>
  </conditionalFormatting>
  <conditionalFormatting sqref="E65:E88 H65:H88 K65:K88 N65:N88 Q65:Q88 T65:T88 W65:W88">
    <cfRule type="colorScale" priority="7">
      <colorScale>
        <cfvo type="num" val="0"/>
        <cfvo type="percentile" val="90"/>
        <cfvo type="percentile" val="98"/>
        <color rgb="FFF5F7FB"/>
        <color rgb="FF93AEF5"/>
        <color rgb="FF2F4A99"/>
      </colorScale>
    </cfRule>
    <cfRule type="expression" dxfId="40" priority="8">
      <formula>AND(E65&gt;0,E65&gt;=$Z$92)</formula>
    </cfRule>
  </conditionalFormatting>
  <conditionalFormatting sqref="U97">
    <cfRule type="expression" dxfId="38" priority="9">
      <formula>AND($U97&lt;&gt;"",$U97&gt;0.02)</formula>
    </cfRule>
    <cfRule type="expression" dxfId="37" priority="10">
      <formula>AND($U97&lt;&gt;"",$U97&lt;-0.02)</formula>
    </cfRule>
  </conditionalFormatting>
  <conditionalFormatting sqref="U98">
    <cfRule type="expression" dxfId="36" priority="11">
      <formula>AND($U98&lt;&gt;"",$U98&lt;-0.02)</formula>
    </cfRule>
    <cfRule type="expression" dxfId="35" priority="12">
      <formula>AND($U98&lt;&gt;"",$U98&gt;0.02)</formula>
    </cfRule>
  </conditionalFormatting>
  <conditionalFormatting sqref="U99">
    <cfRule type="expression" dxfId="34" priority="13">
      <formula>AND($U99&lt;&gt;"",$U99&gt;0.02)</formula>
    </cfRule>
    <cfRule type="expression" dxfId="33" priority="14">
      <formula>AND($U99&lt;&gt;"",$U99&lt;-0.02)</formula>
    </cfRule>
  </conditionalFormatting>
  <conditionalFormatting sqref="U100">
    <cfRule type="expression" dxfId="32" priority="15">
      <formula>AND($U100&lt;&gt;"",$U100&lt;-0.02)</formula>
    </cfRule>
    <cfRule type="expression" dxfId="31" priority="16">
      <formula>AND($U100&lt;&gt;"",$U100&gt;0.02)</formula>
    </cfRule>
  </conditionalFormatting>
  <conditionalFormatting sqref="U101">
    <cfRule type="expression" dxfId="30" priority="17">
      <formula>AND($U101&lt;&gt;"",$U101&gt;0.02)</formula>
    </cfRule>
    <cfRule type="expression" dxfId="29" priority="18">
      <formula>AND($U101&lt;&gt;"",$U101&lt;-0.02)</formula>
    </cfRule>
  </conditionalFormatting>
  <conditionalFormatting sqref="U102">
    <cfRule type="expression" dxfId="28" priority="19">
      <formula>AND($U102&lt;&gt;"",$U102&lt;-0.02)</formula>
    </cfRule>
    <cfRule type="expression" dxfId="27" priority="20">
      <formula>AND($U102&lt;&gt;"",$U102&gt;0.02)</formula>
    </cfRule>
  </conditionalFormatting>
  <conditionalFormatting sqref="U103">
    <cfRule type="expression" dxfId="26" priority="21">
      <formula>AND($U103&lt;&gt;"",$U103&gt;0.02)</formula>
    </cfRule>
    <cfRule type="expression" dxfId="25" priority="22">
      <formula>AND($U103&lt;&gt;"",$U103&lt;-0.02)</formula>
    </cfRule>
  </conditionalFormatting>
  <printOptions horizontalCentered="1"/>
  <pageMargins left="0.75" right="0.75" top="1" bottom="1" header="0.511811023622047" footer="0.511811023622047"/>
  <pageSetup paperSize="9" fitToHeight="0" orientation="portrait" horizontalDpi="300" verticalDpi="300"/>
  <ignoredErrors>
    <ignoredError sqref="C65:D87" numberStoredAsText="1"/>
  </ignoredErrors>
  <drawing r:id="rId1"/>
  <extLst>
    <ext xmlns:x14="http://schemas.microsoft.com/office/spreadsheetml/2009/9/main" uri="{78C0D931-6437-407d-A8EE-F0AAD7539E65}">
      <x14:conditionalFormattings>
        <x14:conditionalFormatting xmlns:xm="http://schemas.microsoft.com/office/excel/2006/main">
          <x14:cfRule type="expression" priority="23" id="{00000000-000E-0000-0100-000017000000}">
            <xm:f>SUM(Data!$Z$2:$Z$1201)=0</xm:f>
            <x14:dxf>
              <font>
                <b/>
                <sz val="9"/>
                <color rgb="FF0CA30C"/>
                <name val="Arial"/>
                <charset val="1"/>
              </font>
            </x14:dxf>
          </x14:cfRule>
          <xm:sqref>U23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Z127"/>
  <sheetViews>
    <sheetView showGridLines="0" zoomScaleNormal="100" workbookViewId="0"/>
  </sheetViews>
  <sheetFormatPr defaultColWidth="8.7109375" defaultRowHeight="15" x14ac:dyDescent="0.25"/>
  <cols>
    <col min="1" max="1" width="3" customWidth="1"/>
    <col min="2" max="2" width="6" customWidth="1"/>
    <col min="3" max="3" width="30" customWidth="1"/>
    <col min="4" max="4" width="12" customWidth="1"/>
    <col min="5" max="5" width="10" customWidth="1"/>
    <col min="6" max="6" width="12" customWidth="1"/>
    <col min="7" max="7" width="11" customWidth="1"/>
    <col min="8" max="8" width="13" customWidth="1"/>
    <col min="9" max="10" width="14" customWidth="1"/>
    <col min="20" max="22" width="13" hidden="1" customWidth="1"/>
    <col min="24" max="26" width="13" hidden="1" customWidth="1"/>
  </cols>
  <sheetData>
    <row r="2" spans="2:26" ht="25.5" customHeight="1" x14ac:dyDescent="0.35">
      <c r="B2" s="35" t="s">
        <v>21</v>
      </c>
    </row>
    <row r="3" spans="2:26" ht="15.75" customHeight="1" x14ac:dyDescent="0.25">
      <c r="B3" s="157" t="s">
        <v>90</v>
      </c>
      <c r="C3" s="157"/>
      <c r="D3" s="157"/>
      <c r="E3" s="157"/>
      <c r="F3" s="157"/>
      <c r="G3" s="157"/>
      <c r="H3" s="157"/>
      <c r="I3" s="157"/>
      <c r="J3" s="157"/>
    </row>
    <row r="6" spans="2:26" x14ac:dyDescent="0.25">
      <c r="B6" s="37" t="s">
        <v>91</v>
      </c>
      <c r="C6" s="38"/>
      <c r="D6" s="38"/>
      <c r="E6" s="38"/>
      <c r="F6" s="38"/>
      <c r="G6" s="38"/>
      <c r="H6" s="38"/>
      <c r="I6" s="38"/>
      <c r="J6" s="38"/>
    </row>
    <row r="7" spans="2:26" x14ac:dyDescent="0.25">
      <c r="B7" s="39" t="s">
        <v>92</v>
      </c>
    </row>
    <row r="8" spans="2:26" x14ac:dyDescent="0.25">
      <c r="T8" t="str">
        <f>IFERROR(INDEX(Data!$C$2:$C$1201,MATCH(1,Data!$U$2:$U$1201,0)),"")</f>
        <v>Email</v>
      </c>
      <c r="U8">
        <f>IF($T8="","",SUMIFS(Data!$N$2:$N$1201,Data!$C$2:$C$1201,$T8)/60)</f>
        <v>5.2786666666666653</v>
      </c>
      <c r="V8">
        <f t="shared" ref="V8:V47" si="0">IF($T8="","",$U8+ROW()/1000000)</f>
        <v>5.2786746666666655</v>
      </c>
      <c r="X8" t="str">
        <f>IFERROR(INDEX(Data!$B$2:$B$1201,MATCH(1,Data!$W$2:$W$1201,0)),"")</f>
        <v>Email</v>
      </c>
      <c r="Y8">
        <f>IF($X8="","",SUMIFS(Data!$N$2:$N$1201,Data!$B$2:$B$1201,$X8)/60)</f>
        <v>5.2786666666666653</v>
      </c>
      <c r="Z8">
        <f t="shared" ref="Z8:Z39" si="1">IF($X8="","",$Y8+ROW()/1000000)</f>
        <v>5.2786746666666655</v>
      </c>
    </row>
    <row r="9" spans="2:26" x14ac:dyDescent="0.25">
      <c r="B9" s="40" t="s">
        <v>93</v>
      </c>
      <c r="C9" s="40" t="s">
        <v>94</v>
      </c>
      <c r="D9" s="41" t="s">
        <v>95</v>
      </c>
      <c r="E9" s="41" t="s">
        <v>96</v>
      </c>
      <c r="F9" s="40"/>
      <c r="G9" s="41" t="s">
        <v>97</v>
      </c>
      <c r="H9" s="41" t="s">
        <v>98</v>
      </c>
      <c r="I9" s="41" t="s">
        <v>99</v>
      </c>
      <c r="J9" s="41" t="s">
        <v>100</v>
      </c>
      <c r="T9" t="str">
        <f>IFERROR(INDEX(Data!$C$2:$C$1201,MATCH(2,Data!$U$2:$U$1201,0)),"")</f>
        <v>Zendesk Tickets</v>
      </c>
      <c r="U9">
        <f>IF($T9="","",SUMIFS(Data!$N$2:$N$1201,Data!$C$2:$C$1201,$T9)/60)</f>
        <v>10.191833333333335</v>
      </c>
      <c r="V9">
        <f t="shared" si="0"/>
        <v>10.191842333333335</v>
      </c>
      <c r="X9" t="str">
        <f>IFERROR(INDEX(Data!$B$2:$B$1201,MATCH(2,Data!$W$2:$W$1201,0)),"")</f>
        <v>Zendesk Tickets</v>
      </c>
      <c r="Y9">
        <f>IF($X9="","",SUMIFS(Data!$N$2:$N$1201,Data!$B$2:$B$1201,$X9)/60)</f>
        <v>10.191833333333335</v>
      </c>
      <c r="Z9">
        <f t="shared" si="1"/>
        <v>10.191842333333335</v>
      </c>
    </row>
    <row r="10" spans="2:26" x14ac:dyDescent="0.25">
      <c r="B10" s="42">
        <f>IF($C10="","",1)</f>
        <v>1</v>
      </c>
      <c r="C10" s="43" t="str">
        <f>IFERROR(INDEX('Where it goes'!$T$8:$T$47,MATCH(LARGE('Where it goes'!$V$8:$V$47,1),'Where it goes'!$V$8:$V$47,0)),"")</f>
        <v>Zendesk Tickets</v>
      </c>
      <c r="D10" s="44">
        <f>IF($C10="","",SUMIFS(Data!$N$2:$N$1201,Data!$C$2:$C$1201,$C10)/60)</f>
        <v>10.191833333333335</v>
      </c>
      <c r="E10" s="45">
        <f>IF(OR($C10="",SUMIFS(Data!$N$2:$N$1201,Data!$E$2:$E$1201,"timed")=0),"",SUMIFS(Data!$N$2:$N$1201,Data!$C$2:$C$1201,$C10)/SUMIFS(Data!$N$2:$N$1201,Data!$E$2:$E$1201,"timed"))</f>
        <v>0.23885243340364032</v>
      </c>
      <c r="F10" s="46">
        <f t="shared" ref="F10:F49" si="2">IF($C10="","",$D10)</f>
        <v>10.191833333333335</v>
      </c>
      <c r="G10" s="47">
        <f>IF($C10="","",COUNTIFS(Data!$C$2:$C$1201,$C10,Data!$E$2:$E$1201,"timed"))</f>
        <v>17</v>
      </c>
      <c r="H10" s="48">
        <f>IF(OR($C10="",COUNTIFS(Data!$C$2:$C$1201,$C10,Data!$E$2:$E$1201,"timed")=0),"",SUMIFS(Data!$N$2:$N$1201,Data!$C$2:$C$1201,$C10)/COUNTIFS(Data!$C$2:$C$1201,$C10,Data!$E$2:$E$1201,"timed"))</f>
        <v>35.97117647058824</v>
      </c>
      <c r="I10" s="47">
        <f>IF($C10="","",SUMIFS(Data!$AB$2:$AB$1201,Data!$C$2:$C$1201,$C10))</f>
        <v>15</v>
      </c>
      <c r="J10" s="49">
        <f>IF($C10="","",SUMIFS(Data!$AL$2:$AL$1201,Data!$C$2:$C$1201,$C10))</f>
        <v>391.58</v>
      </c>
      <c r="T10" t="str">
        <f>IFERROR(INDEX(Data!$C$2:$C$1201,MATCH(3,Data!$U$2:$U$1201,0)),"")</f>
        <v>Teams Communications</v>
      </c>
      <c r="U10">
        <f>IF($T10="","",SUMIFS(Data!$N$2:$N$1201,Data!$C$2:$C$1201,$T10)/60)</f>
        <v>2.351833333333333</v>
      </c>
      <c r="V10">
        <f t="shared" si="0"/>
        <v>2.3518433333333331</v>
      </c>
      <c r="X10" t="str">
        <f>IFERROR(INDEX(Data!$B$2:$B$1201,MATCH(3,Data!$W$2:$W$1201,0)),"")</f>
        <v>Teams Communications</v>
      </c>
      <c r="Y10">
        <f>IF($X10="","",SUMIFS(Data!$N$2:$N$1201,Data!$B$2:$B$1201,$X10)/60)</f>
        <v>2.351833333333333</v>
      </c>
      <c r="Z10">
        <f t="shared" si="1"/>
        <v>2.3518433333333331</v>
      </c>
    </row>
    <row r="11" spans="2:26" x14ac:dyDescent="0.25">
      <c r="B11" s="42">
        <f>IF($C11="","",2)</f>
        <v>2</v>
      </c>
      <c r="C11" s="43" t="str">
        <f>IFERROR(INDEX('Where it goes'!$T$8:$T$47,MATCH(LARGE('Where it goes'!$V$8:$V$47,2),'Where it goes'!$V$8:$V$47,0)),"")</f>
        <v>Project work</v>
      </c>
      <c r="D11" s="44">
        <f>IF($C11="","",SUMIFS(Data!$N$2:$N$1201,Data!$C$2:$C$1201,$C11)/60)</f>
        <v>7.9924999999999988</v>
      </c>
      <c r="E11" s="45">
        <f>IF(OR($C11="",SUMIFS(Data!$N$2:$N$1201,Data!$E$2:$E$1201,"timed")=0),"",SUMIFS(Data!$N$2:$N$1201,Data!$C$2:$C$1201,$C11)/SUMIFS(Data!$N$2:$N$1201,Data!$E$2:$E$1201,"timed"))</f>
        <v>0.18730958518865706</v>
      </c>
      <c r="F11" s="46">
        <f t="shared" si="2"/>
        <v>7.9924999999999988</v>
      </c>
      <c r="G11" s="47">
        <f>IF($C11="","",COUNTIFS(Data!$C$2:$C$1201,$C11,Data!$E$2:$E$1201,"timed"))</f>
        <v>9</v>
      </c>
      <c r="H11" s="48">
        <f>IF(OR($C11="",COUNTIFS(Data!$C$2:$C$1201,$C11,Data!$E$2:$E$1201,"timed")=0),"",SUMIFS(Data!$N$2:$N$1201,Data!$C$2:$C$1201,$C11)/COUNTIFS(Data!$C$2:$C$1201,$C11,Data!$E$2:$E$1201,"timed"))</f>
        <v>53.283333333333331</v>
      </c>
      <c r="I11" s="47">
        <f>IF($C11="","",SUMIFS(Data!$AB$2:$AB$1201,Data!$C$2:$C$1201,$C11))</f>
        <v>1</v>
      </c>
      <c r="J11" s="49">
        <f>IF($C11="","",SUMIFS(Data!$AL$2:$AL$1201,Data!$C$2:$C$1201,$C11))</f>
        <v>307.07</v>
      </c>
      <c r="T11" t="str">
        <f>IFERROR(INDEX(Data!$C$2:$C$1201,MATCH(4,Data!$U$2:$U$1201,0)),"")</f>
        <v>Dev Tickets - ADO's</v>
      </c>
      <c r="U11">
        <f>IF($T11="","",SUMIFS(Data!$N$2:$N$1201,Data!$C$2:$C$1201,$T11)/60)</f>
        <v>4.7831666666666672</v>
      </c>
      <c r="V11">
        <f t="shared" si="0"/>
        <v>4.783177666666667</v>
      </c>
      <c r="X11" t="str">
        <f>IFERROR(INDEX(Data!$B$2:$B$1201,MATCH(4,Data!$W$2:$W$1201,0)),"")</f>
        <v>Dev Tickets - ADO's</v>
      </c>
      <c r="Y11">
        <f>IF($X11="","",SUMIFS(Data!$N$2:$N$1201,Data!$B$2:$B$1201,$X11)/60)</f>
        <v>4.7831666666666672</v>
      </c>
      <c r="Z11">
        <f t="shared" si="1"/>
        <v>4.783177666666667</v>
      </c>
    </row>
    <row r="12" spans="2:26" x14ac:dyDescent="0.25">
      <c r="B12" s="42">
        <f>IF($C12="","",3)</f>
        <v>3</v>
      </c>
      <c r="C12" s="43" t="str">
        <f>IFERROR(INDEX('Where it goes'!$T$8:$T$47,MATCH(LARGE('Where it goes'!$V$8:$V$47,3),'Where it goes'!$V$8:$V$47,0)),"")</f>
        <v>Admin</v>
      </c>
      <c r="D12" s="44">
        <f>IF($C12="","",SUMIFS(Data!$N$2:$N$1201,Data!$C$2:$C$1201,$C12)/60)</f>
        <v>7.559333333333333</v>
      </c>
      <c r="E12" s="45">
        <f>IF(OR($C12="",SUMIFS(Data!$N$2:$N$1201,Data!$E$2:$E$1201,"timed")=0),"",SUMIFS(Data!$N$2:$N$1201,Data!$C$2:$C$1201,$C12)/SUMIFS(Data!$N$2:$N$1201,Data!$E$2:$E$1201,"timed"))</f>
        <v>0.17715803452855242</v>
      </c>
      <c r="F12" s="46">
        <f t="shared" si="2"/>
        <v>7.559333333333333</v>
      </c>
      <c r="G12" s="47">
        <f>IF($C12="","",COUNTIFS(Data!$C$2:$C$1201,$C12,Data!$E$2:$E$1201,"timed"))</f>
        <v>13</v>
      </c>
      <c r="H12" s="48">
        <f>IF(OR($C12="",COUNTIFS(Data!$C$2:$C$1201,$C12,Data!$E$2:$E$1201,"timed")=0),"",SUMIFS(Data!$N$2:$N$1201,Data!$C$2:$C$1201,$C12)/COUNTIFS(Data!$C$2:$C$1201,$C12,Data!$E$2:$E$1201,"timed"))</f>
        <v>34.889230769230771</v>
      </c>
      <c r="I12" s="47">
        <f>IF($C12="","",SUMIFS(Data!$AB$2:$AB$1201,Data!$C$2:$C$1201,$C12))</f>
        <v>2</v>
      </c>
      <c r="J12" s="49">
        <f>IF($C12="","",SUMIFS(Data!$AL$2:$AL$1201,Data!$C$2:$C$1201,$C12))</f>
        <v>290.44</v>
      </c>
      <c r="T12" t="str">
        <f>IFERROR(INDEX(Data!$C$2:$C$1201,MATCH(5,Data!$U$2:$U$1201,0)),"")</f>
        <v>Lunch Break</v>
      </c>
      <c r="U12">
        <f>IF($T12="","",SUMIFS(Data!$N$2:$N$1201,Data!$C$2:$C$1201,$T12)/60)</f>
        <v>2.7646666666666673</v>
      </c>
      <c r="V12">
        <f t="shared" si="0"/>
        <v>2.7646786666666672</v>
      </c>
      <c r="X12" t="str">
        <f>IFERROR(INDEX(Data!$B$2:$B$1201,MATCH(5,Data!$W$2:$W$1201,0)),"")</f>
        <v>Lunch Break</v>
      </c>
      <c r="Y12">
        <f>IF($X12="","",SUMIFS(Data!$N$2:$N$1201,Data!$B$2:$B$1201,$X12)/60)</f>
        <v>2.7646666666666673</v>
      </c>
      <c r="Z12">
        <f t="shared" si="1"/>
        <v>2.7646786666666672</v>
      </c>
    </row>
    <row r="13" spans="2:26" x14ac:dyDescent="0.25">
      <c r="B13" s="42">
        <f>IF($C13="","",4)</f>
        <v>4</v>
      </c>
      <c r="C13" s="43" t="str">
        <f>IFERROR(INDEX('Where it goes'!$T$8:$T$47,MATCH(LARGE('Where it goes'!$V$8:$V$47,4),'Where it goes'!$V$8:$V$47,0)),"")</f>
        <v>Email</v>
      </c>
      <c r="D13" s="44">
        <f>IF($C13="","",SUMIFS(Data!$N$2:$N$1201,Data!$C$2:$C$1201,$C13)/60)</f>
        <v>5.2786666666666653</v>
      </c>
      <c r="E13" s="45">
        <f>IF(OR($C13="",SUMIFS(Data!$N$2:$N$1201,Data!$E$2:$E$1201,"timed")=0),"",SUMIFS(Data!$N$2:$N$1201,Data!$C$2:$C$1201,$C13)/SUMIFS(Data!$N$2:$N$1201,Data!$E$2:$E$1201,"timed"))</f>
        <v>0.12370908522771652</v>
      </c>
      <c r="F13" s="46">
        <f t="shared" si="2"/>
        <v>5.2786666666666653</v>
      </c>
      <c r="G13" s="47">
        <f>IF($C13="","",COUNTIFS(Data!$C$2:$C$1201,$C13,Data!$E$2:$E$1201,"timed"))</f>
        <v>17</v>
      </c>
      <c r="H13" s="48">
        <f>IF(OR($C13="",COUNTIFS(Data!$C$2:$C$1201,$C13,Data!$E$2:$E$1201,"timed")=0),"",SUMIFS(Data!$N$2:$N$1201,Data!$C$2:$C$1201,$C13)/COUNTIFS(Data!$C$2:$C$1201,$C13,Data!$E$2:$E$1201,"timed"))</f>
        <v>18.630588235294113</v>
      </c>
      <c r="I13" s="47">
        <f>IF($C13="","",SUMIFS(Data!$AB$2:$AB$1201,Data!$C$2:$C$1201,$C13))</f>
        <v>3</v>
      </c>
      <c r="J13" s="49">
        <f>IF($C13="","",SUMIFS(Data!$AL$2:$AL$1201,Data!$C$2:$C$1201,$C13))</f>
        <v>202.8</v>
      </c>
      <c r="T13" t="str">
        <f>IFERROR(INDEX(Data!$C$2:$C$1201,MATCH(6,Data!$U$2:$U$1201,0)),"")</f>
        <v>Admin</v>
      </c>
      <c r="U13">
        <f>IF($T13="","",SUMIFS(Data!$N$2:$N$1201,Data!$C$2:$C$1201,$T13)/60)</f>
        <v>7.559333333333333</v>
      </c>
      <c r="V13">
        <f t="shared" si="0"/>
        <v>7.5593463333333331</v>
      </c>
      <c r="X13" t="str">
        <f>IFERROR(INDEX(Data!$B$2:$B$1201,MATCH(6,Data!$W$2:$W$1201,0)),"")</f>
        <v>Admin</v>
      </c>
      <c r="Y13">
        <f>IF($X13="","",SUMIFS(Data!$N$2:$N$1201,Data!$B$2:$B$1201,$X13)/60)</f>
        <v>7.559333333333333</v>
      </c>
      <c r="Z13">
        <f t="shared" si="1"/>
        <v>7.5593463333333331</v>
      </c>
    </row>
    <row r="14" spans="2:26" x14ac:dyDescent="0.25">
      <c r="B14" s="42">
        <f>IF($C14="","",5)</f>
        <v>5</v>
      </c>
      <c r="C14" s="43" t="str">
        <f>IFERROR(INDEX('Where it goes'!$T$8:$T$47,MATCH(LARGE('Where it goes'!$V$8:$V$47,5),'Where it goes'!$V$8:$V$47,0)),"")</f>
        <v>Dev Tickets - ADO's</v>
      </c>
      <c r="D14" s="44">
        <f>IF($C14="","",SUMIFS(Data!$N$2:$N$1201,Data!$C$2:$C$1201,$C14)/60)</f>
        <v>4.7831666666666672</v>
      </c>
      <c r="E14" s="45">
        <f>IF(OR($C14="",SUMIFS(Data!$N$2:$N$1201,Data!$E$2:$E$1201,"timed")=0),"",SUMIFS(Data!$N$2:$N$1201,Data!$C$2:$C$1201,$C14)/SUMIFS(Data!$N$2:$N$1201,Data!$E$2:$E$1201,"timed"))</f>
        <v>0.11209671119443791</v>
      </c>
      <c r="F14" s="46">
        <f t="shared" si="2"/>
        <v>4.7831666666666672</v>
      </c>
      <c r="G14" s="47">
        <f>IF($C14="","",COUNTIFS(Data!$C$2:$C$1201,$C14,Data!$E$2:$E$1201,"timed"))</f>
        <v>6</v>
      </c>
      <c r="H14" s="48">
        <f>IF(OR($C14="",COUNTIFS(Data!$C$2:$C$1201,$C14,Data!$E$2:$E$1201,"timed")=0),"",SUMIFS(Data!$N$2:$N$1201,Data!$C$2:$C$1201,$C14)/COUNTIFS(Data!$C$2:$C$1201,$C14,Data!$E$2:$E$1201,"timed"))</f>
        <v>47.831666666666671</v>
      </c>
      <c r="I14" s="47">
        <f>IF($C14="","",SUMIFS(Data!$AB$2:$AB$1201,Data!$C$2:$C$1201,$C14))</f>
        <v>3</v>
      </c>
      <c r="J14" s="49">
        <f>IF($C14="","",SUMIFS(Data!$AL$2:$AL$1201,Data!$C$2:$C$1201,$C14))</f>
        <v>183.76</v>
      </c>
      <c r="T14" t="str">
        <f>IFERROR(INDEX(Data!$C$2:$C$1201,MATCH(7,Data!$U$2:$U$1201,0)),"")</f>
        <v>Project work</v>
      </c>
      <c r="U14">
        <f>IF($T14="","",SUMIFS(Data!$N$2:$N$1201,Data!$C$2:$C$1201,$T14)/60)</f>
        <v>7.9924999999999988</v>
      </c>
      <c r="V14">
        <f t="shared" si="0"/>
        <v>7.992513999999999</v>
      </c>
      <c r="X14" t="str">
        <f>IFERROR(INDEX(Data!$B$2:$B$1201,MATCH(7,Data!$W$2:$W$1201,0)),"")</f>
        <v>Project work</v>
      </c>
      <c r="Y14">
        <f>IF($X14="","",SUMIFS(Data!$N$2:$N$1201,Data!$B$2:$B$1201,$X14)/60)</f>
        <v>7.9924999999999988</v>
      </c>
      <c r="Z14">
        <f t="shared" si="1"/>
        <v>7.992513999999999</v>
      </c>
    </row>
    <row r="15" spans="2:26" x14ac:dyDescent="0.25">
      <c r="B15" s="42">
        <f>IF($C15="","",6)</f>
        <v>6</v>
      </c>
      <c r="C15" s="43" t="str">
        <f>IFERROR(INDEX('Where it goes'!$T$8:$T$47,MATCH(LARGE('Where it goes'!$V$8:$V$47,6),'Where it goes'!$V$8:$V$47,0)),"")</f>
        <v>Lunch Break</v>
      </c>
      <c r="D15" s="44">
        <f>IF($C15="","",SUMIFS(Data!$N$2:$N$1201,Data!$C$2:$C$1201,$C15)/60)</f>
        <v>2.7646666666666673</v>
      </c>
      <c r="E15" s="45">
        <f>IF(OR($C15="",SUMIFS(Data!$N$2:$N$1201,Data!$E$2:$E$1201,"timed")=0),"",SUMIFS(Data!$N$2:$N$1201,Data!$C$2:$C$1201,$C15)/SUMIFS(Data!$N$2:$N$1201,Data!$E$2:$E$1201,"timed"))</f>
        <v>6.4791813139598461E-2</v>
      </c>
      <c r="F15" s="46">
        <f t="shared" si="2"/>
        <v>2.7646666666666673</v>
      </c>
      <c r="G15" s="47">
        <f>IF($C15="","",COUNTIFS(Data!$C$2:$C$1201,$C15,Data!$E$2:$E$1201,"timed"))</f>
        <v>5</v>
      </c>
      <c r="H15" s="48">
        <f>IF(OR($C15="",COUNTIFS(Data!$C$2:$C$1201,$C15,Data!$E$2:$E$1201,"timed")=0),"",SUMIFS(Data!$N$2:$N$1201,Data!$C$2:$C$1201,$C15)/COUNTIFS(Data!$C$2:$C$1201,$C15,Data!$E$2:$E$1201,"timed"))</f>
        <v>33.176000000000002</v>
      </c>
      <c r="I15" s="47">
        <f>IF($C15="","",SUMIFS(Data!$AB$2:$AB$1201,Data!$C$2:$C$1201,$C15))</f>
        <v>0</v>
      </c>
      <c r="J15" s="49">
        <f>IF($C15="","",SUMIFS(Data!$AL$2:$AL$1201,Data!$C$2:$C$1201,$C15))</f>
        <v>106.22</v>
      </c>
      <c r="T15" t="str">
        <f>IFERROR(INDEX(Data!$C$2:$C$1201,MATCH(8,Data!$U$2:$U$1201,0)),"")</f>
        <v>Meetings</v>
      </c>
      <c r="U15">
        <f>IF($T15="","",SUMIFS(Data!$N$2:$N$1201,Data!$C$2:$C$1201,$T15)/60)</f>
        <v>0.56333333333333335</v>
      </c>
      <c r="V15">
        <f t="shared" si="0"/>
        <v>0.56334833333333334</v>
      </c>
      <c r="X15" t="str">
        <f>IFERROR(INDEX(Data!$B$2:$B$1201,MATCH(8,Data!$W$2:$W$1201,0)),"")</f>
        <v>Meetings</v>
      </c>
      <c r="Y15">
        <f>IF($X15="","",SUMIFS(Data!$N$2:$N$1201,Data!$B$2:$B$1201,$X15)/60)</f>
        <v>0.56333333333333335</v>
      </c>
      <c r="Z15">
        <f t="shared" si="1"/>
        <v>0.56334833333333334</v>
      </c>
    </row>
    <row r="16" spans="2:26" x14ac:dyDescent="0.25">
      <c r="B16" s="42">
        <f>IF($C16="","",7)</f>
        <v>7</v>
      </c>
      <c r="C16" s="43" t="str">
        <f>IFERROR(INDEX('Where it goes'!$T$8:$T$47,MATCH(LARGE('Where it goes'!$V$8:$V$47,7),'Where it goes'!$V$8:$V$47,0)),"")</f>
        <v>Teams Communications</v>
      </c>
      <c r="D16" s="44">
        <f>IF($C16="","",SUMIFS(Data!$N$2:$N$1201,Data!$C$2:$C$1201,$C16)/60)</f>
        <v>2.351833333333333</v>
      </c>
      <c r="E16" s="45">
        <f>IF(OR($C16="",SUMIFS(Data!$N$2:$N$1201,Data!$E$2:$E$1201,"timed")=0),"",SUMIFS(Data!$N$2:$N$1201,Data!$C$2:$C$1201,$C16)/SUMIFS(Data!$N$2:$N$1201,Data!$E$2:$E$1201,"timed"))</f>
        <v>5.5116787750956936E-2</v>
      </c>
      <c r="F16" s="46">
        <f t="shared" si="2"/>
        <v>2.351833333333333</v>
      </c>
      <c r="G16" s="47">
        <f>IF($C16="","",COUNTIFS(Data!$C$2:$C$1201,$C16,Data!$E$2:$E$1201,"timed"))</f>
        <v>11</v>
      </c>
      <c r="H16" s="48">
        <f>IF(OR($C16="",COUNTIFS(Data!$C$2:$C$1201,$C16,Data!$E$2:$E$1201,"timed")=0),"",SUMIFS(Data!$N$2:$N$1201,Data!$C$2:$C$1201,$C16)/COUNTIFS(Data!$C$2:$C$1201,$C16,Data!$E$2:$E$1201,"timed"))</f>
        <v>12.828181818181816</v>
      </c>
      <c r="I16" s="47">
        <f>IF($C16="","",SUMIFS(Data!$AB$2:$AB$1201,Data!$C$2:$C$1201,$C16))</f>
        <v>1</v>
      </c>
      <c r="J16" s="49">
        <f>IF($C16="","",SUMIFS(Data!$AL$2:$AL$1201,Data!$C$2:$C$1201,$C16))</f>
        <v>90.36999999999999</v>
      </c>
      <c r="T16" t="str">
        <f>IFERROR(INDEX(Data!$C$2:$C$1201,MATCH(9,Data!$U$2:$U$1201,0)),"")</f>
        <v>Support</v>
      </c>
      <c r="U16">
        <f>IF($T16="","",SUMIFS(Data!$N$2:$N$1201,Data!$C$2:$C$1201,$T16)/60)</f>
        <v>1.1826666666666665</v>
      </c>
      <c r="V16">
        <f t="shared" si="0"/>
        <v>1.1826826666666665</v>
      </c>
      <c r="X16" t="str">
        <f>IFERROR(INDEX(Data!$B$2:$B$1201,MATCH(9,Data!$W$2:$W$1201,0)),"")</f>
        <v>Support</v>
      </c>
      <c r="Y16">
        <f>IF($X16="","",SUMIFS(Data!$N$2:$N$1201,Data!$B$2:$B$1201,$X16)/60)</f>
        <v>1.1826666666666665</v>
      </c>
      <c r="Z16">
        <f t="shared" si="1"/>
        <v>1.1826826666666665</v>
      </c>
    </row>
    <row r="17" spans="2:26" x14ac:dyDescent="0.25">
      <c r="B17" s="42">
        <f>IF($C17="","",8)</f>
        <v>8</v>
      </c>
      <c r="C17" s="43" t="str">
        <f>IFERROR(INDEX('Where it goes'!$T$8:$T$47,MATCH(LARGE('Where it goes'!$V$8:$V$47,8),'Where it goes'!$V$8:$V$47,0)),"")</f>
        <v>Support</v>
      </c>
      <c r="D17" s="44">
        <f>IF($C17="","",SUMIFS(Data!$N$2:$N$1201,Data!$C$2:$C$1201,$C17)/60)</f>
        <v>1.1826666666666665</v>
      </c>
      <c r="E17" s="45">
        <f>IF(OR($C17="",SUMIFS(Data!$N$2:$N$1201,Data!$E$2:$E$1201,"timed")=0),"",SUMIFS(Data!$N$2:$N$1201,Data!$C$2:$C$1201,$C17)/SUMIFS(Data!$N$2:$N$1201,Data!$E$2:$E$1201,"timed"))</f>
        <v>2.7716584641824846E-2</v>
      </c>
      <c r="F17" s="46">
        <f t="shared" si="2"/>
        <v>1.1826666666666665</v>
      </c>
      <c r="G17" s="47">
        <f>IF($C17="","",COUNTIFS(Data!$C$2:$C$1201,$C17,Data!$E$2:$E$1201,"timed"))</f>
        <v>1</v>
      </c>
      <c r="H17" s="48">
        <f>IF(OR($C17="",COUNTIFS(Data!$C$2:$C$1201,$C17,Data!$E$2:$E$1201,"timed")=0),"",SUMIFS(Data!$N$2:$N$1201,Data!$C$2:$C$1201,$C17)/COUNTIFS(Data!$C$2:$C$1201,$C17,Data!$E$2:$E$1201,"timed"))</f>
        <v>70.959999999999994</v>
      </c>
      <c r="I17" s="47">
        <f>IF($C17="","",SUMIFS(Data!$AB$2:$AB$1201,Data!$C$2:$C$1201,$C17))</f>
        <v>0</v>
      </c>
      <c r="J17" s="49">
        <f>IF($C17="","",SUMIFS(Data!$AL$2:$AL$1201,Data!$C$2:$C$1201,$C17))</f>
        <v>45.44</v>
      </c>
      <c r="T17" t="str">
        <f>IFERROR(INDEX(Data!$C$2:$C$1201,MATCH(10,Data!$U$2:$U$1201,0)),"")</f>
        <v>Finish for the Day</v>
      </c>
      <c r="U17">
        <f>IF($T17="","",SUMIFS(Data!$N$2:$N$1201,Data!$C$2:$C$1201,$T17)/60)</f>
        <v>2E-3</v>
      </c>
      <c r="V17">
        <f t="shared" si="0"/>
        <v>2.0170000000000001E-3</v>
      </c>
      <c r="X17" t="str">
        <f>IFERROR(INDEX(Data!$B$2:$B$1201,MATCH(10,Data!$W$2:$W$1201,0)),"")</f>
        <v>Finish for the Day</v>
      </c>
      <c r="Y17">
        <f>IF($X17="","",SUMIFS(Data!$N$2:$N$1201,Data!$B$2:$B$1201,$X17)/60)</f>
        <v>2E-3</v>
      </c>
      <c r="Z17">
        <f t="shared" si="1"/>
        <v>2.0170000000000001E-3</v>
      </c>
    </row>
    <row r="18" spans="2:26" x14ac:dyDescent="0.25">
      <c r="B18" s="42">
        <f>IF($C18="","",9)</f>
        <v>9</v>
      </c>
      <c r="C18" s="43" t="str">
        <f>IFERROR(INDEX('Where it goes'!$T$8:$T$47,MATCH(LARGE('Where it goes'!$V$8:$V$47,9),'Where it goes'!$V$8:$V$47,0)),"")</f>
        <v>Meetings</v>
      </c>
      <c r="D18" s="44">
        <f>IF($C18="","",SUMIFS(Data!$N$2:$N$1201,Data!$C$2:$C$1201,$C18)/60)</f>
        <v>0.56333333333333335</v>
      </c>
      <c r="E18" s="45">
        <f>IF(OR($C18="",SUMIFS(Data!$N$2:$N$1201,Data!$E$2:$E$1201,"timed")=0),"",SUMIFS(Data!$N$2:$N$1201,Data!$C$2:$C$1201,$C18)/SUMIFS(Data!$N$2:$N$1201,Data!$E$2:$E$1201,"timed"))</f>
        <v>1.3202093586438557E-2</v>
      </c>
      <c r="F18" s="46">
        <f t="shared" si="2"/>
        <v>0.56333333333333335</v>
      </c>
      <c r="G18" s="47">
        <f>IF($C18="","",COUNTIFS(Data!$C$2:$C$1201,$C18,Data!$E$2:$E$1201,"timed"))</f>
        <v>3</v>
      </c>
      <c r="H18" s="48">
        <f>IF(OR($C18="",COUNTIFS(Data!$C$2:$C$1201,$C18,Data!$E$2:$E$1201,"timed")=0),"",SUMIFS(Data!$N$2:$N$1201,Data!$C$2:$C$1201,$C18)/COUNTIFS(Data!$C$2:$C$1201,$C18,Data!$E$2:$E$1201,"timed"))</f>
        <v>11.266666666666667</v>
      </c>
      <c r="I18" s="47">
        <f>IF($C18="","",SUMIFS(Data!$AB$2:$AB$1201,Data!$C$2:$C$1201,$C18))</f>
        <v>0</v>
      </c>
      <c r="J18" s="49">
        <f>IF($C18="","",SUMIFS(Data!$AL$2:$AL$1201,Data!$C$2:$C$1201,$C18))</f>
        <v>21.64</v>
      </c>
      <c r="T18" t="str">
        <f>IFERROR(INDEX(Data!$C$2:$C$1201,MATCH(11,Data!$U$2:$U$1201,0)),"")</f>
        <v>To-do</v>
      </c>
      <c r="U18">
        <f>IF($T18="","",SUMIFS(Data!$N$2:$N$1201,Data!$C$2:$C$1201,$T18)/60)</f>
        <v>0</v>
      </c>
      <c r="V18">
        <f t="shared" si="0"/>
        <v>1.8E-5</v>
      </c>
      <c r="X18" t="str">
        <f>IFERROR(INDEX(Data!$B$2:$B$1201,MATCH(11,Data!$W$2:$W$1201,0)),"")</f>
        <v>Complete new form to send to customers for creation of fixtures</v>
      </c>
      <c r="Y18">
        <f>IF($X18="","",SUMIFS(Data!$N$2:$N$1201,Data!$B$2:$B$1201,$X18)/60)</f>
        <v>0</v>
      </c>
      <c r="Z18">
        <f t="shared" si="1"/>
        <v>1.8E-5</v>
      </c>
    </row>
    <row r="19" spans="2:26" x14ac:dyDescent="0.25">
      <c r="B19" s="42">
        <f>IF($C19="","",10)</f>
        <v>10</v>
      </c>
      <c r="C19" s="43" t="str">
        <f>IFERROR(INDEX('Where it goes'!$T$8:$T$47,MATCH(LARGE('Where it goes'!$V$8:$V$47,10),'Where it goes'!$V$8:$V$47,0)),"")</f>
        <v>Finish for the Day</v>
      </c>
      <c r="D19" s="44">
        <f>IF($C19="","",SUMIFS(Data!$N$2:$N$1201,Data!$C$2:$C$1201,$C19)/60)</f>
        <v>2E-3</v>
      </c>
      <c r="E19" s="45">
        <f>IF(OR($C19="",SUMIFS(Data!$N$2:$N$1201,Data!$E$2:$E$1201,"timed")=0),"",SUMIFS(Data!$N$2:$N$1201,Data!$C$2:$C$1201,$C19)/SUMIFS(Data!$N$2:$N$1201,Data!$E$2:$E$1201,"timed"))</f>
        <v>4.6871338176704927E-5</v>
      </c>
      <c r="F19" s="46">
        <f t="shared" si="2"/>
        <v>2E-3</v>
      </c>
      <c r="G19" s="47">
        <f>IF($C19="","",COUNTIFS(Data!$C$2:$C$1201,$C19,Data!$E$2:$E$1201,"timed"))</f>
        <v>1</v>
      </c>
      <c r="H19" s="48">
        <f>IF(OR($C19="",COUNTIFS(Data!$C$2:$C$1201,$C19,Data!$E$2:$E$1201,"timed")=0),"",SUMIFS(Data!$N$2:$N$1201,Data!$C$2:$C$1201,$C19)/COUNTIFS(Data!$C$2:$C$1201,$C19,Data!$E$2:$E$1201,"timed"))</f>
        <v>0.12</v>
      </c>
      <c r="I19" s="47">
        <f>IF($C19="","",SUMIFS(Data!$AB$2:$AB$1201,Data!$C$2:$C$1201,$C19))</f>
        <v>0</v>
      </c>
      <c r="J19" s="49">
        <f>IF($C19="","",SUMIFS(Data!$AL$2:$AL$1201,Data!$C$2:$C$1201,$C19))</f>
        <v>0.08</v>
      </c>
      <c r="T19" t="str">
        <f>IFERROR(INDEX(Data!$C$2:$C$1201,MATCH(12,Data!$U$2:$U$1201,0)),"")</f>
        <v/>
      </c>
      <c r="U19" t="str">
        <f>IF($T19="","",SUMIFS(Data!$N$2:$N$1201,Data!$C$2:$C$1201,$T19)/60)</f>
        <v/>
      </c>
      <c r="V19" t="str">
        <f t="shared" si="0"/>
        <v/>
      </c>
      <c r="X19" t="str">
        <f>IFERROR(INDEX(Data!$B$2:$B$1201,MATCH(12,Data!$W$2:$W$1201,0)),"")</f>
        <v>New trial tickets</v>
      </c>
      <c r="Y19">
        <f>IF($X19="","",SUMIFS(Data!$N$2:$N$1201,Data!$B$2:$B$1201,$X19)/60)</f>
        <v>0</v>
      </c>
      <c r="Z19">
        <f t="shared" si="1"/>
        <v>1.9000000000000001E-5</v>
      </c>
    </row>
    <row r="20" spans="2:26" x14ac:dyDescent="0.25">
      <c r="B20" s="42">
        <f>IF($C20="","",11)</f>
        <v>11</v>
      </c>
      <c r="C20" s="43" t="str">
        <f>IFERROR(INDEX('Where it goes'!$T$8:$T$47,MATCH(LARGE('Where it goes'!$V$8:$V$47,11),'Where it goes'!$V$8:$V$47,0)),"")</f>
        <v>To-do</v>
      </c>
      <c r="D20" s="44">
        <f>IF($C20="","",SUMIFS(Data!$N$2:$N$1201,Data!$C$2:$C$1201,$C20)/60)</f>
        <v>0</v>
      </c>
      <c r="E20" s="45">
        <f>IF(OR($C20="",SUMIFS(Data!$N$2:$N$1201,Data!$E$2:$E$1201,"timed")=0),"",SUMIFS(Data!$N$2:$N$1201,Data!$C$2:$C$1201,$C20)/SUMIFS(Data!$N$2:$N$1201,Data!$E$2:$E$1201,"timed"))</f>
        <v>0</v>
      </c>
      <c r="F20" s="46">
        <f t="shared" si="2"/>
        <v>0</v>
      </c>
      <c r="G20" s="47">
        <f>IF($C20="","",COUNTIFS(Data!$C$2:$C$1201,$C20,Data!$E$2:$E$1201,"timed"))</f>
        <v>0</v>
      </c>
      <c r="H20" s="48" t="str">
        <f>IF(OR($C20="",COUNTIFS(Data!$C$2:$C$1201,$C20,Data!$E$2:$E$1201,"timed")=0),"",SUMIFS(Data!$N$2:$N$1201,Data!$C$2:$C$1201,$C20)/COUNTIFS(Data!$C$2:$C$1201,$C20,Data!$E$2:$E$1201,"timed"))</f>
        <v/>
      </c>
      <c r="I20" s="47">
        <f>IF($C20="","",SUMIFS(Data!$AB$2:$AB$1201,Data!$C$2:$C$1201,$C20))</f>
        <v>0</v>
      </c>
      <c r="J20" s="49">
        <f>IF($C20="","",SUMIFS(Data!$AL$2:$AL$1201,Data!$C$2:$C$1201,$C20))</f>
        <v>0</v>
      </c>
      <c r="T20" t="str">
        <f>IFERROR(INDEX(Data!$C$2:$C$1201,MATCH(13,Data!$U$2:$U$1201,0)),"")</f>
        <v/>
      </c>
      <c r="U20" t="str">
        <f>IF($T20="","",SUMIFS(Data!$N$2:$N$1201,Data!$C$2:$C$1201,$T20)/60)</f>
        <v/>
      </c>
      <c r="V20" t="str">
        <f t="shared" si="0"/>
        <v/>
      </c>
      <c r="X20" t="str">
        <f>IFERROR(INDEX(Data!$B$2:$B$1201,MATCH(13,Data!$W$2:$W$1201,0)),"")</f>
        <v>Emails</v>
      </c>
      <c r="Y20">
        <f>IF($X20="","",SUMIFS(Data!$N$2:$N$1201,Data!$B$2:$B$1201,$X20)/60)</f>
        <v>0</v>
      </c>
      <c r="Z20">
        <f t="shared" si="1"/>
        <v>2.0000000000000002E-5</v>
      </c>
    </row>
    <row r="21" spans="2:26" x14ac:dyDescent="0.25">
      <c r="B21" s="42" t="str">
        <f>IF($C21="","",12)</f>
        <v/>
      </c>
      <c r="C21" s="43" t="str">
        <f>IFERROR(INDEX('Where it goes'!$T$8:$T$47,MATCH(LARGE('Where it goes'!$V$8:$V$47,12),'Where it goes'!$V$8:$V$47,0)),"")</f>
        <v/>
      </c>
      <c r="D21" s="44" t="str">
        <f>IF($C21="","",SUMIFS(Data!$N$2:$N$1201,Data!$C$2:$C$1201,$C21)/60)</f>
        <v/>
      </c>
      <c r="E21" s="45" t="str">
        <f>IF(OR($C21="",SUMIFS(Data!$N$2:$N$1201,Data!$E$2:$E$1201,"timed")=0),"",SUMIFS(Data!$N$2:$N$1201,Data!$C$2:$C$1201,$C21)/SUMIFS(Data!$N$2:$N$1201,Data!$E$2:$E$1201,"timed"))</f>
        <v/>
      </c>
      <c r="F21" s="46" t="str">
        <f t="shared" si="2"/>
        <v/>
      </c>
      <c r="G21" s="47" t="str">
        <f>IF($C21="","",COUNTIFS(Data!$C$2:$C$1201,$C21,Data!$E$2:$E$1201,"timed"))</f>
        <v/>
      </c>
      <c r="H21" s="48" t="str">
        <f>IF(OR($C21="",COUNTIFS(Data!$C$2:$C$1201,$C21,Data!$E$2:$E$1201,"timed")=0),"",SUMIFS(Data!$N$2:$N$1201,Data!$C$2:$C$1201,$C21)/COUNTIFS(Data!$C$2:$C$1201,$C21,Data!$E$2:$E$1201,"timed"))</f>
        <v/>
      </c>
      <c r="I21" s="47" t="str">
        <f>IF($C21="","",SUMIFS(Data!$AB$2:$AB$1201,Data!$C$2:$C$1201,$C21))</f>
        <v/>
      </c>
      <c r="J21" s="49" t="str">
        <f>IF($C21="","",SUMIFS(Data!$AL$2:$AL$1201,Data!$C$2:$C$1201,$C21))</f>
        <v/>
      </c>
      <c r="T21" t="str">
        <f>IFERROR(INDEX(Data!$C$2:$C$1201,MATCH(14,Data!$U$2:$U$1201,0)),"")</f>
        <v/>
      </c>
      <c r="U21" t="str">
        <f>IF($T21="","",SUMIFS(Data!$N$2:$N$1201,Data!$C$2:$C$1201,$T21)/60)</f>
        <v/>
      </c>
      <c r="V21" t="str">
        <f t="shared" si="0"/>
        <v/>
      </c>
      <c r="X21" t="str">
        <f>IFERROR(INDEX(Data!$B$2:$B$1201,MATCH(14,Data!$W$2:$W$1201,0)),"")</f>
        <v>Stand-up meeting at 9:45am</v>
      </c>
      <c r="Y21">
        <f>IF($X21="","",SUMIFS(Data!$N$2:$N$1201,Data!$B$2:$B$1201,$X21)/60)</f>
        <v>0</v>
      </c>
      <c r="Z21">
        <f t="shared" si="1"/>
        <v>2.0999999999999999E-5</v>
      </c>
    </row>
    <row r="22" spans="2:26" x14ac:dyDescent="0.25">
      <c r="B22" s="42" t="str">
        <f>IF($C22="","",13)</f>
        <v/>
      </c>
      <c r="C22" s="43" t="str">
        <f>IFERROR(INDEX('Where it goes'!$T$8:$T$47,MATCH(LARGE('Where it goes'!$V$8:$V$47,13),'Where it goes'!$V$8:$V$47,0)),"")</f>
        <v/>
      </c>
      <c r="D22" s="44" t="str">
        <f>IF($C22="","",SUMIFS(Data!$N$2:$N$1201,Data!$C$2:$C$1201,$C22)/60)</f>
        <v/>
      </c>
      <c r="E22" s="45" t="str">
        <f>IF(OR($C22="",SUMIFS(Data!$N$2:$N$1201,Data!$E$2:$E$1201,"timed")=0),"",SUMIFS(Data!$N$2:$N$1201,Data!$C$2:$C$1201,$C22)/SUMIFS(Data!$N$2:$N$1201,Data!$E$2:$E$1201,"timed"))</f>
        <v/>
      </c>
      <c r="F22" s="46" t="str">
        <f t="shared" si="2"/>
        <v/>
      </c>
      <c r="G22" s="47" t="str">
        <f>IF($C22="","",COUNTIFS(Data!$C$2:$C$1201,$C22,Data!$E$2:$E$1201,"timed"))</f>
        <v/>
      </c>
      <c r="H22" s="48" t="str">
        <f>IF(OR($C22="",COUNTIFS(Data!$C$2:$C$1201,$C22,Data!$E$2:$E$1201,"timed")=0),"",SUMIFS(Data!$N$2:$N$1201,Data!$C$2:$C$1201,$C22)/COUNTIFS(Data!$C$2:$C$1201,$C22,Data!$E$2:$E$1201,"timed"))</f>
        <v/>
      </c>
      <c r="I22" s="47" t="str">
        <f>IF($C22="","",SUMIFS(Data!$AB$2:$AB$1201,Data!$C$2:$C$1201,$C22))</f>
        <v/>
      </c>
      <c r="J22" s="49" t="str">
        <f>IF($C22="","",SUMIFS(Data!$AL$2:$AL$1201,Data!$C$2:$C$1201,$C22))</f>
        <v/>
      </c>
      <c r="T22" t="str">
        <f>IFERROR(INDEX(Data!$C$2:$C$1201,MATCH(15,Data!$U$2:$U$1201,0)),"")</f>
        <v/>
      </c>
      <c r="U22" t="str">
        <f>IF($T22="","",SUMIFS(Data!$N$2:$N$1201,Data!$C$2:$C$1201,$T22)/60)</f>
        <v/>
      </c>
      <c r="V22" t="str">
        <f t="shared" si="0"/>
        <v/>
      </c>
      <c r="X22" t="str">
        <f>IFERROR(INDEX(Data!$B$2:$B$1201,MATCH(15,Data!$W$2:$W$1201,0)),"")</f>
        <v>11am meeting - Support &amp; Service</v>
      </c>
      <c r="Y22">
        <f>IF($X22="","",SUMIFS(Data!$N$2:$N$1201,Data!$B$2:$B$1201,$X22)/60)</f>
        <v>0</v>
      </c>
      <c r="Z22">
        <f t="shared" si="1"/>
        <v>2.1999999999999999E-5</v>
      </c>
    </row>
    <row r="23" spans="2:26" x14ac:dyDescent="0.25">
      <c r="B23" s="42" t="str">
        <f>IF($C23="","",14)</f>
        <v/>
      </c>
      <c r="C23" s="43" t="str">
        <f>IFERROR(INDEX('Where it goes'!$T$8:$T$47,MATCH(LARGE('Where it goes'!$V$8:$V$47,14),'Where it goes'!$V$8:$V$47,0)),"")</f>
        <v/>
      </c>
      <c r="D23" s="44" t="str">
        <f>IF($C23="","",SUMIFS(Data!$N$2:$N$1201,Data!$C$2:$C$1201,$C23)/60)</f>
        <v/>
      </c>
      <c r="E23" s="45" t="str">
        <f>IF(OR($C23="",SUMIFS(Data!$N$2:$N$1201,Data!$E$2:$E$1201,"timed")=0),"",SUMIFS(Data!$N$2:$N$1201,Data!$C$2:$C$1201,$C23)/SUMIFS(Data!$N$2:$N$1201,Data!$E$2:$E$1201,"timed"))</f>
        <v/>
      </c>
      <c r="F23" s="46" t="str">
        <f t="shared" si="2"/>
        <v/>
      </c>
      <c r="G23" s="47" t="str">
        <f>IF($C23="","",COUNTIFS(Data!$C$2:$C$1201,$C23,Data!$E$2:$E$1201,"timed"))</f>
        <v/>
      </c>
      <c r="H23" s="48" t="str">
        <f>IF(OR($C23="",COUNTIFS(Data!$C$2:$C$1201,$C23,Data!$E$2:$E$1201,"timed")=0),"",SUMIFS(Data!$N$2:$N$1201,Data!$C$2:$C$1201,$C23)/COUNTIFS(Data!$C$2:$C$1201,$C23,Data!$E$2:$E$1201,"timed"))</f>
        <v/>
      </c>
      <c r="I23" s="47" t="str">
        <f>IF($C23="","",SUMIFS(Data!$AB$2:$AB$1201,Data!$C$2:$C$1201,$C23))</f>
        <v/>
      </c>
      <c r="J23" s="49" t="str">
        <f>IF($C23="","",SUMIFS(Data!$AL$2:$AL$1201,Data!$C$2:$C$1201,$C23))</f>
        <v/>
      </c>
      <c r="T23" t="str">
        <f>IFERROR(INDEX(Data!$C$2:$C$1201,MATCH(16,Data!$U$2:$U$1201,0)),"")</f>
        <v/>
      </c>
      <c r="U23" t="str">
        <f>IF($T23="","",SUMIFS(Data!$N$2:$N$1201,Data!$C$2:$C$1201,$T23)/60)</f>
        <v/>
      </c>
      <c r="V23" t="str">
        <f t="shared" si="0"/>
        <v/>
      </c>
      <c r="X23" t="str">
        <f>IFERROR(INDEX(Data!$B$2:$B$1201,MATCH(16,Data!$W$2:$W$1201,0)),"")</f>
        <v>Ticket updates</v>
      </c>
      <c r="Y23">
        <f>IF($X23="","",SUMIFS(Data!$N$2:$N$1201,Data!$B$2:$B$1201,$X23)/60)</f>
        <v>0</v>
      </c>
      <c r="Z23">
        <f t="shared" si="1"/>
        <v>2.3E-5</v>
      </c>
    </row>
    <row r="24" spans="2:26" x14ac:dyDescent="0.25">
      <c r="B24" s="42" t="str">
        <f>IF($C24="","",15)</f>
        <v/>
      </c>
      <c r="C24" s="43" t="str">
        <f>IFERROR(INDEX('Where it goes'!$T$8:$T$47,MATCH(LARGE('Where it goes'!$V$8:$V$47,15),'Where it goes'!$V$8:$V$47,0)),"")</f>
        <v/>
      </c>
      <c r="D24" s="44" t="str">
        <f>IF($C24="","",SUMIFS(Data!$N$2:$N$1201,Data!$C$2:$C$1201,$C24)/60)</f>
        <v/>
      </c>
      <c r="E24" s="45" t="str">
        <f>IF(OR($C24="",SUMIFS(Data!$N$2:$N$1201,Data!$E$2:$E$1201,"timed")=0),"",SUMIFS(Data!$N$2:$N$1201,Data!$C$2:$C$1201,$C24)/SUMIFS(Data!$N$2:$N$1201,Data!$E$2:$E$1201,"timed"))</f>
        <v/>
      </c>
      <c r="F24" s="46" t="str">
        <f t="shared" si="2"/>
        <v/>
      </c>
      <c r="G24" s="47" t="str">
        <f>IF($C24="","",COUNTIFS(Data!$C$2:$C$1201,$C24,Data!$E$2:$E$1201,"timed"))</f>
        <v/>
      </c>
      <c r="H24" s="48" t="str">
        <f>IF(OR($C24="",COUNTIFS(Data!$C$2:$C$1201,$C24,Data!$E$2:$E$1201,"timed")=0),"",SUMIFS(Data!$N$2:$N$1201,Data!$C$2:$C$1201,$C24)/COUNTIFS(Data!$C$2:$C$1201,$C24,Data!$E$2:$E$1201,"timed"))</f>
        <v/>
      </c>
      <c r="I24" s="47" t="str">
        <f>IF($C24="","",SUMIFS(Data!$AB$2:$AB$1201,Data!$C$2:$C$1201,$C24))</f>
        <v/>
      </c>
      <c r="J24" s="49" t="str">
        <f>IF($C24="","",SUMIFS(Data!$AL$2:$AL$1201,Data!$C$2:$C$1201,$C24))</f>
        <v/>
      </c>
      <c r="T24" t="str">
        <f>IFERROR(INDEX(Data!$C$2:$C$1201,MATCH(17,Data!$U$2:$U$1201,0)),"")</f>
        <v/>
      </c>
      <c r="U24" t="str">
        <f>IF($T24="","",SUMIFS(Data!$N$2:$N$1201,Data!$C$2:$C$1201,$T24)/60)</f>
        <v/>
      </c>
      <c r="V24" t="str">
        <f t="shared" si="0"/>
        <v/>
      </c>
      <c r="X24" t="str">
        <f>IFERROR(INDEX(Data!$B$2:$B$1201,MATCH(17,Data!$W$2:$W$1201,0)),"")</f>
        <v>Hand specialist - 1pm</v>
      </c>
      <c r="Y24">
        <f>IF($X24="","",SUMIFS(Data!$N$2:$N$1201,Data!$B$2:$B$1201,$X24)/60)</f>
        <v>0</v>
      </c>
      <c r="Z24">
        <f t="shared" si="1"/>
        <v>2.4000000000000001E-5</v>
      </c>
    </row>
    <row r="25" spans="2:26" x14ac:dyDescent="0.25">
      <c r="B25" s="42" t="str">
        <f>IF($C25="","",16)</f>
        <v/>
      </c>
      <c r="C25" s="43" t="str">
        <f>IFERROR(INDEX('Where it goes'!$T$8:$T$47,MATCH(LARGE('Where it goes'!$V$8:$V$47,16),'Where it goes'!$V$8:$V$47,0)),"")</f>
        <v/>
      </c>
      <c r="D25" s="44" t="str">
        <f>IF($C25="","",SUMIFS(Data!$N$2:$N$1201,Data!$C$2:$C$1201,$C25)/60)</f>
        <v/>
      </c>
      <c r="E25" s="45" t="str">
        <f>IF(OR($C25="",SUMIFS(Data!$N$2:$N$1201,Data!$E$2:$E$1201,"timed")=0),"",SUMIFS(Data!$N$2:$N$1201,Data!$C$2:$C$1201,$C25)/SUMIFS(Data!$N$2:$N$1201,Data!$E$2:$E$1201,"timed"))</f>
        <v/>
      </c>
      <c r="F25" s="46" t="str">
        <f t="shared" si="2"/>
        <v/>
      </c>
      <c r="G25" s="47" t="str">
        <f>IF($C25="","",COUNTIFS(Data!$C$2:$C$1201,$C25,Data!$E$2:$E$1201,"timed"))</f>
        <v/>
      </c>
      <c r="H25" s="48" t="str">
        <f>IF(OR($C25="",COUNTIFS(Data!$C$2:$C$1201,$C25,Data!$E$2:$E$1201,"timed")=0),"",SUMIFS(Data!$N$2:$N$1201,Data!$C$2:$C$1201,$C25)/COUNTIFS(Data!$C$2:$C$1201,$C25,Data!$E$2:$E$1201,"timed"))</f>
        <v/>
      </c>
      <c r="I25" s="47" t="str">
        <f>IF($C25="","",SUMIFS(Data!$AB$2:$AB$1201,Data!$C$2:$C$1201,$C25))</f>
        <v/>
      </c>
      <c r="J25" s="49" t="str">
        <f>IF($C25="","",SUMIFS(Data!$AL$2:$AL$1201,Data!$C$2:$C$1201,$C25))</f>
        <v/>
      </c>
      <c r="T25" t="str">
        <f>IFERROR(INDEX(Data!$C$2:$C$1201,MATCH(18,Data!$U$2:$U$1201,0)),"")</f>
        <v/>
      </c>
      <c r="U25" t="str">
        <f>IF($T25="","",SUMIFS(Data!$N$2:$N$1201,Data!$C$2:$C$1201,$T25)/60)</f>
        <v/>
      </c>
      <c r="V25" t="str">
        <f t="shared" si="0"/>
        <v/>
      </c>
      <c r="X25" t="str">
        <f>IFERROR(INDEX(Data!$B$2:$B$1201,MATCH(18,Data!$W$2:$W$1201,0)),"")</f>
        <v>Take lunch at 12pm</v>
      </c>
      <c r="Y25">
        <f>IF($X25="","",SUMIFS(Data!$N$2:$N$1201,Data!$B$2:$B$1201,$X25)/60)</f>
        <v>0</v>
      </c>
      <c r="Z25">
        <f t="shared" si="1"/>
        <v>2.5000000000000001E-5</v>
      </c>
    </row>
    <row r="26" spans="2:26" x14ac:dyDescent="0.25">
      <c r="B26" s="42" t="str">
        <f>IF($C26="","",17)</f>
        <v/>
      </c>
      <c r="C26" s="43" t="str">
        <f>IFERROR(INDEX('Where it goes'!$T$8:$T$47,MATCH(LARGE('Where it goes'!$V$8:$V$47,17),'Where it goes'!$V$8:$V$47,0)),"")</f>
        <v/>
      </c>
      <c r="D26" s="44" t="str">
        <f>IF($C26="","",SUMIFS(Data!$N$2:$N$1201,Data!$C$2:$C$1201,$C26)/60)</f>
        <v/>
      </c>
      <c r="E26" s="45" t="str">
        <f>IF(OR($C26="",SUMIFS(Data!$N$2:$N$1201,Data!$E$2:$E$1201,"timed")=0),"",SUMIFS(Data!$N$2:$N$1201,Data!$C$2:$C$1201,$C26)/SUMIFS(Data!$N$2:$N$1201,Data!$E$2:$E$1201,"timed"))</f>
        <v/>
      </c>
      <c r="F26" s="46" t="str">
        <f t="shared" si="2"/>
        <v/>
      </c>
      <c r="G26" s="47" t="str">
        <f>IF($C26="","",COUNTIFS(Data!$C$2:$C$1201,$C26,Data!$E$2:$E$1201,"timed"))</f>
        <v/>
      </c>
      <c r="H26" s="48" t="str">
        <f>IF(OR($C26="",COUNTIFS(Data!$C$2:$C$1201,$C26,Data!$E$2:$E$1201,"timed")=0),"",SUMIFS(Data!$N$2:$N$1201,Data!$C$2:$C$1201,$C26)/COUNTIFS(Data!$C$2:$C$1201,$C26,Data!$E$2:$E$1201,"timed"))</f>
        <v/>
      </c>
      <c r="I26" s="47" t="str">
        <f>IF($C26="","",SUMIFS(Data!$AB$2:$AB$1201,Data!$C$2:$C$1201,$C26))</f>
        <v/>
      </c>
      <c r="J26" s="49" t="str">
        <f>IF($C26="","",SUMIFS(Data!$AL$2:$AL$1201,Data!$C$2:$C$1201,$C26))</f>
        <v/>
      </c>
      <c r="T26" t="str">
        <f>IFERROR(INDEX(Data!$C$2:$C$1201,MATCH(19,Data!$U$2:$U$1201,0)),"")</f>
        <v/>
      </c>
      <c r="U26" t="str">
        <f>IF($T26="","",SUMIFS(Data!$N$2:$N$1201,Data!$C$2:$C$1201,$T26)/60)</f>
        <v/>
      </c>
      <c r="V26" t="str">
        <f t="shared" si="0"/>
        <v/>
      </c>
      <c r="X26" t="str">
        <f>IFERROR(INDEX(Data!$B$2:$B$1201,MATCH(19,Data!$W$2:$W$1201,0)),"")</f>
        <v>9:45am Stand-up Meeting</v>
      </c>
      <c r="Y26">
        <f>IF($X26="","",SUMIFS(Data!$N$2:$N$1201,Data!$B$2:$B$1201,$X26)/60)</f>
        <v>0</v>
      </c>
      <c r="Z26">
        <f t="shared" si="1"/>
        <v>2.5999999999999998E-5</v>
      </c>
    </row>
    <row r="27" spans="2:26" x14ac:dyDescent="0.25">
      <c r="B27" s="42" t="str">
        <f>IF($C27="","",18)</f>
        <v/>
      </c>
      <c r="C27" s="43" t="str">
        <f>IFERROR(INDEX('Where it goes'!$T$8:$T$47,MATCH(LARGE('Where it goes'!$V$8:$V$47,18),'Where it goes'!$V$8:$V$47,0)),"")</f>
        <v/>
      </c>
      <c r="D27" s="44" t="str">
        <f>IF($C27="","",SUMIFS(Data!$N$2:$N$1201,Data!$C$2:$C$1201,$C27)/60)</f>
        <v/>
      </c>
      <c r="E27" s="45" t="str">
        <f>IF(OR($C27="",SUMIFS(Data!$N$2:$N$1201,Data!$E$2:$E$1201,"timed")=0),"",SUMIFS(Data!$N$2:$N$1201,Data!$C$2:$C$1201,$C27)/SUMIFS(Data!$N$2:$N$1201,Data!$E$2:$E$1201,"timed"))</f>
        <v/>
      </c>
      <c r="F27" s="46" t="str">
        <f t="shared" si="2"/>
        <v/>
      </c>
      <c r="G27" s="47" t="str">
        <f>IF($C27="","",COUNTIFS(Data!$C$2:$C$1201,$C27,Data!$E$2:$E$1201,"timed"))</f>
        <v/>
      </c>
      <c r="H27" s="48" t="str">
        <f>IF(OR($C27="",COUNTIFS(Data!$C$2:$C$1201,$C27,Data!$E$2:$E$1201,"timed")=0),"",SUMIFS(Data!$N$2:$N$1201,Data!$C$2:$C$1201,$C27)/COUNTIFS(Data!$C$2:$C$1201,$C27,Data!$E$2:$E$1201,"timed"))</f>
        <v/>
      </c>
      <c r="I27" s="47" t="str">
        <f>IF($C27="","",SUMIFS(Data!$AB$2:$AB$1201,Data!$C$2:$C$1201,$C27))</f>
        <v/>
      </c>
      <c r="J27" s="49" t="str">
        <f>IF($C27="","",SUMIFS(Data!$AL$2:$AL$1201,Data!$C$2:$C$1201,$C27))</f>
        <v/>
      </c>
      <c r="T27" t="str">
        <f>IFERROR(INDEX(Data!$C$2:$C$1201,MATCH(20,Data!$U$2:$U$1201,0)),"")</f>
        <v/>
      </c>
      <c r="U27" t="str">
        <f>IF($T27="","",SUMIFS(Data!$N$2:$N$1201,Data!$C$2:$C$1201,$T27)/60)</f>
        <v/>
      </c>
      <c r="V27" t="str">
        <f t="shared" si="0"/>
        <v/>
      </c>
      <c r="X27" t="str">
        <f>IFERROR(INDEX(Data!$B$2:$B$1201,MATCH(20,Data!$W$2:$W$1201,0)),"")</f>
        <v>Take dog to vet</v>
      </c>
      <c r="Y27">
        <f>IF($X27="","",SUMIFS(Data!$N$2:$N$1201,Data!$B$2:$B$1201,$X27)/60)</f>
        <v>0</v>
      </c>
      <c r="Z27">
        <f t="shared" si="1"/>
        <v>2.6999999999999999E-5</v>
      </c>
    </row>
    <row r="28" spans="2:26" x14ac:dyDescent="0.25">
      <c r="B28" s="42" t="str">
        <f>IF($C28="","",19)</f>
        <v/>
      </c>
      <c r="C28" s="43" t="str">
        <f>IFERROR(INDEX('Where it goes'!$T$8:$T$47,MATCH(LARGE('Where it goes'!$V$8:$V$47,19),'Where it goes'!$V$8:$V$47,0)),"")</f>
        <v/>
      </c>
      <c r="D28" s="44" t="str">
        <f>IF($C28="","",SUMIFS(Data!$N$2:$N$1201,Data!$C$2:$C$1201,$C28)/60)</f>
        <v/>
      </c>
      <c r="E28" s="45" t="str">
        <f>IF(OR($C28="",SUMIFS(Data!$N$2:$N$1201,Data!$E$2:$E$1201,"timed")=0),"",SUMIFS(Data!$N$2:$N$1201,Data!$C$2:$C$1201,$C28)/SUMIFS(Data!$N$2:$N$1201,Data!$E$2:$E$1201,"timed"))</f>
        <v/>
      </c>
      <c r="F28" s="46" t="str">
        <f t="shared" si="2"/>
        <v/>
      </c>
      <c r="G28" s="47" t="str">
        <f>IF($C28="","",COUNTIFS(Data!$C$2:$C$1201,$C28,Data!$E$2:$E$1201,"timed"))</f>
        <v/>
      </c>
      <c r="H28" s="48" t="str">
        <f>IF(OR($C28="",COUNTIFS(Data!$C$2:$C$1201,$C28,Data!$E$2:$E$1201,"timed")=0),"",SUMIFS(Data!$N$2:$N$1201,Data!$C$2:$C$1201,$C28)/COUNTIFS(Data!$C$2:$C$1201,$C28,Data!$E$2:$E$1201,"timed"))</f>
        <v/>
      </c>
      <c r="I28" s="47" t="str">
        <f>IF($C28="","",SUMIFS(Data!$AB$2:$AB$1201,Data!$C$2:$C$1201,$C28))</f>
        <v/>
      </c>
      <c r="J28" s="49" t="str">
        <f>IF($C28="","",SUMIFS(Data!$AL$2:$AL$1201,Data!$C$2:$C$1201,$C28))</f>
        <v/>
      </c>
      <c r="T28" t="str">
        <f>IFERROR(INDEX(Data!$C$2:$C$1201,MATCH(21,Data!$U$2:$U$1201,0)),"")</f>
        <v/>
      </c>
      <c r="U28" t="str">
        <f>IF($T28="","",SUMIFS(Data!$N$2:$N$1201,Data!$C$2:$C$1201,$T28)/60)</f>
        <v/>
      </c>
      <c r="V28" t="str">
        <f t="shared" si="0"/>
        <v/>
      </c>
      <c r="X28" t="str">
        <f>IFERROR(INDEX(Data!$B$2:$B$1201,MATCH(21,Data!$W$2:$W$1201,0)),"")</f>
        <v>10am meeting</v>
      </c>
      <c r="Y28">
        <f>IF($X28="","",SUMIFS(Data!$N$2:$N$1201,Data!$B$2:$B$1201,$X28)/60)</f>
        <v>0</v>
      </c>
      <c r="Z28">
        <f t="shared" si="1"/>
        <v>2.8E-5</v>
      </c>
    </row>
    <row r="29" spans="2:26" x14ac:dyDescent="0.25">
      <c r="B29" s="42" t="str">
        <f>IF($C29="","",20)</f>
        <v/>
      </c>
      <c r="C29" s="43" t="str">
        <f>IFERROR(INDEX('Where it goes'!$T$8:$T$47,MATCH(LARGE('Where it goes'!$V$8:$V$47,20),'Where it goes'!$V$8:$V$47,0)),"")</f>
        <v/>
      </c>
      <c r="D29" s="44" t="str">
        <f>IF($C29="","",SUMIFS(Data!$N$2:$N$1201,Data!$C$2:$C$1201,$C29)/60)</f>
        <v/>
      </c>
      <c r="E29" s="45" t="str">
        <f>IF(OR($C29="",SUMIFS(Data!$N$2:$N$1201,Data!$E$2:$E$1201,"timed")=0),"",SUMIFS(Data!$N$2:$N$1201,Data!$C$2:$C$1201,$C29)/SUMIFS(Data!$N$2:$N$1201,Data!$E$2:$E$1201,"timed"))</f>
        <v/>
      </c>
      <c r="F29" s="46" t="str">
        <f t="shared" si="2"/>
        <v/>
      </c>
      <c r="G29" s="47" t="str">
        <f>IF($C29="","",COUNTIFS(Data!$C$2:$C$1201,$C29,Data!$E$2:$E$1201,"timed"))</f>
        <v/>
      </c>
      <c r="H29" s="48" t="str">
        <f>IF(OR($C29="",COUNTIFS(Data!$C$2:$C$1201,$C29,Data!$E$2:$E$1201,"timed")=0),"",SUMIFS(Data!$N$2:$N$1201,Data!$C$2:$C$1201,$C29)/COUNTIFS(Data!$C$2:$C$1201,$C29,Data!$E$2:$E$1201,"timed"))</f>
        <v/>
      </c>
      <c r="I29" s="47" t="str">
        <f>IF($C29="","",SUMIFS(Data!$AB$2:$AB$1201,Data!$C$2:$C$1201,$C29))</f>
        <v/>
      </c>
      <c r="J29" s="49" t="str">
        <f>IF($C29="","",SUMIFS(Data!$AL$2:$AL$1201,Data!$C$2:$C$1201,$C29))</f>
        <v/>
      </c>
      <c r="T29" t="str">
        <f>IFERROR(INDEX(Data!$C$2:$C$1201,MATCH(22,Data!$U$2:$U$1201,0)),"")</f>
        <v/>
      </c>
      <c r="U29" t="str">
        <f>IF($T29="","",SUMIFS(Data!$N$2:$N$1201,Data!$C$2:$C$1201,$T29)/60)</f>
        <v/>
      </c>
      <c r="V29" t="str">
        <f t="shared" si="0"/>
        <v/>
      </c>
      <c r="X29" t="str">
        <f>IFERROR(INDEX(Data!$B$2:$B$1201,MATCH(22,Data!$W$2:$W$1201,0)),"")</f>
        <v/>
      </c>
      <c r="Y29" t="str">
        <f>IF($X29="","",SUMIFS(Data!$N$2:$N$1201,Data!$B$2:$B$1201,$X29)/60)</f>
        <v/>
      </c>
      <c r="Z29" t="str">
        <f t="shared" si="1"/>
        <v/>
      </c>
    </row>
    <row r="30" spans="2:26" x14ac:dyDescent="0.25">
      <c r="B30" s="42" t="str">
        <f>IF($C30="","",21)</f>
        <v/>
      </c>
      <c r="C30" s="43" t="str">
        <f>IFERROR(INDEX('Where it goes'!$T$8:$T$47,MATCH(LARGE('Where it goes'!$V$8:$V$47,21),'Where it goes'!$V$8:$V$47,0)),"")</f>
        <v/>
      </c>
      <c r="D30" s="44" t="str">
        <f>IF($C30="","",SUMIFS(Data!$N$2:$N$1201,Data!$C$2:$C$1201,$C30)/60)</f>
        <v/>
      </c>
      <c r="E30" s="45" t="str">
        <f>IF(OR($C30="",SUMIFS(Data!$N$2:$N$1201,Data!$E$2:$E$1201,"timed")=0),"",SUMIFS(Data!$N$2:$N$1201,Data!$C$2:$C$1201,$C30)/SUMIFS(Data!$N$2:$N$1201,Data!$E$2:$E$1201,"timed"))</f>
        <v/>
      </c>
      <c r="F30" s="46" t="str">
        <f t="shared" si="2"/>
        <v/>
      </c>
      <c r="G30" s="47" t="str">
        <f>IF($C30="","",COUNTIFS(Data!$C$2:$C$1201,$C30,Data!$E$2:$E$1201,"timed"))</f>
        <v/>
      </c>
      <c r="H30" s="48" t="str">
        <f>IF(OR($C30="",COUNTIFS(Data!$C$2:$C$1201,$C30,Data!$E$2:$E$1201,"timed")=0),"",SUMIFS(Data!$N$2:$N$1201,Data!$C$2:$C$1201,$C30)/COUNTIFS(Data!$C$2:$C$1201,$C30,Data!$E$2:$E$1201,"timed"))</f>
        <v/>
      </c>
      <c r="I30" s="47" t="str">
        <f>IF($C30="","",SUMIFS(Data!$AB$2:$AB$1201,Data!$C$2:$C$1201,$C30))</f>
        <v/>
      </c>
      <c r="J30" s="49" t="str">
        <f>IF($C30="","",SUMIFS(Data!$AL$2:$AL$1201,Data!$C$2:$C$1201,$C30))</f>
        <v/>
      </c>
      <c r="T30" t="str">
        <f>IFERROR(INDEX(Data!$C$2:$C$1201,MATCH(23,Data!$U$2:$U$1201,0)),"")</f>
        <v/>
      </c>
      <c r="U30" t="str">
        <f>IF($T30="","",SUMIFS(Data!$N$2:$N$1201,Data!$C$2:$C$1201,$T30)/60)</f>
        <v/>
      </c>
      <c r="V30" t="str">
        <f t="shared" si="0"/>
        <v/>
      </c>
      <c r="X30" t="str">
        <f>IFERROR(INDEX(Data!$B$2:$B$1201,MATCH(23,Data!$W$2:$W$1201,0)),"")</f>
        <v/>
      </c>
      <c r="Y30" t="str">
        <f>IF($X30="","",SUMIFS(Data!$N$2:$N$1201,Data!$B$2:$B$1201,$X30)/60)</f>
        <v/>
      </c>
      <c r="Z30" t="str">
        <f t="shared" si="1"/>
        <v/>
      </c>
    </row>
    <row r="31" spans="2:26" x14ac:dyDescent="0.25">
      <c r="B31" s="42" t="str">
        <f>IF($C31="","",22)</f>
        <v/>
      </c>
      <c r="C31" s="43" t="str">
        <f>IFERROR(INDEX('Where it goes'!$T$8:$T$47,MATCH(LARGE('Where it goes'!$V$8:$V$47,22),'Where it goes'!$V$8:$V$47,0)),"")</f>
        <v/>
      </c>
      <c r="D31" s="44" t="str">
        <f>IF($C31="","",SUMIFS(Data!$N$2:$N$1201,Data!$C$2:$C$1201,$C31)/60)</f>
        <v/>
      </c>
      <c r="E31" s="45" t="str">
        <f>IF(OR($C31="",SUMIFS(Data!$N$2:$N$1201,Data!$E$2:$E$1201,"timed")=0),"",SUMIFS(Data!$N$2:$N$1201,Data!$C$2:$C$1201,$C31)/SUMIFS(Data!$N$2:$N$1201,Data!$E$2:$E$1201,"timed"))</f>
        <v/>
      </c>
      <c r="F31" s="46" t="str">
        <f t="shared" si="2"/>
        <v/>
      </c>
      <c r="G31" s="47" t="str">
        <f>IF($C31="","",COUNTIFS(Data!$C$2:$C$1201,$C31,Data!$E$2:$E$1201,"timed"))</f>
        <v/>
      </c>
      <c r="H31" s="48" t="str">
        <f>IF(OR($C31="",COUNTIFS(Data!$C$2:$C$1201,$C31,Data!$E$2:$E$1201,"timed")=0),"",SUMIFS(Data!$N$2:$N$1201,Data!$C$2:$C$1201,$C31)/COUNTIFS(Data!$C$2:$C$1201,$C31,Data!$E$2:$E$1201,"timed"))</f>
        <v/>
      </c>
      <c r="I31" s="47" t="str">
        <f>IF($C31="","",SUMIFS(Data!$AB$2:$AB$1201,Data!$C$2:$C$1201,$C31))</f>
        <v/>
      </c>
      <c r="J31" s="49" t="str">
        <f>IF($C31="","",SUMIFS(Data!$AL$2:$AL$1201,Data!$C$2:$C$1201,$C31))</f>
        <v/>
      </c>
      <c r="T31" t="str">
        <f>IFERROR(INDEX(Data!$C$2:$C$1201,MATCH(24,Data!$U$2:$U$1201,0)),"")</f>
        <v/>
      </c>
      <c r="U31" t="str">
        <f>IF($T31="","",SUMIFS(Data!$N$2:$N$1201,Data!$C$2:$C$1201,$T31)/60)</f>
        <v/>
      </c>
      <c r="V31" t="str">
        <f t="shared" si="0"/>
        <v/>
      </c>
      <c r="X31" t="str">
        <f>IFERROR(INDEX(Data!$B$2:$B$1201,MATCH(24,Data!$W$2:$W$1201,0)),"")</f>
        <v/>
      </c>
      <c r="Y31" t="str">
        <f>IF($X31="","",SUMIFS(Data!$N$2:$N$1201,Data!$B$2:$B$1201,$X31)/60)</f>
        <v/>
      </c>
      <c r="Z31" t="str">
        <f t="shared" si="1"/>
        <v/>
      </c>
    </row>
    <row r="32" spans="2:26" x14ac:dyDescent="0.25">
      <c r="B32" s="42" t="str">
        <f>IF($C32="","",23)</f>
        <v/>
      </c>
      <c r="C32" s="43" t="str">
        <f>IFERROR(INDEX('Where it goes'!$T$8:$T$47,MATCH(LARGE('Where it goes'!$V$8:$V$47,23),'Where it goes'!$V$8:$V$47,0)),"")</f>
        <v/>
      </c>
      <c r="D32" s="44" t="str">
        <f>IF($C32="","",SUMIFS(Data!$N$2:$N$1201,Data!$C$2:$C$1201,$C32)/60)</f>
        <v/>
      </c>
      <c r="E32" s="45" t="str">
        <f>IF(OR($C32="",SUMIFS(Data!$N$2:$N$1201,Data!$E$2:$E$1201,"timed")=0),"",SUMIFS(Data!$N$2:$N$1201,Data!$C$2:$C$1201,$C32)/SUMIFS(Data!$N$2:$N$1201,Data!$E$2:$E$1201,"timed"))</f>
        <v/>
      </c>
      <c r="F32" s="46" t="str">
        <f t="shared" si="2"/>
        <v/>
      </c>
      <c r="G32" s="47" t="str">
        <f>IF($C32="","",COUNTIFS(Data!$C$2:$C$1201,$C32,Data!$E$2:$E$1201,"timed"))</f>
        <v/>
      </c>
      <c r="H32" s="48" t="str">
        <f>IF(OR($C32="",COUNTIFS(Data!$C$2:$C$1201,$C32,Data!$E$2:$E$1201,"timed")=0),"",SUMIFS(Data!$N$2:$N$1201,Data!$C$2:$C$1201,$C32)/COUNTIFS(Data!$C$2:$C$1201,$C32,Data!$E$2:$E$1201,"timed"))</f>
        <v/>
      </c>
      <c r="I32" s="47" t="str">
        <f>IF($C32="","",SUMIFS(Data!$AB$2:$AB$1201,Data!$C$2:$C$1201,$C32))</f>
        <v/>
      </c>
      <c r="J32" s="49" t="str">
        <f>IF($C32="","",SUMIFS(Data!$AL$2:$AL$1201,Data!$C$2:$C$1201,$C32))</f>
        <v/>
      </c>
      <c r="T32" t="str">
        <f>IFERROR(INDEX(Data!$C$2:$C$1201,MATCH(25,Data!$U$2:$U$1201,0)),"")</f>
        <v/>
      </c>
      <c r="U32" t="str">
        <f>IF($T32="","",SUMIFS(Data!$N$2:$N$1201,Data!$C$2:$C$1201,$T32)/60)</f>
        <v/>
      </c>
      <c r="V32" t="str">
        <f t="shared" si="0"/>
        <v/>
      </c>
      <c r="X32" t="str">
        <f>IFERROR(INDEX(Data!$B$2:$B$1201,MATCH(25,Data!$W$2:$W$1201,0)),"")</f>
        <v/>
      </c>
      <c r="Y32" t="str">
        <f>IF($X32="","",SUMIFS(Data!$N$2:$N$1201,Data!$B$2:$B$1201,$X32)/60)</f>
        <v/>
      </c>
      <c r="Z32" t="str">
        <f t="shared" si="1"/>
        <v/>
      </c>
    </row>
    <row r="33" spans="2:26" x14ac:dyDescent="0.25">
      <c r="B33" s="42" t="str">
        <f>IF($C33="","",24)</f>
        <v/>
      </c>
      <c r="C33" s="43" t="str">
        <f>IFERROR(INDEX('Where it goes'!$T$8:$T$47,MATCH(LARGE('Where it goes'!$V$8:$V$47,24),'Where it goes'!$V$8:$V$47,0)),"")</f>
        <v/>
      </c>
      <c r="D33" s="44" t="str">
        <f>IF($C33="","",SUMIFS(Data!$N$2:$N$1201,Data!$C$2:$C$1201,$C33)/60)</f>
        <v/>
      </c>
      <c r="E33" s="45" t="str">
        <f>IF(OR($C33="",SUMIFS(Data!$N$2:$N$1201,Data!$E$2:$E$1201,"timed")=0),"",SUMIFS(Data!$N$2:$N$1201,Data!$C$2:$C$1201,$C33)/SUMIFS(Data!$N$2:$N$1201,Data!$E$2:$E$1201,"timed"))</f>
        <v/>
      </c>
      <c r="F33" s="46" t="str">
        <f t="shared" si="2"/>
        <v/>
      </c>
      <c r="G33" s="47" t="str">
        <f>IF($C33="","",COUNTIFS(Data!$C$2:$C$1201,$C33,Data!$E$2:$E$1201,"timed"))</f>
        <v/>
      </c>
      <c r="H33" s="48" t="str">
        <f>IF(OR($C33="",COUNTIFS(Data!$C$2:$C$1201,$C33,Data!$E$2:$E$1201,"timed")=0),"",SUMIFS(Data!$N$2:$N$1201,Data!$C$2:$C$1201,$C33)/COUNTIFS(Data!$C$2:$C$1201,$C33,Data!$E$2:$E$1201,"timed"))</f>
        <v/>
      </c>
      <c r="I33" s="47" t="str">
        <f>IF($C33="","",SUMIFS(Data!$AB$2:$AB$1201,Data!$C$2:$C$1201,$C33))</f>
        <v/>
      </c>
      <c r="J33" s="49" t="str">
        <f>IF($C33="","",SUMIFS(Data!$AL$2:$AL$1201,Data!$C$2:$C$1201,$C33))</f>
        <v/>
      </c>
      <c r="T33" t="str">
        <f>IFERROR(INDEX(Data!$C$2:$C$1201,MATCH(26,Data!$U$2:$U$1201,0)),"")</f>
        <v/>
      </c>
      <c r="U33" t="str">
        <f>IF($T33="","",SUMIFS(Data!$N$2:$N$1201,Data!$C$2:$C$1201,$T33)/60)</f>
        <v/>
      </c>
      <c r="V33" t="str">
        <f t="shared" si="0"/>
        <v/>
      </c>
      <c r="X33" t="str">
        <f>IFERROR(INDEX(Data!$B$2:$B$1201,MATCH(26,Data!$W$2:$W$1201,0)),"")</f>
        <v/>
      </c>
      <c r="Y33" t="str">
        <f>IF($X33="","",SUMIFS(Data!$N$2:$N$1201,Data!$B$2:$B$1201,$X33)/60)</f>
        <v/>
      </c>
      <c r="Z33" t="str">
        <f t="shared" si="1"/>
        <v/>
      </c>
    </row>
    <row r="34" spans="2:26" x14ac:dyDescent="0.25">
      <c r="B34" s="42" t="str">
        <f>IF($C34="","",25)</f>
        <v/>
      </c>
      <c r="C34" s="43" t="str">
        <f>IFERROR(INDEX('Where it goes'!$T$8:$T$47,MATCH(LARGE('Where it goes'!$V$8:$V$47,25),'Where it goes'!$V$8:$V$47,0)),"")</f>
        <v/>
      </c>
      <c r="D34" s="44" t="str">
        <f>IF($C34="","",SUMIFS(Data!$N$2:$N$1201,Data!$C$2:$C$1201,$C34)/60)</f>
        <v/>
      </c>
      <c r="E34" s="45" t="str">
        <f>IF(OR($C34="",SUMIFS(Data!$N$2:$N$1201,Data!$E$2:$E$1201,"timed")=0),"",SUMIFS(Data!$N$2:$N$1201,Data!$C$2:$C$1201,$C34)/SUMIFS(Data!$N$2:$N$1201,Data!$E$2:$E$1201,"timed"))</f>
        <v/>
      </c>
      <c r="F34" s="46" t="str">
        <f t="shared" si="2"/>
        <v/>
      </c>
      <c r="G34" s="47" t="str">
        <f>IF($C34="","",COUNTIFS(Data!$C$2:$C$1201,$C34,Data!$E$2:$E$1201,"timed"))</f>
        <v/>
      </c>
      <c r="H34" s="48" t="str">
        <f>IF(OR($C34="",COUNTIFS(Data!$C$2:$C$1201,$C34,Data!$E$2:$E$1201,"timed")=0),"",SUMIFS(Data!$N$2:$N$1201,Data!$C$2:$C$1201,$C34)/COUNTIFS(Data!$C$2:$C$1201,$C34,Data!$E$2:$E$1201,"timed"))</f>
        <v/>
      </c>
      <c r="I34" s="47" t="str">
        <f>IF($C34="","",SUMIFS(Data!$AB$2:$AB$1201,Data!$C$2:$C$1201,$C34))</f>
        <v/>
      </c>
      <c r="J34" s="49" t="str">
        <f>IF($C34="","",SUMIFS(Data!$AL$2:$AL$1201,Data!$C$2:$C$1201,$C34))</f>
        <v/>
      </c>
      <c r="T34" t="str">
        <f>IFERROR(INDEX(Data!$C$2:$C$1201,MATCH(27,Data!$U$2:$U$1201,0)),"")</f>
        <v/>
      </c>
      <c r="U34" t="str">
        <f>IF($T34="","",SUMIFS(Data!$N$2:$N$1201,Data!$C$2:$C$1201,$T34)/60)</f>
        <v/>
      </c>
      <c r="V34" t="str">
        <f t="shared" si="0"/>
        <v/>
      </c>
      <c r="X34" t="str">
        <f>IFERROR(INDEX(Data!$B$2:$B$1201,MATCH(27,Data!$W$2:$W$1201,0)),"")</f>
        <v/>
      </c>
      <c r="Y34" t="str">
        <f>IF($X34="","",SUMIFS(Data!$N$2:$N$1201,Data!$B$2:$B$1201,$X34)/60)</f>
        <v/>
      </c>
      <c r="Z34" t="str">
        <f t="shared" si="1"/>
        <v/>
      </c>
    </row>
    <row r="35" spans="2:26" x14ac:dyDescent="0.25">
      <c r="B35" s="42" t="str">
        <f>IF($C35="","",26)</f>
        <v/>
      </c>
      <c r="C35" s="43" t="str">
        <f>IFERROR(INDEX('Where it goes'!$T$8:$T$47,MATCH(LARGE('Where it goes'!$V$8:$V$47,26),'Where it goes'!$V$8:$V$47,0)),"")</f>
        <v/>
      </c>
      <c r="D35" s="44" t="str">
        <f>IF($C35="","",SUMIFS(Data!$N$2:$N$1201,Data!$C$2:$C$1201,$C35)/60)</f>
        <v/>
      </c>
      <c r="E35" s="45" t="str">
        <f>IF(OR($C35="",SUMIFS(Data!$N$2:$N$1201,Data!$E$2:$E$1201,"timed")=0),"",SUMIFS(Data!$N$2:$N$1201,Data!$C$2:$C$1201,$C35)/SUMIFS(Data!$N$2:$N$1201,Data!$E$2:$E$1201,"timed"))</f>
        <v/>
      </c>
      <c r="F35" s="46" t="str">
        <f t="shared" si="2"/>
        <v/>
      </c>
      <c r="G35" s="47" t="str">
        <f>IF($C35="","",COUNTIFS(Data!$C$2:$C$1201,$C35,Data!$E$2:$E$1201,"timed"))</f>
        <v/>
      </c>
      <c r="H35" s="48" t="str">
        <f>IF(OR($C35="",COUNTIFS(Data!$C$2:$C$1201,$C35,Data!$E$2:$E$1201,"timed")=0),"",SUMIFS(Data!$N$2:$N$1201,Data!$C$2:$C$1201,$C35)/COUNTIFS(Data!$C$2:$C$1201,$C35,Data!$E$2:$E$1201,"timed"))</f>
        <v/>
      </c>
      <c r="I35" s="47" t="str">
        <f>IF($C35="","",SUMIFS(Data!$AB$2:$AB$1201,Data!$C$2:$C$1201,$C35))</f>
        <v/>
      </c>
      <c r="J35" s="49" t="str">
        <f>IF($C35="","",SUMIFS(Data!$AL$2:$AL$1201,Data!$C$2:$C$1201,$C35))</f>
        <v/>
      </c>
      <c r="T35" t="str">
        <f>IFERROR(INDEX(Data!$C$2:$C$1201,MATCH(28,Data!$U$2:$U$1201,0)),"")</f>
        <v/>
      </c>
      <c r="U35" t="str">
        <f>IF($T35="","",SUMIFS(Data!$N$2:$N$1201,Data!$C$2:$C$1201,$T35)/60)</f>
        <v/>
      </c>
      <c r="V35" t="str">
        <f t="shared" si="0"/>
        <v/>
      </c>
      <c r="X35" t="str">
        <f>IFERROR(INDEX(Data!$B$2:$B$1201,MATCH(28,Data!$W$2:$W$1201,0)),"")</f>
        <v/>
      </c>
      <c r="Y35" t="str">
        <f>IF($X35="","",SUMIFS(Data!$N$2:$N$1201,Data!$B$2:$B$1201,$X35)/60)</f>
        <v/>
      </c>
      <c r="Z35" t="str">
        <f t="shared" si="1"/>
        <v/>
      </c>
    </row>
    <row r="36" spans="2:26" x14ac:dyDescent="0.25">
      <c r="B36" s="42" t="str">
        <f>IF($C36="","",27)</f>
        <v/>
      </c>
      <c r="C36" s="43" t="str">
        <f>IFERROR(INDEX('Where it goes'!$T$8:$T$47,MATCH(LARGE('Where it goes'!$V$8:$V$47,27),'Where it goes'!$V$8:$V$47,0)),"")</f>
        <v/>
      </c>
      <c r="D36" s="44" t="str">
        <f>IF($C36="","",SUMIFS(Data!$N$2:$N$1201,Data!$C$2:$C$1201,$C36)/60)</f>
        <v/>
      </c>
      <c r="E36" s="45" t="str">
        <f>IF(OR($C36="",SUMIFS(Data!$N$2:$N$1201,Data!$E$2:$E$1201,"timed")=0),"",SUMIFS(Data!$N$2:$N$1201,Data!$C$2:$C$1201,$C36)/SUMIFS(Data!$N$2:$N$1201,Data!$E$2:$E$1201,"timed"))</f>
        <v/>
      </c>
      <c r="F36" s="46" t="str">
        <f t="shared" si="2"/>
        <v/>
      </c>
      <c r="G36" s="47" t="str">
        <f>IF($C36="","",COUNTIFS(Data!$C$2:$C$1201,$C36,Data!$E$2:$E$1201,"timed"))</f>
        <v/>
      </c>
      <c r="H36" s="48" t="str">
        <f>IF(OR($C36="",COUNTIFS(Data!$C$2:$C$1201,$C36,Data!$E$2:$E$1201,"timed")=0),"",SUMIFS(Data!$N$2:$N$1201,Data!$C$2:$C$1201,$C36)/COUNTIFS(Data!$C$2:$C$1201,$C36,Data!$E$2:$E$1201,"timed"))</f>
        <v/>
      </c>
      <c r="I36" s="47" t="str">
        <f>IF($C36="","",SUMIFS(Data!$AB$2:$AB$1201,Data!$C$2:$C$1201,$C36))</f>
        <v/>
      </c>
      <c r="J36" s="49" t="str">
        <f>IF($C36="","",SUMIFS(Data!$AL$2:$AL$1201,Data!$C$2:$C$1201,$C36))</f>
        <v/>
      </c>
      <c r="T36" t="str">
        <f>IFERROR(INDEX(Data!$C$2:$C$1201,MATCH(29,Data!$U$2:$U$1201,0)),"")</f>
        <v/>
      </c>
      <c r="U36" t="str">
        <f>IF($T36="","",SUMIFS(Data!$N$2:$N$1201,Data!$C$2:$C$1201,$T36)/60)</f>
        <v/>
      </c>
      <c r="V36" t="str">
        <f t="shared" si="0"/>
        <v/>
      </c>
      <c r="X36" t="str">
        <f>IFERROR(INDEX(Data!$B$2:$B$1201,MATCH(29,Data!$W$2:$W$1201,0)),"")</f>
        <v/>
      </c>
      <c r="Y36" t="str">
        <f>IF($X36="","",SUMIFS(Data!$N$2:$N$1201,Data!$B$2:$B$1201,$X36)/60)</f>
        <v/>
      </c>
      <c r="Z36" t="str">
        <f t="shared" si="1"/>
        <v/>
      </c>
    </row>
    <row r="37" spans="2:26" x14ac:dyDescent="0.25">
      <c r="B37" s="42" t="str">
        <f>IF($C37="","",28)</f>
        <v/>
      </c>
      <c r="C37" s="43" t="str">
        <f>IFERROR(INDEX('Where it goes'!$T$8:$T$47,MATCH(LARGE('Where it goes'!$V$8:$V$47,28),'Where it goes'!$V$8:$V$47,0)),"")</f>
        <v/>
      </c>
      <c r="D37" s="44" t="str">
        <f>IF($C37="","",SUMIFS(Data!$N$2:$N$1201,Data!$C$2:$C$1201,$C37)/60)</f>
        <v/>
      </c>
      <c r="E37" s="45" t="str">
        <f>IF(OR($C37="",SUMIFS(Data!$N$2:$N$1201,Data!$E$2:$E$1201,"timed")=0),"",SUMIFS(Data!$N$2:$N$1201,Data!$C$2:$C$1201,$C37)/SUMIFS(Data!$N$2:$N$1201,Data!$E$2:$E$1201,"timed"))</f>
        <v/>
      </c>
      <c r="F37" s="46" t="str">
        <f t="shared" si="2"/>
        <v/>
      </c>
      <c r="G37" s="47" t="str">
        <f>IF($C37="","",COUNTIFS(Data!$C$2:$C$1201,$C37,Data!$E$2:$E$1201,"timed"))</f>
        <v/>
      </c>
      <c r="H37" s="48" t="str">
        <f>IF(OR($C37="",COUNTIFS(Data!$C$2:$C$1201,$C37,Data!$E$2:$E$1201,"timed")=0),"",SUMIFS(Data!$N$2:$N$1201,Data!$C$2:$C$1201,$C37)/COUNTIFS(Data!$C$2:$C$1201,$C37,Data!$E$2:$E$1201,"timed"))</f>
        <v/>
      </c>
      <c r="I37" s="47" t="str">
        <f>IF($C37="","",SUMIFS(Data!$AB$2:$AB$1201,Data!$C$2:$C$1201,$C37))</f>
        <v/>
      </c>
      <c r="J37" s="49" t="str">
        <f>IF($C37="","",SUMIFS(Data!$AL$2:$AL$1201,Data!$C$2:$C$1201,$C37))</f>
        <v/>
      </c>
      <c r="T37" t="str">
        <f>IFERROR(INDEX(Data!$C$2:$C$1201,MATCH(30,Data!$U$2:$U$1201,0)),"")</f>
        <v/>
      </c>
      <c r="U37" t="str">
        <f>IF($T37="","",SUMIFS(Data!$N$2:$N$1201,Data!$C$2:$C$1201,$T37)/60)</f>
        <v/>
      </c>
      <c r="V37" t="str">
        <f t="shared" si="0"/>
        <v/>
      </c>
      <c r="X37" t="str">
        <f>IFERROR(INDEX(Data!$B$2:$B$1201,MATCH(30,Data!$W$2:$W$1201,0)),"")</f>
        <v/>
      </c>
      <c r="Y37" t="str">
        <f>IF($X37="","",SUMIFS(Data!$N$2:$N$1201,Data!$B$2:$B$1201,$X37)/60)</f>
        <v/>
      </c>
      <c r="Z37" t="str">
        <f t="shared" si="1"/>
        <v/>
      </c>
    </row>
    <row r="38" spans="2:26" x14ac:dyDescent="0.25">
      <c r="B38" s="42" t="str">
        <f>IF($C38="","",29)</f>
        <v/>
      </c>
      <c r="C38" s="43" t="str">
        <f>IFERROR(INDEX('Where it goes'!$T$8:$T$47,MATCH(LARGE('Where it goes'!$V$8:$V$47,29),'Where it goes'!$V$8:$V$47,0)),"")</f>
        <v/>
      </c>
      <c r="D38" s="44" t="str">
        <f>IF($C38="","",SUMIFS(Data!$N$2:$N$1201,Data!$C$2:$C$1201,$C38)/60)</f>
        <v/>
      </c>
      <c r="E38" s="45" t="str">
        <f>IF(OR($C38="",SUMIFS(Data!$N$2:$N$1201,Data!$E$2:$E$1201,"timed")=0),"",SUMIFS(Data!$N$2:$N$1201,Data!$C$2:$C$1201,$C38)/SUMIFS(Data!$N$2:$N$1201,Data!$E$2:$E$1201,"timed"))</f>
        <v/>
      </c>
      <c r="F38" s="46" t="str">
        <f t="shared" si="2"/>
        <v/>
      </c>
      <c r="G38" s="47" t="str">
        <f>IF($C38="","",COUNTIFS(Data!$C$2:$C$1201,$C38,Data!$E$2:$E$1201,"timed"))</f>
        <v/>
      </c>
      <c r="H38" s="48" t="str">
        <f>IF(OR($C38="",COUNTIFS(Data!$C$2:$C$1201,$C38,Data!$E$2:$E$1201,"timed")=0),"",SUMIFS(Data!$N$2:$N$1201,Data!$C$2:$C$1201,$C38)/COUNTIFS(Data!$C$2:$C$1201,$C38,Data!$E$2:$E$1201,"timed"))</f>
        <v/>
      </c>
      <c r="I38" s="47" t="str">
        <f>IF($C38="","",SUMIFS(Data!$AB$2:$AB$1201,Data!$C$2:$C$1201,$C38))</f>
        <v/>
      </c>
      <c r="J38" s="49" t="str">
        <f>IF($C38="","",SUMIFS(Data!$AL$2:$AL$1201,Data!$C$2:$C$1201,$C38))</f>
        <v/>
      </c>
      <c r="T38" t="str">
        <f>IFERROR(INDEX(Data!$C$2:$C$1201,MATCH(31,Data!$U$2:$U$1201,0)),"")</f>
        <v/>
      </c>
      <c r="U38" t="str">
        <f>IF($T38="","",SUMIFS(Data!$N$2:$N$1201,Data!$C$2:$C$1201,$T38)/60)</f>
        <v/>
      </c>
      <c r="V38" t="str">
        <f t="shared" si="0"/>
        <v/>
      </c>
      <c r="X38" t="str">
        <f>IFERROR(INDEX(Data!$B$2:$B$1201,MATCH(31,Data!$W$2:$W$1201,0)),"")</f>
        <v/>
      </c>
      <c r="Y38" t="str">
        <f>IF($X38="","",SUMIFS(Data!$N$2:$N$1201,Data!$B$2:$B$1201,$X38)/60)</f>
        <v/>
      </c>
      <c r="Z38" t="str">
        <f t="shared" si="1"/>
        <v/>
      </c>
    </row>
    <row r="39" spans="2:26" x14ac:dyDescent="0.25">
      <c r="B39" s="42" t="str">
        <f>IF($C39="","",30)</f>
        <v/>
      </c>
      <c r="C39" s="43" t="str">
        <f>IFERROR(INDEX('Where it goes'!$T$8:$T$47,MATCH(LARGE('Where it goes'!$V$8:$V$47,30),'Where it goes'!$V$8:$V$47,0)),"")</f>
        <v/>
      </c>
      <c r="D39" s="44" t="str">
        <f>IF($C39="","",SUMIFS(Data!$N$2:$N$1201,Data!$C$2:$C$1201,$C39)/60)</f>
        <v/>
      </c>
      <c r="E39" s="45" t="str">
        <f>IF(OR($C39="",SUMIFS(Data!$N$2:$N$1201,Data!$E$2:$E$1201,"timed")=0),"",SUMIFS(Data!$N$2:$N$1201,Data!$C$2:$C$1201,$C39)/SUMIFS(Data!$N$2:$N$1201,Data!$E$2:$E$1201,"timed"))</f>
        <v/>
      </c>
      <c r="F39" s="46" t="str">
        <f t="shared" si="2"/>
        <v/>
      </c>
      <c r="G39" s="47" t="str">
        <f>IF($C39="","",COUNTIFS(Data!$C$2:$C$1201,$C39,Data!$E$2:$E$1201,"timed"))</f>
        <v/>
      </c>
      <c r="H39" s="48" t="str">
        <f>IF(OR($C39="",COUNTIFS(Data!$C$2:$C$1201,$C39,Data!$E$2:$E$1201,"timed")=0),"",SUMIFS(Data!$N$2:$N$1201,Data!$C$2:$C$1201,$C39)/COUNTIFS(Data!$C$2:$C$1201,$C39,Data!$E$2:$E$1201,"timed"))</f>
        <v/>
      </c>
      <c r="I39" s="47" t="str">
        <f>IF($C39="","",SUMIFS(Data!$AB$2:$AB$1201,Data!$C$2:$C$1201,$C39))</f>
        <v/>
      </c>
      <c r="J39" s="49" t="str">
        <f>IF($C39="","",SUMIFS(Data!$AL$2:$AL$1201,Data!$C$2:$C$1201,$C39))</f>
        <v/>
      </c>
      <c r="T39" t="str">
        <f>IFERROR(INDEX(Data!$C$2:$C$1201,MATCH(32,Data!$U$2:$U$1201,0)),"")</f>
        <v/>
      </c>
      <c r="U39" t="str">
        <f>IF($T39="","",SUMIFS(Data!$N$2:$N$1201,Data!$C$2:$C$1201,$T39)/60)</f>
        <v/>
      </c>
      <c r="V39" t="str">
        <f t="shared" si="0"/>
        <v/>
      </c>
      <c r="X39" t="str">
        <f>IFERROR(INDEX(Data!$B$2:$B$1201,MATCH(32,Data!$W$2:$W$1201,0)),"")</f>
        <v/>
      </c>
      <c r="Y39" t="str">
        <f>IF($X39="","",SUMIFS(Data!$N$2:$N$1201,Data!$B$2:$B$1201,$X39)/60)</f>
        <v/>
      </c>
      <c r="Z39" t="str">
        <f t="shared" si="1"/>
        <v/>
      </c>
    </row>
    <row r="40" spans="2:26" x14ac:dyDescent="0.25">
      <c r="B40" s="42" t="str">
        <f>IF($C40="","",31)</f>
        <v/>
      </c>
      <c r="C40" s="43" t="str">
        <f>IFERROR(INDEX('Where it goes'!$T$8:$T$47,MATCH(LARGE('Where it goes'!$V$8:$V$47,31),'Where it goes'!$V$8:$V$47,0)),"")</f>
        <v/>
      </c>
      <c r="D40" s="44" t="str">
        <f>IF($C40="","",SUMIFS(Data!$N$2:$N$1201,Data!$C$2:$C$1201,$C40)/60)</f>
        <v/>
      </c>
      <c r="E40" s="45" t="str">
        <f>IF(OR($C40="",SUMIFS(Data!$N$2:$N$1201,Data!$E$2:$E$1201,"timed")=0),"",SUMIFS(Data!$N$2:$N$1201,Data!$C$2:$C$1201,$C40)/SUMIFS(Data!$N$2:$N$1201,Data!$E$2:$E$1201,"timed"))</f>
        <v/>
      </c>
      <c r="F40" s="46" t="str">
        <f t="shared" si="2"/>
        <v/>
      </c>
      <c r="G40" s="47" t="str">
        <f>IF($C40="","",COUNTIFS(Data!$C$2:$C$1201,$C40,Data!$E$2:$E$1201,"timed"))</f>
        <v/>
      </c>
      <c r="H40" s="48" t="str">
        <f>IF(OR($C40="",COUNTIFS(Data!$C$2:$C$1201,$C40,Data!$E$2:$E$1201,"timed")=0),"",SUMIFS(Data!$N$2:$N$1201,Data!$C$2:$C$1201,$C40)/COUNTIFS(Data!$C$2:$C$1201,$C40,Data!$E$2:$E$1201,"timed"))</f>
        <v/>
      </c>
      <c r="I40" s="47" t="str">
        <f>IF($C40="","",SUMIFS(Data!$AB$2:$AB$1201,Data!$C$2:$C$1201,$C40))</f>
        <v/>
      </c>
      <c r="J40" s="49" t="str">
        <f>IF($C40="","",SUMIFS(Data!$AL$2:$AL$1201,Data!$C$2:$C$1201,$C40))</f>
        <v/>
      </c>
      <c r="T40" t="str">
        <f>IFERROR(INDEX(Data!$C$2:$C$1201,MATCH(33,Data!$U$2:$U$1201,0)),"")</f>
        <v/>
      </c>
      <c r="U40" t="str">
        <f>IF($T40="","",SUMIFS(Data!$N$2:$N$1201,Data!$C$2:$C$1201,$T40)/60)</f>
        <v/>
      </c>
      <c r="V40" t="str">
        <f t="shared" si="0"/>
        <v/>
      </c>
      <c r="X40" t="str">
        <f>IFERROR(INDEX(Data!$B$2:$B$1201,MATCH(33,Data!$W$2:$W$1201,0)),"")</f>
        <v/>
      </c>
      <c r="Y40" t="str">
        <f>IF($X40="","",SUMIFS(Data!$N$2:$N$1201,Data!$B$2:$B$1201,$X40)/60)</f>
        <v/>
      </c>
      <c r="Z40" t="str">
        <f t="shared" ref="Z40:Z71" si="3">IF($X40="","",$Y40+ROW()/1000000)</f>
        <v/>
      </c>
    </row>
    <row r="41" spans="2:26" x14ac:dyDescent="0.25">
      <c r="B41" s="42" t="str">
        <f>IF($C41="","",32)</f>
        <v/>
      </c>
      <c r="C41" s="43" t="str">
        <f>IFERROR(INDEX('Where it goes'!$T$8:$T$47,MATCH(LARGE('Where it goes'!$V$8:$V$47,32),'Where it goes'!$V$8:$V$47,0)),"")</f>
        <v/>
      </c>
      <c r="D41" s="44" t="str">
        <f>IF($C41="","",SUMIFS(Data!$N$2:$N$1201,Data!$C$2:$C$1201,$C41)/60)</f>
        <v/>
      </c>
      <c r="E41" s="45" t="str">
        <f>IF(OR($C41="",SUMIFS(Data!$N$2:$N$1201,Data!$E$2:$E$1201,"timed")=0),"",SUMIFS(Data!$N$2:$N$1201,Data!$C$2:$C$1201,$C41)/SUMIFS(Data!$N$2:$N$1201,Data!$E$2:$E$1201,"timed"))</f>
        <v/>
      </c>
      <c r="F41" s="46" t="str">
        <f t="shared" si="2"/>
        <v/>
      </c>
      <c r="G41" s="47" t="str">
        <f>IF($C41="","",COUNTIFS(Data!$C$2:$C$1201,$C41,Data!$E$2:$E$1201,"timed"))</f>
        <v/>
      </c>
      <c r="H41" s="48" t="str">
        <f>IF(OR($C41="",COUNTIFS(Data!$C$2:$C$1201,$C41,Data!$E$2:$E$1201,"timed")=0),"",SUMIFS(Data!$N$2:$N$1201,Data!$C$2:$C$1201,$C41)/COUNTIFS(Data!$C$2:$C$1201,$C41,Data!$E$2:$E$1201,"timed"))</f>
        <v/>
      </c>
      <c r="I41" s="47" t="str">
        <f>IF($C41="","",SUMIFS(Data!$AB$2:$AB$1201,Data!$C$2:$C$1201,$C41))</f>
        <v/>
      </c>
      <c r="J41" s="49" t="str">
        <f>IF($C41="","",SUMIFS(Data!$AL$2:$AL$1201,Data!$C$2:$C$1201,$C41))</f>
        <v/>
      </c>
      <c r="T41" t="str">
        <f>IFERROR(INDEX(Data!$C$2:$C$1201,MATCH(34,Data!$U$2:$U$1201,0)),"")</f>
        <v/>
      </c>
      <c r="U41" t="str">
        <f>IF($T41="","",SUMIFS(Data!$N$2:$N$1201,Data!$C$2:$C$1201,$T41)/60)</f>
        <v/>
      </c>
      <c r="V41" t="str">
        <f t="shared" si="0"/>
        <v/>
      </c>
      <c r="X41" t="str">
        <f>IFERROR(INDEX(Data!$B$2:$B$1201,MATCH(34,Data!$W$2:$W$1201,0)),"")</f>
        <v/>
      </c>
      <c r="Y41" t="str">
        <f>IF($X41="","",SUMIFS(Data!$N$2:$N$1201,Data!$B$2:$B$1201,$X41)/60)</f>
        <v/>
      </c>
      <c r="Z41" t="str">
        <f t="shared" si="3"/>
        <v/>
      </c>
    </row>
    <row r="42" spans="2:26" x14ac:dyDescent="0.25">
      <c r="B42" s="42" t="str">
        <f>IF($C42="","",33)</f>
        <v/>
      </c>
      <c r="C42" s="43" t="str">
        <f>IFERROR(INDEX('Where it goes'!$T$8:$T$47,MATCH(LARGE('Where it goes'!$V$8:$V$47,33),'Where it goes'!$V$8:$V$47,0)),"")</f>
        <v/>
      </c>
      <c r="D42" s="44" t="str">
        <f>IF($C42="","",SUMIFS(Data!$N$2:$N$1201,Data!$C$2:$C$1201,$C42)/60)</f>
        <v/>
      </c>
      <c r="E42" s="45" t="str">
        <f>IF(OR($C42="",SUMIFS(Data!$N$2:$N$1201,Data!$E$2:$E$1201,"timed")=0),"",SUMIFS(Data!$N$2:$N$1201,Data!$C$2:$C$1201,$C42)/SUMIFS(Data!$N$2:$N$1201,Data!$E$2:$E$1201,"timed"))</f>
        <v/>
      </c>
      <c r="F42" s="46" t="str">
        <f t="shared" si="2"/>
        <v/>
      </c>
      <c r="G42" s="47" t="str">
        <f>IF($C42="","",COUNTIFS(Data!$C$2:$C$1201,$C42,Data!$E$2:$E$1201,"timed"))</f>
        <v/>
      </c>
      <c r="H42" s="48" t="str">
        <f>IF(OR($C42="",COUNTIFS(Data!$C$2:$C$1201,$C42,Data!$E$2:$E$1201,"timed")=0),"",SUMIFS(Data!$N$2:$N$1201,Data!$C$2:$C$1201,$C42)/COUNTIFS(Data!$C$2:$C$1201,$C42,Data!$E$2:$E$1201,"timed"))</f>
        <v/>
      </c>
      <c r="I42" s="47" t="str">
        <f>IF($C42="","",SUMIFS(Data!$AB$2:$AB$1201,Data!$C$2:$C$1201,$C42))</f>
        <v/>
      </c>
      <c r="J42" s="49" t="str">
        <f>IF($C42="","",SUMIFS(Data!$AL$2:$AL$1201,Data!$C$2:$C$1201,$C42))</f>
        <v/>
      </c>
      <c r="T42" t="str">
        <f>IFERROR(INDEX(Data!$C$2:$C$1201,MATCH(35,Data!$U$2:$U$1201,0)),"")</f>
        <v/>
      </c>
      <c r="U42" t="str">
        <f>IF($T42="","",SUMIFS(Data!$N$2:$N$1201,Data!$C$2:$C$1201,$T42)/60)</f>
        <v/>
      </c>
      <c r="V42" t="str">
        <f t="shared" si="0"/>
        <v/>
      </c>
      <c r="X42" t="str">
        <f>IFERROR(INDEX(Data!$B$2:$B$1201,MATCH(35,Data!$W$2:$W$1201,0)),"")</f>
        <v/>
      </c>
      <c r="Y42" t="str">
        <f>IF($X42="","",SUMIFS(Data!$N$2:$N$1201,Data!$B$2:$B$1201,$X42)/60)</f>
        <v/>
      </c>
      <c r="Z42" t="str">
        <f t="shared" si="3"/>
        <v/>
      </c>
    </row>
    <row r="43" spans="2:26" x14ac:dyDescent="0.25">
      <c r="B43" s="42" t="str">
        <f>IF($C43="","",34)</f>
        <v/>
      </c>
      <c r="C43" s="43" t="str">
        <f>IFERROR(INDEX('Where it goes'!$T$8:$T$47,MATCH(LARGE('Where it goes'!$V$8:$V$47,34),'Where it goes'!$V$8:$V$47,0)),"")</f>
        <v/>
      </c>
      <c r="D43" s="44" t="str">
        <f>IF($C43="","",SUMIFS(Data!$N$2:$N$1201,Data!$C$2:$C$1201,$C43)/60)</f>
        <v/>
      </c>
      <c r="E43" s="45" t="str">
        <f>IF(OR($C43="",SUMIFS(Data!$N$2:$N$1201,Data!$E$2:$E$1201,"timed")=0),"",SUMIFS(Data!$N$2:$N$1201,Data!$C$2:$C$1201,$C43)/SUMIFS(Data!$N$2:$N$1201,Data!$E$2:$E$1201,"timed"))</f>
        <v/>
      </c>
      <c r="F43" s="46" t="str">
        <f t="shared" si="2"/>
        <v/>
      </c>
      <c r="G43" s="47" t="str">
        <f>IF($C43="","",COUNTIFS(Data!$C$2:$C$1201,$C43,Data!$E$2:$E$1201,"timed"))</f>
        <v/>
      </c>
      <c r="H43" s="48" t="str">
        <f>IF(OR($C43="",COUNTIFS(Data!$C$2:$C$1201,$C43,Data!$E$2:$E$1201,"timed")=0),"",SUMIFS(Data!$N$2:$N$1201,Data!$C$2:$C$1201,$C43)/COUNTIFS(Data!$C$2:$C$1201,$C43,Data!$E$2:$E$1201,"timed"))</f>
        <v/>
      </c>
      <c r="I43" s="47" t="str">
        <f>IF($C43="","",SUMIFS(Data!$AB$2:$AB$1201,Data!$C$2:$C$1201,$C43))</f>
        <v/>
      </c>
      <c r="J43" s="49" t="str">
        <f>IF($C43="","",SUMIFS(Data!$AL$2:$AL$1201,Data!$C$2:$C$1201,$C43))</f>
        <v/>
      </c>
      <c r="T43" t="str">
        <f>IFERROR(INDEX(Data!$C$2:$C$1201,MATCH(36,Data!$U$2:$U$1201,0)),"")</f>
        <v/>
      </c>
      <c r="U43" t="str">
        <f>IF($T43="","",SUMIFS(Data!$N$2:$N$1201,Data!$C$2:$C$1201,$T43)/60)</f>
        <v/>
      </c>
      <c r="V43" t="str">
        <f t="shared" si="0"/>
        <v/>
      </c>
      <c r="X43" t="str">
        <f>IFERROR(INDEX(Data!$B$2:$B$1201,MATCH(36,Data!$W$2:$W$1201,0)),"")</f>
        <v/>
      </c>
      <c r="Y43" t="str">
        <f>IF($X43="","",SUMIFS(Data!$N$2:$N$1201,Data!$B$2:$B$1201,$X43)/60)</f>
        <v/>
      </c>
      <c r="Z43" t="str">
        <f t="shared" si="3"/>
        <v/>
      </c>
    </row>
    <row r="44" spans="2:26" x14ac:dyDescent="0.25">
      <c r="B44" s="42" t="str">
        <f>IF($C44="","",35)</f>
        <v/>
      </c>
      <c r="C44" s="43" t="str">
        <f>IFERROR(INDEX('Where it goes'!$T$8:$T$47,MATCH(LARGE('Where it goes'!$V$8:$V$47,35),'Where it goes'!$V$8:$V$47,0)),"")</f>
        <v/>
      </c>
      <c r="D44" s="44" t="str">
        <f>IF($C44="","",SUMIFS(Data!$N$2:$N$1201,Data!$C$2:$C$1201,$C44)/60)</f>
        <v/>
      </c>
      <c r="E44" s="45" t="str">
        <f>IF(OR($C44="",SUMIFS(Data!$N$2:$N$1201,Data!$E$2:$E$1201,"timed")=0),"",SUMIFS(Data!$N$2:$N$1201,Data!$C$2:$C$1201,$C44)/SUMIFS(Data!$N$2:$N$1201,Data!$E$2:$E$1201,"timed"))</f>
        <v/>
      </c>
      <c r="F44" s="46" t="str">
        <f t="shared" si="2"/>
        <v/>
      </c>
      <c r="G44" s="47" t="str">
        <f>IF($C44="","",COUNTIFS(Data!$C$2:$C$1201,$C44,Data!$E$2:$E$1201,"timed"))</f>
        <v/>
      </c>
      <c r="H44" s="48" t="str">
        <f>IF(OR($C44="",COUNTIFS(Data!$C$2:$C$1201,$C44,Data!$E$2:$E$1201,"timed")=0),"",SUMIFS(Data!$N$2:$N$1201,Data!$C$2:$C$1201,$C44)/COUNTIFS(Data!$C$2:$C$1201,$C44,Data!$E$2:$E$1201,"timed"))</f>
        <v/>
      </c>
      <c r="I44" s="47" t="str">
        <f>IF($C44="","",SUMIFS(Data!$AB$2:$AB$1201,Data!$C$2:$C$1201,$C44))</f>
        <v/>
      </c>
      <c r="J44" s="49" t="str">
        <f>IF($C44="","",SUMIFS(Data!$AL$2:$AL$1201,Data!$C$2:$C$1201,$C44))</f>
        <v/>
      </c>
      <c r="T44" t="str">
        <f>IFERROR(INDEX(Data!$C$2:$C$1201,MATCH(37,Data!$U$2:$U$1201,0)),"")</f>
        <v/>
      </c>
      <c r="U44" t="str">
        <f>IF($T44="","",SUMIFS(Data!$N$2:$N$1201,Data!$C$2:$C$1201,$T44)/60)</f>
        <v/>
      </c>
      <c r="V44" t="str">
        <f t="shared" si="0"/>
        <v/>
      </c>
      <c r="X44" t="str">
        <f>IFERROR(INDEX(Data!$B$2:$B$1201,MATCH(37,Data!$W$2:$W$1201,0)),"")</f>
        <v/>
      </c>
      <c r="Y44" t="str">
        <f>IF($X44="","",SUMIFS(Data!$N$2:$N$1201,Data!$B$2:$B$1201,$X44)/60)</f>
        <v/>
      </c>
      <c r="Z44" t="str">
        <f t="shared" si="3"/>
        <v/>
      </c>
    </row>
    <row r="45" spans="2:26" x14ac:dyDescent="0.25">
      <c r="B45" s="42" t="str">
        <f>IF($C45="","",36)</f>
        <v/>
      </c>
      <c r="C45" s="43" t="str">
        <f>IFERROR(INDEX('Where it goes'!$T$8:$T$47,MATCH(LARGE('Where it goes'!$V$8:$V$47,36),'Where it goes'!$V$8:$V$47,0)),"")</f>
        <v/>
      </c>
      <c r="D45" s="44" t="str">
        <f>IF($C45="","",SUMIFS(Data!$N$2:$N$1201,Data!$C$2:$C$1201,$C45)/60)</f>
        <v/>
      </c>
      <c r="E45" s="45" t="str">
        <f>IF(OR($C45="",SUMIFS(Data!$N$2:$N$1201,Data!$E$2:$E$1201,"timed")=0),"",SUMIFS(Data!$N$2:$N$1201,Data!$C$2:$C$1201,$C45)/SUMIFS(Data!$N$2:$N$1201,Data!$E$2:$E$1201,"timed"))</f>
        <v/>
      </c>
      <c r="F45" s="46" t="str">
        <f t="shared" si="2"/>
        <v/>
      </c>
      <c r="G45" s="47" t="str">
        <f>IF($C45="","",COUNTIFS(Data!$C$2:$C$1201,$C45,Data!$E$2:$E$1201,"timed"))</f>
        <v/>
      </c>
      <c r="H45" s="48" t="str">
        <f>IF(OR($C45="",COUNTIFS(Data!$C$2:$C$1201,$C45,Data!$E$2:$E$1201,"timed")=0),"",SUMIFS(Data!$N$2:$N$1201,Data!$C$2:$C$1201,$C45)/COUNTIFS(Data!$C$2:$C$1201,$C45,Data!$E$2:$E$1201,"timed"))</f>
        <v/>
      </c>
      <c r="I45" s="47" t="str">
        <f>IF($C45="","",SUMIFS(Data!$AB$2:$AB$1201,Data!$C$2:$C$1201,$C45))</f>
        <v/>
      </c>
      <c r="J45" s="49" t="str">
        <f>IF($C45="","",SUMIFS(Data!$AL$2:$AL$1201,Data!$C$2:$C$1201,$C45))</f>
        <v/>
      </c>
      <c r="T45" t="str">
        <f>IFERROR(INDEX(Data!$C$2:$C$1201,MATCH(38,Data!$U$2:$U$1201,0)),"")</f>
        <v/>
      </c>
      <c r="U45" t="str">
        <f>IF($T45="","",SUMIFS(Data!$N$2:$N$1201,Data!$C$2:$C$1201,$T45)/60)</f>
        <v/>
      </c>
      <c r="V45" t="str">
        <f t="shared" si="0"/>
        <v/>
      </c>
      <c r="X45" t="str">
        <f>IFERROR(INDEX(Data!$B$2:$B$1201,MATCH(38,Data!$W$2:$W$1201,0)),"")</f>
        <v/>
      </c>
      <c r="Y45" t="str">
        <f>IF($X45="","",SUMIFS(Data!$N$2:$N$1201,Data!$B$2:$B$1201,$X45)/60)</f>
        <v/>
      </c>
      <c r="Z45" t="str">
        <f t="shared" si="3"/>
        <v/>
      </c>
    </row>
    <row r="46" spans="2:26" x14ac:dyDescent="0.25">
      <c r="B46" s="42" t="str">
        <f>IF($C46="","",37)</f>
        <v/>
      </c>
      <c r="C46" s="43" t="str">
        <f>IFERROR(INDEX('Where it goes'!$T$8:$T$47,MATCH(LARGE('Where it goes'!$V$8:$V$47,37),'Where it goes'!$V$8:$V$47,0)),"")</f>
        <v/>
      </c>
      <c r="D46" s="44" t="str">
        <f>IF($C46="","",SUMIFS(Data!$N$2:$N$1201,Data!$C$2:$C$1201,$C46)/60)</f>
        <v/>
      </c>
      <c r="E46" s="45" t="str">
        <f>IF(OR($C46="",SUMIFS(Data!$N$2:$N$1201,Data!$E$2:$E$1201,"timed")=0),"",SUMIFS(Data!$N$2:$N$1201,Data!$C$2:$C$1201,$C46)/SUMIFS(Data!$N$2:$N$1201,Data!$E$2:$E$1201,"timed"))</f>
        <v/>
      </c>
      <c r="F46" s="46" t="str">
        <f t="shared" si="2"/>
        <v/>
      </c>
      <c r="G46" s="47" t="str">
        <f>IF($C46="","",COUNTIFS(Data!$C$2:$C$1201,$C46,Data!$E$2:$E$1201,"timed"))</f>
        <v/>
      </c>
      <c r="H46" s="48" t="str">
        <f>IF(OR($C46="",COUNTIFS(Data!$C$2:$C$1201,$C46,Data!$E$2:$E$1201,"timed")=0),"",SUMIFS(Data!$N$2:$N$1201,Data!$C$2:$C$1201,$C46)/COUNTIFS(Data!$C$2:$C$1201,$C46,Data!$E$2:$E$1201,"timed"))</f>
        <v/>
      </c>
      <c r="I46" s="47" t="str">
        <f>IF($C46="","",SUMIFS(Data!$AB$2:$AB$1201,Data!$C$2:$C$1201,$C46))</f>
        <v/>
      </c>
      <c r="J46" s="49" t="str">
        <f>IF($C46="","",SUMIFS(Data!$AL$2:$AL$1201,Data!$C$2:$C$1201,$C46))</f>
        <v/>
      </c>
      <c r="T46" t="str">
        <f>IFERROR(INDEX(Data!$C$2:$C$1201,MATCH(39,Data!$U$2:$U$1201,0)),"")</f>
        <v/>
      </c>
      <c r="U46" t="str">
        <f>IF($T46="","",SUMIFS(Data!$N$2:$N$1201,Data!$C$2:$C$1201,$T46)/60)</f>
        <v/>
      </c>
      <c r="V46" t="str">
        <f t="shared" si="0"/>
        <v/>
      </c>
      <c r="X46" t="str">
        <f>IFERROR(INDEX(Data!$B$2:$B$1201,MATCH(39,Data!$W$2:$W$1201,0)),"")</f>
        <v/>
      </c>
      <c r="Y46" t="str">
        <f>IF($X46="","",SUMIFS(Data!$N$2:$N$1201,Data!$B$2:$B$1201,$X46)/60)</f>
        <v/>
      </c>
      <c r="Z46" t="str">
        <f t="shared" si="3"/>
        <v/>
      </c>
    </row>
    <row r="47" spans="2:26" x14ac:dyDescent="0.25">
      <c r="B47" s="42" t="str">
        <f>IF($C47="","",38)</f>
        <v/>
      </c>
      <c r="C47" s="43" t="str">
        <f>IFERROR(INDEX('Where it goes'!$T$8:$T$47,MATCH(LARGE('Where it goes'!$V$8:$V$47,38),'Where it goes'!$V$8:$V$47,0)),"")</f>
        <v/>
      </c>
      <c r="D47" s="44" t="str">
        <f>IF($C47="","",SUMIFS(Data!$N$2:$N$1201,Data!$C$2:$C$1201,$C47)/60)</f>
        <v/>
      </c>
      <c r="E47" s="45" t="str">
        <f>IF(OR($C47="",SUMIFS(Data!$N$2:$N$1201,Data!$E$2:$E$1201,"timed")=0),"",SUMIFS(Data!$N$2:$N$1201,Data!$C$2:$C$1201,$C47)/SUMIFS(Data!$N$2:$N$1201,Data!$E$2:$E$1201,"timed"))</f>
        <v/>
      </c>
      <c r="F47" s="46" t="str">
        <f t="shared" si="2"/>
        <v/>
      </c>
      <c r="G47" s="47" t="str">
        <f>IF($C47="","",COUNTIFS(Data!$C$2:$C$1201,$C47,Data!$E$2:$E$1201,"timed"))</f>
        <v/>
      </c>
      <c r="H47" s="48" t="str">
        <f>IF(OR($C47="",COUNTIFS(Data!$C$2:$C$1201,$C47,Data!$E$2:$E$1201,"timed")=0),"",SUMIFS(Data!$N$2:$N$1201,Data!$C$2:$C$1201,$C47)/COUNTIFS(Data!$C$2:$C$1201,$C47,Data!$E$2:$E$1201,"timed"))</f>
        <v/>
      </c>
      <c r="I47" s="47" t="str">
        <f>IF($C47="","",SUMIFS(Data!$AB$2:$AB$1201,Data!$C$2:$C$1201,$C47))</f>
        <v/>
      </c>
      <c r="J47" s="49" t="str">
        <f>IF($C47="","",SUMIFS(Data!$AL$2:$AL$1201,Data!$C$2:$C$1201,$C47))</f>
        <v/>
      </c>
      <c r="T47" t="str">
        <f>IFERROR(INDEX(Data!$C$2:$C$1201,MATCH(40,Data!$U$2:$U$1201,0)),"")</f>
        <v/>
      </c>
      <c r="U47" t="str">
        <f>IF($T47="","",SUMIFS(Data!$N$2:$N$1201,Data!$C$2:$C$1201,$T47)/60)</f>
        <v/>
      </c>
      <c r="V47" t="str">
        <f t="shared" si="0"/>
        <v/>
      </c>
      <c r="X47" t="str">
        <f>IFERROR(INDEX(Data!$B$2:$B$1201,MATCH(40,Data!$W$2:$W$1201,0)),"")</f>
        <v/>
      </c>
      <c r="Y47" t="str">
        <f>IF($X47="","",SUMIFS(Data!$N$2:$N$1201,Data!$B$2:$B$1201,$X47)/60)</f>
        <v/>
      </c>
      <c r="Z47" t="str">
        <f t="shared" si="3"/>
        <v/>
      </c>
    </row>
    <row r="48" spans="2:26" x14ac:dyDescent="0.25">
      <c r="B48" s="42" t="str">
        <f>IF($C48="","",39)</f>
        <v/>
      </c>
      <c r="C48" s="43" t="str">
        <f>IFERROR(INDEX('Where it goes'!$T$8:$T$47,MATCH(LARGE('Where it goes'!$V$8:$V$47,39),'Where it goes'!$V$8:$V$47,0)),"")</f>
        <v/>
      </c>
      <c r="D48" s="44" t="str">
        <f>IF($C48="","",SUMIFS(Data!$N$2:$N$1201,Data!$C$2:$C$1201,$C48)/60)</f>
        <v/>
      </c>
      <c r="E48" s="45" t="str">
        <f>IF(OR($C48="",SUMIFS(Data!$N$2:$N$1201,Data!$E$2:$E$1201,"timed")=0),"",SUMIFS(Data!$N$2:$N$1201,Data!$C$2:$C$1201,$C48)/SUMIFS(Data!$N$2:$N$1201,Data!$E$2:$E$1201,"timed"))</f>
        <v/>
      </c>
      <c r="F48" s="46" t="str">
        <f t="shared" si="2"/>
        <v/>
      </c>
      <c r="G48" s="47" t="str">
        <f>IF($C48="","",COUNTIFS(Data!$C$2:$C$1201,$C48,Data!$E$2:$E$1201,"timed"))</f>
        <v/>
      </c>
      <c r="H48" s="48" t="str">
        <f>IF(OR($C48="",COUNTIFS(Data!$C$2:$C$1201,$C48,Data!$E$2:$E$1201,"timed")=0),"",SUMIFS(Data!$N$2:$N$1201,Data!$C$2:$C$1201,$C48)/COUNTIFS(Data!$C$2:$C$1201,$C48,Data!$E$2:$E$1201,"timed"))</f>
        <v/>
      </c>
      <c r="I48" s="47" t="str">
        <f>IF($C48="","",SUMIFS(Data!$AB$2:$AB$1201,Data!$C$2:$C$1201,$C48))</f>
        <v/>
      </c>
      <c r="J48" s="49" t="str">
        <f>IF($C48="","",SUMIFS(Data!$AL$2:$AL$1201,Data!$C$2:$C$1201,$C48))</f>
        <v/>
      </c>
      <c r="X48" t="str">
        <f>IFERROR(INDEX(Data!$B$2:$B$1201,MATCH(41,Data!$W$2:$W$1201,0)),"")</f>
        <v/>
      </c>
      <c r="Y48" t="str">
        <f>IF($X48="","",SUMIFS(Data!$N$2:$N$1201,Data!$B$2:$B$1201,$X48)/60)</f>
        <v/>
      </c>
      <c r="Z48" t="str">
        <f t="shared" si="3"/>
        <v/>
      </c>
    </row>
    <row r="49" spans="2:26" x14ac:dyDescent="0.25">
      <c r="B49" s="42" t="str">
        <f>IF($C49="","",40)</f>
        <v/>
      </c>
      <c r="C49" s="43" t="str">
        <f>IFERROR(INDEX('Where it goes'!$T$8:$T$47,MATCH(LARGE('Where it goes'!$V$8:$V$47,40),'Where it goes'!$V$8:$V$47,0)),"")</f>
        <v/>
      </c>
      <c r="D49" s="44" t="str">
        <f>IF($C49="","",SUMIFS(Data!$N$2:$N$1201,Data!$C$2:$C$1201,$C49)/60)</f>
        <v/>
      </c>
      <c r="E49" s="45" t="str">
        <f>IF(OR($C49="",SUMIFS(Data!$N$2:$N$1201,Data!$E$2:$E$1201,"timed")=0),"",SUMIFS(Data!$N$2:$N$1201,Data!$C$2:$C$1201,$C49)/SUMIFS(Data!$N$2:$N$1201,Data!$E$2:$E$1201,"timed"))</f>
        <v/>
      </c>
      <c r="F49" s="46" t="str">
        <f t="shared" si="2"/>
        <v/>
      </c>
      <c r="G49" s="47" t="str">
        <f>IF($C49="","",COUNTIFS(Data!$C$2:$C$1201,$C49,Data!$E$2:$E$1201,"timed"))</f>
        <v/>
      </c>
      <c r="H49" s="48" t="str">
        <f>IF(OR($C49="",COUNTIFS(Data!$C$2:$C$1201,$C49,Data!$E$2:$E$1201,"timed")=0),"",SUMIFS(Data!$N$2:$N$1201,Data!$C$2:$C$1201,$C49)/COUNTIFS(Data!$C$2:$C$1201,$C49,Data!$E$2:$E$1201,"timed"))</f>
        <v/>
      </c>
      <c r="I49" s="47" t="str">
        <f>IF($C49="","",SUMIFS(Data!$AB$2:$AB$1201,Data!$C$2:$C$1201,$C49))</f>
        <v/>
      </c>
      <c r="J49" s="49" t="str">
        <f>IF($C49="","",SUMIFS(Data!$AL$2:$AL$1201,Data!$C$2:$C$1201,$C49))</f>
        <v/>
      </c>
      <c r="X49" t="str">
        <f>IFERROR(INDEX(Data!$B$2:$B$1201,MATCH(42,Data!$W$2:$W$1201,0)),"")</f>
        <v/>
      </c>
      <c r="Y49" t="str">
        <f>IF($X49="","",SUMIFS(Data!$N$2:$N$1201,Data!$B$2:$B$1201,$X49)/60)</f>
        <v/>
      </c>
      <c r="Z49" t="str">
        <f t="shared" si="3"/>
        <v/>
      </c>
    </row>
    <row r="50" spans="2:26" x14ac:dyDescent="0.25">
      <c r="X50" t="str">
        <f>IFERROR(INDEX(Data!$B$2:$B$1201,MATCH(43,Data!$W$2:$W$1201,0)),"")</f>
        <v/>
      </c>
      <c r="Y50" t="str">
        <f>IF($X50="","",SUMIFS(Data!$N$2:$N$1201,Data!$B$2:$B$1201,$X50)/60)</f>
        <v/>
      </c>
      <c r="Z50" t="str">
        <f t="shared" si="3"/>
        <v/>
      </c>
    </row>
    <row r="51" spans="2:26" x14ac:dyDescent="0.25">
      <c r="X51" t="str">
        <f>IFERROR(INDEX(Data!$B$2:$B$1201,MATCH(44,Data!$W$2:$W$1201,0)),"")</f>
        <v/>
      </c>
      <c r="Y51" t="str">
        <f>IF($X51="","",SUMIFS(Data!$N$2:$N$1201,Data!$B$2:$B$1201,$X51)/60)</f>
        <v/>
      </c>
      <c r="Z51" t="str">
        <f t="shared" si="3"/>
        <v/>
      </c>
    </row>
    <row r="52" spans="2:26" x14ac:dyDescent="0.25">
      <c r="B52" s="37" t="s">
        <v>101</v>
      </c>
      <c r="C52" s="38"/>
      <c r="D52" s="38"/>
      <c r="E52" s="38"/>
      <c r="F52" s="38"/>
      <c r="G52" s="38"/>
      <c r="H52" s="38"/>
      <c r="I52" s="38"/>
      <c r="J52" s="38"/>
      <c r="X52" t="str">
        <f>IFERROR(INDEX(Data!$B$2:$B$1201,MATCH(45,Data!$W$2:$W$1201,0)),"")</f>
        <v/>
      </c>
      <c r="Y52" t="str">
        <f>IF($X52="","",SUMIFS(Data!$N$2:$N$1201,Data!$B$2:$B$1201,$X52)/60)</f>
        <v/>
      </c>
      <c r="Z52" t="str">
        <f t="shared" si="3"/>
        <v/>
      </c>
    </row>
    <row r="53" spans="2:26" x14ac:dyDescent="0.25">
      <c r="B53" s="39" t="s">
        <v>102</v>
      </c>
      <c r="X53" t="str">
        <f>IFERROR(INDEX(Data!$B$2:$B$1201,MATCH(46,Data!$W$2:$W$1201,0)),"")</f>
        <v/>
      </c>
      <c r="Y53" t="str">
        <f>IF($X53="","",SUMIFS(Data!$N$2:$N$1201,Data!$B$2:$B$1201,$X53)/60)</f>
        <v/>
      </c>
      <c r="Z53" t="str">
        <f t="shared" si="3"/>
        <v/>
      </c>
    </row>
    <row r="54" spans="2:26" x14ac:dyDescent="0.25">
      <c r="X54" t="str">
        <f>IFERROR(INDEX(Data!$B$2:$B$1201,MATCH(47,Data!$W$2:$W$1201,0)),"")</f>
        <v/>
      </c>
      <c r="Y54" t="str">
        <f>IF($X54="","",SUMIFS(Data!$N$2:$N$1201,Data!$B$2:$B$1201,$X54)/60)</f>
        <v/>
      </c>
      <c r="Z54" t="str">
        <f t="shared" si="3"/>
        <v/>
      </c>
    </row>
    <row r="55" spans="2:26" x14ac:dyDescent="0.25">
      <c r="B55" s="40" t="s">
        <v>93</v>
      </c>
      <c r="C55" s="40" t="s">
        <v>103</v>
      </c>
      <c r="D55" s="41" t="s">
        <v>95</v>
      </c>
      <c r="E55" s="41" t="s">
        <v>96</v>
      </c>
      <c r="F55" s="40"/>
      <c r="G55" s="41" t="s">
        <v>97</v>
      </c>
      <c r="H55" s="41" t="s">
        <v>98</v>
      </c>
      <c r="I55" s="40" t="s">
        <v>94</v>
      </c>
      <c r="J55" s="41" t="s">
        <v>100</v>
      </c>
      <c r="X55" t="str">
        <f>IFERROR(INDEX(Data!$B$2:$B$1201,MATCH(48,Data!$W$2:$W$1201,0)),"")</f>
        <v/>
      </c>
      <c r="Y55" t="str">
        <f>IF($X55="","",SUMIFS(Data!$N$2:$N$1201,Data!$B$2:$B$1201,$X55)/60)</f>
        <v/>
      </c>
      <c r="Z55" t="str">
        <f t="shared" si="3"/>
        <v/>
      </c>
    </row>
    <row r="56" spans="2:26" x14ac:dyDescent="0.25">
      <c r="B56" s="42">
        <f>IF($C56="","",1)</f>
        <v>1</v>
      </c>
      <c r="C56" s="43" t="str">
        <f>IFERROR(INDEX('Where it goes'!$X$8:$X$127,MATCH(LARGE('Where it goes'!$Z$8:$Z$127,1),'Where it goes'!$Z$8:$Z$127,0)),"")</f>
        <v>Zendesk Tickets</v>
      </c>
      <c r="D56" s="44">
        <f>IF($C56="","",SUMIFS(Data!$N$2:$N$1201,Data!$B$2:$B$1201,$C56)/60)</f>
        <v>10.191833333333335</v>
      </c>
      <c r="E56" s="45">
        <f>IF(OR($C56="",SUMIFS(Data!$N$2:$N$1201,Data!$E$2:$E$1201,"timed")=0),"",SUMIFS(Data!$N$2:$N$1201,Data!$B$2:$B$1201,$C56)/SUMIFS(Data!$N$2:$N$1201,Data!$E$2:$E$1201,"timed"))</f>
        <v>0.23885243340364032</v>
      </c>
      <c r="F56" s="46">
        <f t="shared" ref="F56:F70" si="4">IF($C56="","",$D56)</f>
        <v>10.191833333333335</v>
      </c>
      <c r="G56" s="47">
        <f>IF($C56="","",COUNTIFS(Data!$B$2:$B$1201,$C56,Data!$E$2:$E$1201,"timed"))</f>
        <v>17</v>
      </c>
      <c r="H56" s="48">
        <f>IF(OR($C56="",COUNTIFS(Data!$B$2:$B$1201,$C56,Data!$E$2:$E$1201,"timed")=0),"",SUMIFS(Data!$N$2:$N$1201,Data!$B$2:$B$1201,$C56)/COUNTIFS(Data!$B$2:$B$1201,$C56,Data!$E$2:$E$1201,"timed"))</f>
        <v>35.97117647058824</v>
      </c>
      <c r="I56" s="50" t="str">
        <f>IF($C56="","",IFERROR(INDEX(Data!$C$2:$C$1201,MATCH($C56,Data!$B$2:$B$1201,0)),""))</f>
        <v>Zendesk Tickets</v>
      </c>
      <c r="J56" s="49">
        <f>IF($C56="","",SUMIFS(Data!$AL$2:$AL$1201,Data!$B$2:$B$1201,$C56))</f>
        <v>391.58</v>
      </c>
      <c r="X56" t="str">
        <f>IFERROR(INDEX(Data!$B$2:$B$1201,MATCH(49,Data!$W$2:$W$1201,0)),"")</f>
        <v/>
      </c>
      <c r="Y56" t="str">
        <f>IF($X56="","",SUMIFS(Data!$N$2:$N$1201,Data!$B$2:$B$1201,$X56)/60)</f>
        <v/>
      </c>
      <c r="Z56" t="str">
        <f t="shared" si="3"/>
        <v/>
      </c>
    </row>
    <row r="57" spans="2:26" x14ac:dyDescent="0.25">
      <c r="B57" s="42">
        <f>IF($C57="","",2)</f>
        <v>2</v>
      </c>
      <c r="C57" s="43" t="str">
        <f>IFERROR(INDEX('Where it goes'!$X$8:$X$127,MATCH(LARGE('Where it goes'!$Z$8:$Z$127,2),'Where it goes'!$Z$8:$Z$127,0)),"")</f>
        <v>Project work</v>
      </c>
      <c r="D57" s="44">
        <f>IF($C57="","",SUMIFS(Data!$N$2:$N$1201,Data!$B$2:$B$1201,$C57)/60)</f>
        <v>7.9924999999999988</v>
      </c>
      <c r="E57" s="45">
        <f>IF(OR($C57="",SUMIFS(Data!$N$2:$N$1201,Data!$E$2:$E$1201,"timed")=0),"",SUMIFS(Data!$N$2:$N$1201,Data!$B$2:$B$1201,$C57)/SUMIFS(Data!$N$2:$N$1201,Data!$E$2:$E$1201,"timed"))</f>
        <v>0.18730958518865706</v>
      </c>
      <c r="F57" s="46">
        <f t="shared" si="4"/>
        <v>7.9924999999999988</v>
      </c>
      <c r="G57" s="47">
        <f>IF($C57="","",COUNTIFS(Data!$B$2:$B$1201,$C57,Data!$E$2:$E$1201,"timed"))</f>
        <v>9</v>
      </c>
      <c r="H57" s="48">
        <f>IF(OR($C57="",COUNTIFS(Data!$B$2:$B$1201,$C57,Data!$E$2:$E$1201,"timed")=0),"",SUMIFS(Data!$N$2:$N$1201,Data!$B$2:$B$1201,$C57)/COUNTIFS(Data!$B$2:$B$1201,$C57,Data!$E$2:$E$1201,"timed"))</f>
        <v>53.283333333333331</v>
      </c>
      <c r="I57" s="50" t="str">
        <f>IF($C57="","",IFERROR(INDEX(Data!$C$2:$C$1201,MATCH($C57,Data!$B$2:$B$1201,0)),""))</f>
        <v>Project work</v>
      </c>
      <c r="J57" s="49">
        <f>IF($C57="","",SUMIFS(Data!$AL$2:$AL$1201,Data!$B$2:$B$1201,$C57))</f>
        <v>307.07</v>
      </c>
      <c r="X57" t="str">
        <f>IFERROR(INDEX(Data!$B$2:$B$1201,MATCH(50,Data!$W$2:$W$1201,0)),"")</f>
        <v/>
      </c>
      <c r="Y57" t="str">
        <f>IF($X57="","",SUMIFS(Data!$N$2:$N$1201,Data!$B$2:$B$1201,$X57)/60)</f>
        <v/>
      </c>
      <c r="Z57" t="str">
        <f t="shared" si="3"/>
        <v/>
      </c>
    </row>
    <row r="58" spans="2:26" x14ac:dyDescent="0.25">
      <c r="B58" s="42">
        <f>IF($C58="","",3)</f>
        <v>3</v>
      </c>
      <c r="C58" s="43" t="str">
        <f>IFERROR(INDEX('Where it goes'!$X$8:$X$127,MATCH(LARGE('Where it goes'!$Z$8:$Z$127,3),'Where it goes'!$Z$8:$Z$127,0)),"")</f>
        <v>Admin</v>
      </c>
      <c r="D58" s="44">
        <f>IF($C58="","",SUMIFS(Data!$N$2:$N$1201,Data!$B$2:$B$1201,$C58)/60)</f>
        <v>7.559333333333333</v>
      </c>
      <c r="E58" s="45">
        <f>IF(OR($C58="",SUMIFS(Data!$N$2:$N$1201,Data!$E$2:$E$1201,"timed")=0),"",SUMIFS(Data!$N$2:$N$1201,Data!$B$2:$B$1201,$C58)/SUMIFS(Data!$N$2:$N$1201,Data!$E$2:$E$1201,"timed"))</f>
        <v>0.17715803452855242</v>
      </c>
      <c r="F58" s="46">
        <f t="shared" si="4"/>
        <v>7.559333333333333</v>
      </c>
      <c r="G58" s="47">
        <f>IF($C58="","",COUNTIFS(Data!$B$2:$B$1201,$C58,Data!$E$2:$E$1201,"timed"))</f>
        <v>13</v>
      </c>
      <c r="H58" s="48">
        <f>IF(OR($C58="",COUNTIFS(Data!$B$2:$B$1201,$C58,Data!$E$2:$E$1201,"timed")=0),"",SUMIFS(Data!$N$2:$N$1201,Data!$B$2:$B$1201,$C58)/COUNTIFS(Data!$B$2:$B$1201,$C58,Data!$E$2:$E$1201,"timed"))</f>
        <v>34.889230769230771</v>
      </c>
      <c r="I58" s="50" t="str">
        <f>IF($C58="","",IFERROR(INDEX(Data!$C$2:$C$1201,MATCH($C58,Data!$B$2:$B$1201,0)),""))</f>
        <v>Admin</v>
      </c>
      <c r="J58" s="49">
        <f>IF($C58="","",SUMIFS(Data!$AL$2:$AL$1201,Data!$B$2:$B$1201,$C58))</f>
        <v>290.44</v>
      </c>
      <c r="X58" t="str">
        <f>IFERROR(INDEX(Data!$B$2:$B$1201,MATCH(51,Data!$W$2:$W$1201,0)),"")</f>
        <v/>
      </c>
      <c r="Y58" t="str">
        <f>IF($X58="","",SUMIFS(Data!$N$2:$N$1201,Data!$B$2:$B$1201,$X58)/60)</f>
        <v/>
      </c>
      <c r="Z58" t="str">
        <f t="shared" si="3"/>
        <v/>
      </c>
    </row>
    <row r="59" spans="2:26" x14ac:dyDescent="0.25">
      <c r="B59" s="42">
        <f>IF($C59="","",4)</f>
        <v>4</v>
      </c>
      <c r="C59" s="43" t="str">
        <f>IFERROR(INDEX('Where it goes'!$X$8:$X$127,MATCH(LARGE('Where it goes'!$Z$8:$Z$127,4),'Where it goes'!$Z$8:$Z$127,0)),"")</f>
        <v>Email</v>
      </c>
      <c r="D59" s="44">
        <f>IF($C59="","",SUMIFS(Data!$N$2:$N$1201,Data!$B$2:$B$1201,$C59)/60)</f>
        <v>5.2786666666666653</v>
      </c>
      <c r="E59" s="45">
        <f>IF(OR($C59="",SUMIFS(Data!$N$2:$N$1201,Data!$E$2:$E$1201,"timed")=0),"",SUMIFS(Data!$N$2:$N$1201,Data!$B$2:$B$1201,$C59)/SUMIFS(Data!$N$2:$N$1201,Data!$E$2:$E$1201,"timed"))</f>
        <v>0.12370908522771652</v>
      </c>
      <c r="F59" s="46">
        <f t="shared" si="4"/>
        <v>5.2786666666666653</v>
      </c>
      <c r="G59" s="47">
        <f>IF($C59="","",COUNTIFS(Data!$B$2:$B$1201,$C59,Data!$E$2:$E$1201,"timed"))</f>
        <v>17</v>
      </c>
      <c r="H59" s="48">
        <f>IF(OR($C59="",COUNTIFS(Data!$B$2:$B$1201,$C59,Data!$E$2:$E$1201,"timed")=0),"",SUMIFS(Data!$N$2:$N$1201,Data!$B$2:$B$1201,$C59)/COUNTIFS(Data!$B$2:$B$1201,$C59,Data!$E$2:$E$1201,"timed"))</f>
        <v>18.630588235294113</v>
      </c>
      <c r="I59" s="50" t="str">
        <f>IF($C59="","",IFERROR(INDEX(Data!$C$2:$C$1201,MATCH($C59,Data!$B$2:$B$1201,0)),""))</f>
        <v>Email</v>
      </c>
      <c r="J59" s="49">
        <f>IF($C59="","",SUMIFS(Data!$AL$2:$AL$1201,Data!$B$2:$B$1201,$C59))</f>
        <v>202.8</v>
      </c>
      <c r="X59" t="str">
        <f>IFERROR(INDEX(Data!$B$2:$B$1201,MATCH(52,Data!$W$2:$W$1201,0)),"")</f>
        <v/>
      </c>
      <c r="Y59" t="str">
        <f>IF($X59="","",SUMIFS(Data!$N$2:$N$1201,Data!$B$2:$B$1201,$X59)/60)</f>
        <v/>
      </c>
      <c r="Z59" t="str">
        <f t="shared" si="3"/>
        <v/>
      </c>
    </row>
    <row r="60" spans="2:26" x14ac:dyDescent="0.25">
      <c r="B60" s="42">
        <f>IF($C60="","",5)</f>
        <v>5</v>
      </c>
      <c r="C60" s="43" t="str">
        <f>IFERROR(INDEX('Where it goes'!$X$8:$X$127,MATCH(LARGE('Where it goes'!$Z$8:$Z$127,5),'Where it goes'!$Z$8:$Z$127,0)),"")</f>
        <v>Dev Tickets - ADO's</v>
      </c>
      <c r="D60" s="44">
        <f>IF($C60="","",SUMIFS(Data!$N$2:$N$1201,Data!$B$2:$B$1201,$C60)/60)</f>
        <v>4.7831666666666672</v>
      </c>
      <c r="E60" s="45">
        <f>IF(OR($C60="",SUMIFS(Data!$N$2:$N$1201,Data!$E$2:$E$1201,"timed")=0),"",SUMIFS(Data!$N$2:$N$1201,Data!$B$2:$B$1201,$C60)/SUMIFS(Data!$N$2:$N$1201,Data!$E$2:$E$1201,"timed"))</f>
        <v>0.11209671119443791</v>
      </c>
      <c r="F60" s="46">
        <f t="shared" si="4"/>
        <v>4.7831666666666672</v>
      </c>
      <c r="G60" s="47">
        <f>IF($C60="","",COUNTIFS(Data!$B$2:$B$1201,$C60,Data!$E$2:$E$1201,"timed"))</f>
        <v>6</v>
      </c>
      <c r="H60" s="48">
        <f>IF(OR($C60="",COUNTIFS(Data!$B$2:$B$1201,$C60,Data!$E$2:$E$1201,"timed")=0),"",SUMIFS(Data!$N$2:$N$1201,Data!$B$2:$B$1201,$C60)/COUNTIFS(Data!$B$2:$B$1201,$C60,Data!$E$2:$E$1201,"timed"))</f>
        <v>47.831666666666671</v>
      </c>
      <c r="I60" s="50" t="str">
        <f>IF($C60="","",IFERROR(INDEX(Data!$C$2:$C$1201,MATCH($C60,Data!$B$2:$B$1201,0)),""))</f>
        <v>Dev Tickets - ADO's</v>
      </c>
      <c r="J60" s="49">
        <f>IF($C60="","",SUMIFS(Data!$AL$2:$AL$1201,Data!$B$2:$B$1201,$C60))</f>
        <v>183.76</v>
      </c>
      <c r="X60" t="str">
        <f>IFERROR(INDEX(Data!$B$2:$B$1201,MATCH(53,Data!$W$2:$W$1201,0)),"")</f>
        <v/>
      </c>
      <c r="Y60" t="str">
        <f>IF($X60="","",SUMIFS(Data!$N$2:$N$1201,Data!$B$2:$B$1201,$X60)/60)</f>
        <v/>
      </c>
      <c r="Z60" t="str">
        <f t="shared" si="3"/>
        <v/>
      </c>
    </row>
    <row r="61" spans="2:26" x14ac:dyDescent="0.25">
      <c r="B61" s="42">
        <f>IF($C61="","",6)</f>
        <v>6</v>
      </c>
      <c r="C61" s="43" t="str">
        <f>IFERROR(INDEX('Where it goes'!$X$8:$X$127,MATCH(LARGE('Where it goes'!$Z$8:$Z$127,6),'Where it goes'!$Z$8:$Z$127,0)),"")</f>
        <v>Lunch Break</v>
      </c>
      <c r="D61" s="44">
        <f>IF($C61="","",SUMIFS(Data!$N$2:$N$1201,Data!$B$2:$B$1201,$C61)/60)</f>
        <v>2.7646666666666673</v>
      </c>
      <c r="E61" s="45">
        <f>IF(OR($C61="",SUMIFS(Data!$N$2:$N$1201,Data!$E$2:$E$1201,"timed")=0),"",SUMIFS(Data!$N$2:$N$1201,Data!$B$2:$B$1201,$C61)/SUMIFS(Data!$N$2:$N$1201,Data!$E$2:$E$1201,"timed"))</f>
        <v>6.4791813139598461E-2</v>
      </c>
      <c r="F61" s="46">
        <f t="shared" si="4"/>
        <v>2.7646666666666673</v>
      </c>
      <c r="G61" s="47">
        <f>IF($C61="","",COUNTIFS(Data!$B$2:$B$1201,$C61,Data!$E$2:$E$1201,"timed"))</f>
        <v>5</v>
      </c>
      <c r="H61" s="48">
        <f>IF(OR($C61="",COUNTIFS(Data!$B$2:$B$1201,$C61,Data!$E$2:$E$1201,"timed")=0),"",SUMIFS(Data!$N$2:$N$1201,Data!$B$2:$B$1201,$C61)/COUNTIFS(Data!$B$2:$B$1201,$C61,Data!$E$2:$E$1201,"timed"))</f>
        <v>33.176000000000002</v>
      </c>
      <c r="I61" s="50" t="str">
        <f>IF($C61="","",IFERROR(INDEX(Data!$C$2:$C$1201,MATCH($C61,Data!$B$2:$B$1201,0)),""))</f>
        <v>Lunch Break</v>
      </c>
      <c r="J61" s="49">
        <f>IF($C61="","",SUMIFS(Data!$AL$2:$AL$1201,Data!$B$2:$B$1201,$C61))</f>
        <v>106.22</v>
      </c>
      <c r="X61" t="str">
        <f>IFERROR(INDEX(Data!$B$2:$B$1201,MATCH(54,Data!$W$2:$W$1201,0)),"")</f>
        <v/>
      </c>
      <c r="Y61" t="str">
        <f>IF($X61="","",SUMIFS(Data!$N$2:$N$1201,Data!$B$2:$B$1201,$X61)/60)</f>
        <v/>
      </c>
      <c r="Z61" t="str">
        <f t="shared" si="3"/>
        <v/>
      </c>
    </row>
    <row r="62" spans="2:26" x14ac:dyDescent="0.25">
      <c r="B62" s="42">
        <f>IF($C62="","",7)</f>
        <v>7</v>
      </c>
      <c r="C62" s="43" t="str">
        <f>IFERROR(INDEX('Where it goes'!$X$8:$X$127,MATCH(LARGE('Where it goes'!$Z$8:$Z$127,7),'Where it goes'!$Z$8:$Z$127,0)),"")</f>
        <v>Teams Communications</v>
      </c>
      <c r="D62" s="44">
        <f>IF($C62="","",SUMIFS(Data!$N$2:$N$1201,Data!$B$2:$B$1201,$C62)/60)</f>
        <v>2.351833333333333</v>
      </c>
      <c r="E62" s="45">
        <f>IF(OR($C62="",SUMIFS(Data!$N$2:$N$1201,Data!$E$2:$E$1201,"timed")=0),"",SUMIFS(Data!$N$2:$N$1201,Data!$B$2:$B$1201,$C62)/SUMIFS(Data!$N$2:$N$1201,Data!$E$2:$E$1201,"timed"))</f>
        <v>5.5116787750956936E-2</v>
      </c>
      <c r="F62" s="46">
        <f t="shared" si="4"/>
        <v>2.351833333333333</v>
      </c>
      <c r="G62" s="47">
        <f>IF($C62="","",COUNTIFS(Data!$B$2:$B$1201,$C62,Data!$E$2:$E$1201,"timed"))</f>
        <v>11</v>
      </c>
      <c r="H62" s="48">
        <f>IF(OR($C62="",COUNTIFS(Data!$B$2:$B$1201,$C62,Data!$E$2:$E$1201,"timed")=0),"",SUMIFS(Data!$N$2:$N$1201,Data!$B$2:$B$1201,$C62)/COUNTIFS(Data!$B$2:$B$1201,$C62,Data!$E$2:$E$1201,"timed"))</f>
        <v>12.828181818181816</v>
      </c>
      <c r="I62" s="50" t="str">
        <f>IF($C62="","",IFERROR(INDEX(Data!$C$2:$C$1201,MATCH($C62,Data!$B$2:$B$1201,0)),""))</f>
        <v>Teams Communications</v>
      </c>
      <c r="J62" s="49">
        <f>IF($C62="","",SUMIFS(Data!$AL$2:$AL$1201,Data!$B$2:$B$1201,$C62))</f>
        <v>90.36999999999999</v>
      </c>
      <c r="X62" t="str">
        <f>IFERROR(INDEX(Data!$B$2:$B$1201,MATCH(55,Data!$W$2:$W$1201,0)),"")</f>
        <v/>
      </c>
      <c r="Y62" t="str">
        <f>IF($X62="","",SUMIFS(Data!$N$2:$N$1201,Data!$B$2:$B$1201,$X62)/60)</f>
        <v/>
      </c>
      <c r="Z62" t="str">
        <f t="shared" si="3"/>
        <v/>
      </c>
    </row>
    <row r="63" spans="2:26" x14ac:dyDescent="0.25">
      <c r="B63" s="42">
        <f>IF($C63="","",8)</f>
        <v>8</v>
      </c>
      <c r="C63" s="43" t="str">
        <f>IFERROR(INDEX('Where it goes'!$X$8:$X$127,MATCH(LARGE('Where it goes'!$Z$8:$Z$127,8),'Where it goes'!$Z$8:$Z$127,0)),"")</f>
        <v>Support</v>
      </c>
      <c r="D63" s="44">
        <f>IF($C63="","",SUMIFS(Data!$N$2:$N$1201,Data!$B$2:$B$1201,$C63)/60)</f>
        <v>1.1826666666666665</v>
      </c>
      <c r="E63" s="45">
        <f>IF(OR($C63="",SUMIFS(Data!$N$2:$N$1201,Data!$E$2:$E$1201,"timed")=0),"",SUMIFS(Data!$N$2:$N$1201,Data!$B$2:$B$1201,$C63)/SUMIFS(Data!$N$2:$N$1201,Data!$E$2:$E$1201,"timed"))</f>
        <v>2.7716584641824846E-2</v>
      </c>
      <c r="F63" s="46">
        <f t="shared" si="4"/>
        <v>1.1826666666666665</v>
      </c>
      <c r="G63" s="47">
        <f>IF($C63="","",COUNTIFS(Data!$B$2:$B$1201,$C63,Data!$E$2:$E$1201,"timed"))</f>
        <v>1</v>
      </c>
      <c r="H63" s="48">
        <f>IF(OR($C63="",COUNTIFS(Data!$B$2:$B$1201,$C63,Data!$E$2:$E$1201,"timed")=0),"",SUMIFS(Data!$N$2:$N$1201,Data!$B$2:$B$1201,$C63)/COUNTIFS(Data!$B$2:$B$1201,$C63,Data!$E$2:$E$1201,"timed"))</f>
        <v>70.959999999999994</v>
      </c>
      <c r="I63" s="50" t="str">
        <f>IF($C63="","",IFERROR(INDEX(Data!$C$2:$C$1201,MATCH($C63,Data!$B$2:$B$1201,0)),""))</f>
        <v>Support</v>
      </c>
      <c r="J63" s="49">
        <f>IF($C63="","",SUMIFS(Data!$AL$2:$AL$1201,Data!$B$2:$B$1201,$C63))</f>
        <v>45.44</v>
      </c>
      <c r="X63" t="str">
        <f>IFERROR(INDEX(Data!$B$2:$B$1201,MATCH(56,Data!$W$2:$W$1201,0)),"")</f>
        <v/>
      </c>
      <c r="Y63" t="str">
        <f>IF($X63="","",SUMIFS(Data!$N$2:$N$1201,Data!$B$2:$B$1201,$X63)/60)</f>
        <v/>
      </c>
      <c r="Z63" t="str">
        <f t="shared" si="3"/>
        <v/>
      </c>
    </row>
    <row r="64" spans="2:26" x14ac:dyDescent="0.25">
      <c r="B64" s="42">
        <f>IF($C64="","",9)</f>
        <v>9</v>
      </c>
      <c r="C64" s="43" t="str">
        <f>IFERROR(INDEX('Where it goes'!$X$8:$X$127,MATCH(LARGE('Where it goes'!$Z$8:$Z$127,9),'Where it goes'!$Z$8:$Z$127,0)),"")</f>
        <v>Meetings</v>
      </c>
      <c r="D64" s="44">
        <f>IF($C64="","",SUMIFS(Data!$N$2:$N$1201,Data!$B$2:$B$1201,$C64)/60)</f>
        <v>0.56333333333333335</v>
      </c>
      <c r="E64" s="45">
        <f>IF(OR($C64="",SUMIFS(Data!$N$2:$N$1201,Data!$E$2:$E$1201,"timed")=0),"",SUMIFS(Data!$N$2:$N$1201,Data!$B$2:$B$1201,$C64)/SUMIFS(Data!$N$2:$N$1201,Data!$E$2:$E$1201,"timed"))</f>
        <v>1.3202093586438557E-2</v>
      </c>
      <c r="F64" s="46">
        <f t="shared" si="4"/>
        <v>0.56333333333333335</v>
      </c>
      <c r="G64" s="47">
        <f>IF($C64="","",COUNTIFS(Data!$B$2:$B$1201,$C64,Data!$E$2:$E$1201,"timed"))</f>
        <v>3</v>
      </c>
      <c r="H64" s="48">
        <f>IF(OR($C64="",COUNTIFS(Data!$B$2:$B$1201,$C64,Data!$E$2:$E$1201,"timed")=0),"",SUMIFS(Data!$N$2:$N$1201,Data!$B$2:$B$1201,$C64)/COUNTIFS(Data!$B$2:$B$1201,$C64,Data!$E$2:$E$1201,"timed"))</f>
        <v>11.266666666666667</v>
      </c>
      <c r="I64" s="50" t="str">
        <f>IF($C64="","",IFERROR(INDEX(Data!$C$2:$C$1201,MATCH($C64,Data!$B$2:$B$1201,0)),""))</f>
        <v>Meetings</v>
      </c>
      <c r="J64" s="49">
        <f>IF($C64="","",SUMIFS(Data!$AL$2:$AL$1201,Data!$B$2:$B$1201,$C64))</f>
        <v>21.64</v>
      </c>
      <c r="X64" t="str">
        <f>IFERROR(INDEX(Data!$B$2:$B$1201,MATCH(57,Data!$W$2:$W$1201,0)),"")</f>
        <v/>
      </c>
      <c r="Y64" t="str">
        <f>IF($X64="","",SUMIFS(Data!$N$2:$N$1201,Data!$B$2:$B$1201,$X64)/60)</f>
        <v/>
      </c>
      <c r="Z64" t="str">
        <f t="shared" si="3"/>
        <v/>
      </c>
    </row>
    <row r="65" spans="2:26" x14ac:dyDescent="0.25">
      <c r="B65" s="42">
        <f>IF($C65="","",10)</f>
        <v>10</v>
      </c>
      <c r="C65" s="43" t="str">
        <f>IFERROR(INDEX('Where it goes'!$X$8:$X$127,MATCH(LARGE('Where it goes'!$Z$8:$Z$127,10),'Where it goes'!$Z$8:$Z$127,0)),"")</f>
        <v>Finish for the Day</v>
      </c>
      <c r="D65" s="44">
        <f>IF($C65="","",SUMIFS(Data!$N$2:$N$1201,Data!$B$2:$B$1201,$C65)/60)</f>
        <v>2E-3</v>
      </c>
      <c r="E65" s="45">
        <f>IF(OR($C65="",SUMIFS(Data!$N$2:$N$1201,Data!$E$2:$E$1201,"timed")=0),"",SUMIFS(Data!$N$2:$N$1201,Data!$B$2:$B$1201,$C65)/SUMIFS(Data!$N$2:$N$1201,Data!$E$2:$E$1201,"timed"))</f>
        <v>4.6871338176704927E-5</v>
      </c>
      <c r="F65" s="46">
        <f t="shared" si="4"/>
        <v>2E-3</v>
      </c>
      <c r="G65" s="47">
        <f>IF($C65="","",COUNTIFS(Data!$B$2:$B$1201,$C65,Data!$E$2:$E$1201,"timed"))</f>
        <v>1</v>
      </c>
      <c r="H65" s="48">
        <f>IF(OR($C65="",COUNTIFS(Data!$B$2:$B$1201,$C65,Data!$E$2:$E$1201,"timed")=0),"",SUMIFS(Data!$N$2:$N$1201,Data!$B$2:$B$1201,$C65)/COUNTIFS(Data!$B$2:$B$1201,$C65,Data!$E$2:$E$1201,"timed"))</f>
        <v>0.12</v>
      </c>
      <c r="I65" s="50" t="str">
        <f>IF($C65="","",IFERROR(INDEX(Data!$C$2:$C$1201,MATCH($C65,Data!$B$2:$B$1201,0)),""))</f>
        <v>Finish for the Day</v>
      </c>
      <c r="J65" s="49">
        <f>IF($C65="","",SUMIFS(Data!$AL$2:$AL$1201,Data!$B$2:$B$1201,$C65))</f>
        <v>0.08</v>
      </c>
      <c r="X65" t="str">
        <f>IFERROR(INDEX(Data!$B$2:$B$1201,MATCH(58,Data!$W$2:$W$1201,0)),"")</f>
        <v/>
      </c>
      <c r="Y65" t="str">
        <f>IF($X65="","",SUMIFS(Data!$N$2:$N$1201,Data!$B$2:$B$1201,$X65)/60)</f>
        <v/>
      </c>
      <c r="Z65" t="str">
        <f t="shared" si="3"/>
        <v/>
      </c>
    </row>
    <row r="66" spans="2:26" x14ac:dyDescent="0.25">
      <c r="B66" s="42">
        <f>IF($C66="","",11)</f>
        <v>11</v>
      </c>
      <c r="C66" s="43" t="str">
        <f>IFERROR(INDEX('Where it goes'!$X$8:$X$127,MATCH(LARGE('Where it goes'!$Z$8:$Z$127,11),'Where it goes'!$Z$8:$Z$127,0)),"")</f>
        <v>10am meeting</v>
      </c>
      <c r="D66" s="44">
        <f>IF($C66="","",SUMIFS(Data!$N$2:$N$1201,Data!$B$2:$B$1201,$C66)/60)</f>
        <v>0</v>
      </c>
      <c r="E66" s="45">
        <f>IF(OR($C66="",SUMIFS(Data!$N$2:$N$1201,Data!$E$2:$E$1201,"timed")=0),"",SUMIFS(Data!$N$2:$N$1201,Data!$B$2:$B$1201,$C66)/SUMIFS(Data!$N$2:$N$1201,Data!$E$2:$E$1201,"timed"))</f>
        <v>0</v>
      </c>
      <c r="F66" s="46">
        <f t="shared" si="4"/>
        <v>0</v>
      </c>
      <c r="G66" s="47">
        <f>IF($C66="","",COUNTIFS(Data!$B$2:$B$1201,$C66,Data!$E$2:$E$1201,"timed"))</f>
        <v>0</v>
      </c>
      <c r="H66" s="48" t="str">
        <f>IF(OR($C66="",COUNTIFS(Data!$B$2:$B$1201,$C66,Data!$E$2:$E$1201,"timed")=0),"",SUMIFS(Data!$N$2:$N$1201,Data!$B$2:$B$1201,$C66)/COUNTIFS(Data!$B$2:$B$1201,$C66,Data!$E$2:$E$1201,"timed"))</f>
        <v/>
      </c>
      <c r="I66" s="50" t="str">
        <f>IF($C66="","",IFERROR(INDEX(Data!$C$2:$C$1201,MATCH($C66,Data!$B$2:$B$1201,0)),""))</f>
        <v>To-do</v>
      </c>
      <c r="J66" s="49">
        <f>IF($C66="","",SUMIFS(Data!$AL$2:$AL$1201,Data!$B$2:$B$1201,$C66))</f>
        <v>0</v>
      </c>
      <c r="X66" t="str">
        <f>IFERROR(INDEX(Data!$B$2:$B$1201,MATCH(59,Data!$W$2:$W$1201,0)),"")</f>
        <v/>
      </c>
      <c r="Y66" t="str">
        <f>IF($X66="","",SUMIFS(Data!$N$2:$N$1201,Data!$B$2:$B$1201,$X66)/60)</f>
        <v/>
      </c>
      <c r="Z66" t="str">
        <f t="shared" si="3"/>
        <v/>
      </c>
    </row>
    <row r="67" spans="2:26" x14ac:dyDescent="0.25">
      <c r="B67" s="42">
        <f>IF($C67="","",12)</f>
        <v>12</v>
      </c>
      <c r="C67" s="43" t="str">
        <f>IFERROR(INDEX('Where it goes'!$X$8:$X$127,MATCH(LARGE('Where it goes'!$Z$8:$Z$127,12),'Where it goes'!$Z$8:$Z$127,0)),"")</f>
        <v>Take dog to vet</v>
      </c>
      <c r="D67" s="44">
        <f>IF($C67="","",SUMIFS(Data!$N$2:$N$1201,Data!$B$2:$B$1201,$C67)/60)</f>
        <v>0</v>
      </c>
      <c r="E67" s="45">
        <f>IF(OR($C67="",SUMIFS(Data!$N$2:$N$1201,Data!$E$2:$E$1201,"timed")=0),"",SUMIFS(Data!$N$2:$N$1201,Data!$B$2:$B$1201,$C67)/SUMIFS(Data!$N$2:$N$1201,Data!$E$2:$E$1201,"timed"))</f>
        <v>0</v>
      </c>
      <c r="F67" s="46">
        <f t="shared" si="4"/>
        <v>0</v>
      </c>
      <c r="G67" s="47">
        <f>IF($C67="","",COUNTIFS(Data!$B$2:$B$1201,$C67,Data!$E$2:$E$1201,"timed"))</f>
        <v>0</v>
      </c>
      <c r="H67" s="48" t="str">
        <f>IF(OR($C67="",COUNTIFS(Data!$B$2:$B$1201,$C67,Data!$E$2:$E$1201,"timed")=0),"",SUMIFS(Data!$N$2:$N$1201,Data!$B$2:$B$1201,$C67)/COUNTIFS(Data!$B$2:$B$1201,$C67,Data!$E$2:$E$1201,"timed"))</f>
        <v/>
      </c>
      <c r="I67" s="50" t="str">
        <f>IF($C67="","",IFERROR(INDEX(Data!$C$2:$C$1201,MATCH($C67,Data!$B$2:$B$1201,0)),""))</f>
        <v>To-do</v>
      </c>
      <c r="J67" s="49">
        <f>IF($C67="","",SUMIFS(Data!$AL$2:$AL$1201,Data!$B$2:$B$1201,$C67))</f>
        <v>0</v>
      </c>
      <c r="X67" t="str">
        <f>IFERROR(INDEX(Data!$B$2:$B$1201,MATCH(60,Data!$W$2:$W$1201,0)),"")</f>
        <v/>
      </c>
      <c r="Y67" t="str">
        <f>IF($X67="","",SUMIFS(Data!$N$2:$N$1201,Data!$B$2:$B$1201,$X67)/60)</f>
        <v/>
      </c>
      <c r="Z67" t="str">
        <f t="shared" si="3"/>
        <v/>
      </c>
    </row>
    <row r="68" spans="2:26" x14ac:dyDescent="0.25">
      <c r="B68" s="42">
        <f>IF($C68="","",13)</f>
        <v>13</v>
      </c>
      <c r="C68" s="43" t="str">
        <f>IFERROR(INDEX('Where it goes'!$X$8:$X$127,MATCH(LARGE('Where it goes'!$Z$8:$Z$127,13),'Where it goes'!$Z$8:$Z$127,0)),"")</f>
        <v>9:45am Stand-up Meeting</v>
      </c>
      <c r="D68" s="44">
        <f>IF($C68="","",SUMIFS(Data!$N$2:$N$1201,Data!$B$2:$B$1201,$C68)/60)</f>
        <v>0</v>
      </c>
      <c r="E68" s="45">
        <f>IF(OR($C68="",SUMIFS(Data!$N$2:$N$1201,Data!$E$2:$E$1201,"timed")=0),"",SUMIFS(Data!$N$2:$N$1201,Data!$B$2:$B$1201,$C68)/SUMIFS(Data!$N$2:$N$1201,Data!$E$2:$E$1201,"timed"))</f>
        <v>0</v>
      </c>
      <c r="F68" s="46">
        <f t="shared" si="4"/>
        <v>0</v>
      </c>
      <c r="G68" s="47">
        <f>IF($C68="","",COUNTIFS(Data!$B$2:$B$1201,$C68,Data!$E$2:$E$1201,"timed"))</f>
        <v>0</v>
      </c>
      <c r="H68" s="48" t="str">
        <f>IF(OR($C68="",COUNTIFS(Data!$B$2:$B$1201,$C68,Data!$E$2:$E$1201,"timed")=0),"",SUMIFS(Data!$N$2:$N$1201,Data!$B$2:$B$1201,$C68)/COUNTIFS(Data!$B$2:$B$1201,$C68,Data!$E$2:$E$1201,"timed"))</f>
        <v/>
      </c>
      <c r="I68" s="50" t="str">
        <f>IF($C68="","",IFERROR(INDEX(Data!$C$2:$C$1201,MATCH($C68,Data!$B$2:$B$1201,0)),""))</f>
        <v>To-do</v>
      </c>
      <c r="J68" s="49">
        <f>IF($C68="","",SUMIFS(Data!$AL$2:$AL$1201,Data!$B$2:$B$1201,$C68))</f>
        <v>0</v>
      </c>
      <c r="X68" t="str">
        <f>IFERROR(INDEX(Data!$B$2:$B$1201,MATCH(61,Data!$W$2:$W$1201,0)),"")</f>
        <v/>
      </c>
      <c r="Y68" t="str">
        <f>IF($X68="","",SUMIFS(Data!$N$2:$N$1201,Data!$B$2:$B$1201,$X68)/60)</f>
        <v/>
      </c>
      <c r="Z68" t="str">
        <f t="shared" si="3"/>
        <v/>
      </c>
    </row>
    <row r="69" spans="2:26" x14ac:dyDescent="0.25">
      <c r="B69" s="42">
        <f>IF($C69="","",14)</f>
        <v>14</v>
      </c>
      <c r="C69" s="43" t="str">
        <f>IFERROR(INDEX('Where it goes'!$X$8:$X$127,MATCH(LARGE('Where it goes'!$Z$8:$Z$127,14),'Where it goes'!$Z$8:$Z$127,0)),"")</f>
        <v>Take lunch at 12pm</v>
      </c>
      <c r="D69" s="44">
        <f>IF($C69="","",SUMIFS(Data!$N$2:$N$1201,Data!$B$2:$B$1201,$C69)/60)</f>
        <v>0</v>
      </c>
      <c r="E69" s="45">
        <f>IF(OR($C69="",SUMIFS(Data!$N$2:$N$1201,Data!$E$2:$E$1201,"timed")=0),"",SUMIFS(Data!$N$2:$N$1201,Data!$B$2:$B$1201,$C69)/SUMIFS(Data!$N$2:$N$1201,Data!$E$2:$E$1201,"timed"))</f>
        <v>0</v>
      </c>
      <c r="F69" s="46">
        <f t="shared" si="4"/>
        <v>0</v>
      </c>
      <c r="G69" s="47">
        <f>IF($C69="","",COUNTIFS(Data!$B$2:$B$1201,$C69,Data!$E$2:$E$1201,"timed"))</f>
        <v>0</v>
      </c>
      <c r="H69" s="48" t="str">
        <f>IF(OR($C69="",COUNTIFS(Data!$B$2:$B$1201,$C69,Data!$E$2:$E$1201,"timed")=0),"",SUMIFS(Data!$N$2:$N$1201,Data!$B$2:$B$1201,$C69)/COUNTIFS(Data!$B$2:$B$1201,$C69,Data!$E$2:$E$1201,"timed"))</f>
        <v/>
      </c>
      <c r="I69" s="50" t="str">
        <f>IF($C69="","",IFERROR(INDEX(Data!$C$2:$C$1201,MATCH($C69,Data!$B$2:$B$1201,0)),""))</f>
        <v>To-do</v>
      </c>
      <c r="J69" s="49">
        <f>IF($C69="","",SUMIFS(Data!$AL$2:$AL$1201,Data!$B$2:$B$1201,$C69))</f>
        <v>0</v>
      </c>
      <c r="X69" t="str">
        <f>IFERROR(INDEX(Data!$B$2:$B$1201,MATCH(62,Data!$W$2:$W$1201,0)),"")</f>
        <v/>
      </c>
      <c r="Y69" t="str">
        <f>IF($X69="","",SUMIFS(Data!$N$2:$N$1201,Data!$B$2:$B$1201,$X69)/60)</f>
        <v/>
      </c>
      <c r="Z69" t="str">
        <f t="shared" si="3"/>
        <v/>
      </c>
    </row>
    <row r="70" spans="2:26" x14ac:dyDescent="0.25">
      <c r="B70" s="42">
        <f>IF($C70="","",15)</f>
        <v>15</v>
      </c>
      <c r="C70" s="43" t="str">
        <f>IFERROR(INDEX('Where it goes'!$X$8:$X$127,MATCH(LARGE('Where it goes'!$Z$8:$Z$127,15),'Where it goes'!$Z$8:$Z$127,0)),"")</f>
        <v>Hand specialist - 1pm</v>
      </c>
      <c r="D70" s="44">
        <f>IF($C70="","",SUMIFS(Data!$N$2:$N$1201,Data!$B$2:$B$1201,$C70)/60)</f>
        <v>0</v>
      </c>
      <c r="E70" s="45">
        <f>IF(OR($C70="",SUMIFS(Data!$N$2:$N$1201,Data!$E$2:$E$1201,"timed")=0),"",SUMIFS(Data!$N$2:$N$1201,Data!$B$2:$B$1201,$C70)/SUMIFS(Data!$N$2:$N$1201,Data!$E$2:$E$1201,"timed"))</f>
        <v>0</v>
      </c>
      <c r="F70" s="46">
        <f t="shared" si="4"/>
        <v>0</v>
      </c>
      <c r="G70" s="47">
        <f>IF($C70="","",COUNTIFS(Data!$B$2:$B$1201,$C70,Data!$E$2:$E$1201,"timed"))</f>
        <v>0</v>
      </c>
      <c r="H70" s="48" t="str">
        <f>IF(OR($C70="",COUNTIFS(Data!$B$2:$B$1201,$C70,Data!$E$2:$E$1201,"timed")=0),"",SUMIFS(Data!$N$2:$N$1201,Data!$B$2:$B$1201,$C70)/COUNTIFS(Data!$B$2:$B$1201,$C70,Data!$E$2:$E$1201,"timed"))</f>
        <v/>
      </c>
      <c r="I70" s="50" t="str">
        <f>IF($C70="","",IFERROR(INDEX(Data!$C$2:$C$1201,MATCH($C70,Data!$B$2:$B$1201,0)),""))</f>
        <v>To-do</v>
      </c>
      <c r="J70" s="49">
        <f>IF($C70="","",SUMIFS(Data!$AL$2:$AL$1201,Data!$B$2:$B$1201,$C70))</f>
        <v>0</v>
      </c>
      <c r="X70" t="str">
        <f>IFERROR(INDEX(Data!$B$2:$B$1201,MATCH(63,Data!$W$2:$W$1201,0)),"")</f>
        <v/>
      </c>
      <c r="Y70" t="str">
        <f>IF($X70="","",SUMIFS(Data!$N$2:$N$1201,Data!$B$2:$B$1201,$X70)/60)</f>
        <v/>
      </c>
      <c r="Z70" t="str">
        <f t="shared" si="3"/>
        <v/>
      </c>
    </row>
    <row r="71" spans="2:26" x14ac:dyDescent="0.25">
      <c r="X71" t="str">
        <f>IFERROR(INDEX(Data!$B$2:$B$1201,MATCH(64,Data!$W$2:$W$1201,0)),"")</f>
        <v/>
      </c>
      <c r="Y71" t="str">
        <f>IF($X71="","",SUMIFS(Data!$N$2:$N$1201,Data!$B$2:$B$1201,$X71)/60)</f>
        <v/>
      </c>
      <c r="Z71" t="str">
        <f t="shared" si="3"/>
        <v/>
      </c>
    </row>
    <row r="72" spans="2:26" x14ac:dyDescent="0.25">
      <c r="X72" t="str">
        <f>IFERROR(INDEX(Data!$B$2:$B$1201,MATCH(65,Data!$W$2:$W$1201,0)),"")</f>
        <v/>
      </c>
      <c r="Y72" t="str">
        <f>IF($X72="","",SUMIFS(Data!$N$2:$N$1201,Data!$B$2:$B$1201,$X72)/60)</f>
        <v/>
      </c>
      <c r="Z72" t="str">
        <f t="shared" ref="Z72:Z103" si="5">IF($X72="","",$Y72+ROW()/1000000)</f>
        <v/>
      </c>
    </row>
    <row r="73" spans="2:26" x14ac:dyDescent="0.25">
      <c r="X73" t="str">
        <f>IFERROR(INDEX(Data!$B$2:$B$1201,MATCH(66,Data!$W$2:$W$1201,0)),"")</f>
        <v/>
      </c>
      <c r="Y73" t="str">
        <f>IF($X73="","",SUMIFS(Data!$N$2:$N$1201,Data!$B$2:$B$1201,$X73)/60)</f>
        <v/>
      </c>
      <c r="Z73" t="str">
        <f t="shared" si="5"/>
        <v/>
      </c>
    </row>
    <row r="74" spans="2:26" x14ac:dyDescent="0.25">
      <c r="X74" t="str">
        <f>IFERROR(INDEX(Data!$B$2:$B$1201,MATCH(67,Data!$W$2:$W$1201,0)),"")</f>
        <v/>
      </c>
      <c r="Y74" t="str">
        <f>IF($X74="","",SUMIFS(Data!$N$2:$N$1201,Data!$B$2:$B$1201,$X74)/60)</f>
        <v/>
      </c>
      <c r="Z74" t="str">
        <f t="shared" si="5"/>
        <v/>
      </c>
    </row>
    <row r="75" spans="2:26" x14ac:dyDescent="0.25">
      <c r="X75" t="str">
        <f>IFERROR(INDEX(Data!$B$2:$B$1201,MATCH(68,Data!$W$2:$W$1201,0)),"")</f>
        <v/>
      </c>
      <c r="Y75" t="str">
        <f>IF($X75="","",SUMIFS(Data!$N$2:$N$1201,Data!$B$2:$B$1201,$X75)/60)</f>
        <v/>
      </c>
      <c r="Z75" t="str">
        <f t="shared" si="5"/>
        <v/>
      </c>
    </row>
    <row r="76" spans="2:26" x14ac:dyDescent="0.25">
      <c r="X76" t="str">
        <f>IFERROR(INDEX(Data!$B$2:$B$1201,MATCH(69,Data!$W$2:$W$1201,0)),"")</f>
        <v/>
      </c>
      <c r="Y76" t="str">
        <f>IF($X76="","",SUMIFS(Data!$N$2:$N$1201,Data!$B$2:$B$1201,$X76)/60)</f>
        <v/>
      </c>
      <c r="Z76" t="str">
        <f t="shared" si="5"/>
        <v/>
      </c>
    </row>
    <row r="77" spans="2:26" x14ac:dyDescent="0.25">
      <c r="X77" t="str">
        <f>IFERROR(INDEX(Data!$B$2:$B$1201,MATCH(70,Data!$W$2:$W$1201,0)),"")</f>
        <v/>
      </c>
      <c r="Y77" t="str">
        <f>IF($X77="","",SUMIFS(Data!$N$2:$N$1201,Data!$B$2:$B$1201,$X77)/60)</f>
        <v/>
      </c>
      <c r="Z77" t="str">
        <f t="shared" si="5"/>
        <v/>
      </c>
    </row>
    <row r="78" spans="2:26" x14ac:dyDescent="0.25">
      <c r="X78" t="str">
        <f>IFERROR(INDEX(Data!$B$2:$B$1201,MATCH(71,Data!$W$2:$W$1201,0)),"")</f>
        <v/>
      </c>
      <c r="Y78" t="str">
        <f>IF($X78="","",SUMIFS(Data!$N$2:$N$1201,Data!$B$2:$B$1201,$X78)/60)</f>
        <v/>
      </c>
      <c r="Z78" t="str">
        <f t="shared" si="5"/>
        <v/>
      </c>
    </row>
    <row r="79" spans="2:26" x14ac:dyDescent="0.25">
      <c r="X79" t="str">
        <f>IFERROR(INDEX(Data!$B$2:$B$1201,MATCH(72,Data!$W$2:$W$1201,0)),"")</f>
        <v/>
      </c>
      <c r="Y79" t="str">
        <f>IF($X79="","",SUMIFS(Data!$N$2:$N$1201,Data!$B$2:$B$1201,$X79)/60)</f>
        <v/>
      </c>
      <c r="Z79" t="str">
        <f t="shared" si="5"/>
        <v/>
      </c>
    </row>
    <row r="80" spans="2:26" x14ac:dyDescent="0.25">
      <c r="X80" t="str">
        <f>IFERROR(INDEX(Data!$B$2:$B$1201,MATCH(73,Data!$W$2:$W$1201,0)),"")</f>
        <v/>
      </c>
      <c r="Y80" t="str">
        <f>IF($X80="","",SUMIFS(Data!$N$2:$N$1201,Data!$B$2:$B$1201,$X80)/60)</f>
        <v/>
      </c>
      <c r="Z80" t="str">
        <f t="shared" si="5"/>
        <v/>
      </c>
    </row>
    <row r="81" spans="24:26" x14ac:dyDescent="0.25">
      <c r="X81" t="str">
        <f>IFERROR(INDEX(Data!$B$2:$B$1201,MATCH(74,Data!$W$2:$W$1201,0)),"")</f>
        <v/>
      </c>
      <c r="Y81" t="str">
        <f>IF($X81="","",SUMIFS(Data!$N$2:$N$1201,Data!$B$2:$B$1201,$X81)/60)</f>
        <v/>
      </c>
      <c r="Z81" t="str">
        <f t="shared" si="5"/>
        <v/>
      </c>
    </row>
    <row r="82" spans="24:26" x14ac:dyDescent="0.25">
      <c r="X82" t="str">
        <f>IFERROR(INDEX(Data!$B$2:$B$1201,MATCH(75,Data!$W$2:$W$1201,0)),"")</f>
        <v/>
      </c>
      <c r="Y82" t="str">
        <f>IF($X82="","",SUMIFS(Data!$N$2:$N$1201,Data!$B$2:$B$1201,$X82)/60)</f>
        <v/>
      </c>
      <c r="Z82" t="str">
        <f t="shared" si="5"/>
        <v/>
      </c>
    </row>
    <row r="83" spans="24:26" x14ac:dyDescent="0.25">
      <c r="X83" t="str">
        <f>IFERROR(INDEX(Data!$B$2:$B$1201,MATCH(76,Data!$W$2:$W$1201,0)),"")</f>
        <v/>
      </c>
      <c r="Y83" t="str">
        <f>IF($X83="","",SUMIFS(Data!$N$2:$N$1201,Data!$B$2:$B$1201,$X83)/60)</f>
        <v/>
      </c>
      <c r="Z83" t="str">
        <f t="shared" si="5"/>
        <v/>
      </c>
    </row>
    <row r="84" spans="24:26" x14ac:dyDescent="0.25">
      <c r="X84" t="str">
        <f>IFERROR(INDEX(Data!$B$2:$B$1201,MATCH(77,Data!$W$2:$W$1201,0)),"")</f>
        <v/>
      </c>
      <c r="Y84" t="str">
        <f>IF($X84="","",SUMIFS(Data!$N$2:$N$1201,Data!$B$2:$B$1201,$X84)/60)</f>
        <v/>
      </c>
      <c r="Z84" t="str">
        <f t="shared" si="5"/>
        <v/>
      </c>
    </row>
    <row r="85" spans="24:26" x14ac:dyDescent="0.25">
      <c r="X85" t="str">
        <f>IFERROR(INDEX(Data!$B$2:$B$1201,MATCH(78,Data!$W$2:$W$1201,0)),"")</f>
        <v/>
      </c>
      <c r="Y85" t="str">
        <f>IF($X85="","",SUMIFS(Data!$N$2:$N$1201,Data!$B$2:$B$1201,$X85)/60)</f>
        <v/>
      </c>
      <c r="Z85" t="str">
        <f t="shared" si="5"/>
        <v/>
      </c>
    </row>
    <row r="86" spans="24:26" x14ac:dyDescent="0.25">
      <c r="X86" t="str">
        <f>IFERROR(INDEX(Data!$B$2:$B$1201,MATCH(79,Data!$W$2:$W$1201,0)),"")</f>
        <v/>
      </c>
      <c r="Y86" t="str">
        <f>IF($X86="","",SUMIFS(Data!$N$2:$N$1201,Data!$B$2:$B$1201,$X86)/60)</f>
        <v/>
      </c>
      <c r="Z86" t="str">
        <f t="shared" si="5"/>
        <v/>
      </c>
    </row>
    <row r="87" spans="24:26" x14ac:dyDescent="0.25">
      <c r="X87" t="str">
        <f>IFERROR(INDEX(Data!$B$2:$B$1201,MATCH(80,Data!$W$2:$W$1201,0)),"")</f>
        <v/>
      </c>
      <c r="Y87" t="str">
        <f>IF($X87="","",SUMIFS(Data!$N$2:$N$1201,Data!$B$2:$B$1201,$X87)/60)</f>
        <v/>
      </c>
      <c r="Z87" t="str">
        <f t="shared" si="5"/>
        <v/>
      </c>
    </row>
    <row r="88" spans="24:26" x14ac:dyDescent="0.25">
      <c r="X88" t="str">
        <f>IFERROR(INDEX(Data!$B$2:$B$1201,MATCH(81,Data!$W$2:$W$1201,0)),"")</f>
        <v/>
      </c>
      <c r="Y88" t="str">
        <f>IF($X88="","",SUMIFS(Data!$N$2:$N$1201,Data!$B$2:$B$1201,$X88)/60)</f>
        <v/>
      </c>
      <c r="Z88" t="str">
        <f t="shared" si="5"/>
        <v/>
      </c>
    </row>
    <row r="89" spans="24:26" x14ac:dyDescent="0.25">
      <c r="X89" t="str">
        <f>IFERROR(INDEX(Data!$B$2:$B$1201,MATCH(82,Data!$W$2:$W$1201,0)),"")</f>
        <v/>
      </c>
      <c r="Y89" t="str">
        <f>IF($X89="","",SUMIFS(Data!$N$2:$N$1201,Data!$B$2:$B$1201,$X89)/60)</f>
        <v/>
      </c>
      <c r="Z89" t="str">
        <f t="shared" si="5"/>
        <v/>
      </c>
    </row>
    <row r="90" spans="24:26" x14ac:dyDescent="0.25">
      <c r="X90" t="str">
        <f>IFERROR(INDEX(Data!$B$2:$B$1201,MATCH(83,Data!$W$2:$W$1201,0)),"")</f>
        <v/>
      </c>
      <c r="Y90" t="str">
        <f>IF($X90="","",SUMIFS(Data!$N$2:$N$1201,Data!$B$2:$B$1201,$X90)/60)</f>
        <v/>
      </c>
      <c r="Z90" t="str">
        <f t="shared" si="5"/>
        <v/>
      </c>
    </row>
    <row r="91" spans="24:26" x14ac:dyDescent="0.25">
      <c r="X91" t="str">
        <f>IFERROR(INDEX(Data!$B$2:$B$1201,MATCH(84,Data!$W$2:$W$1201,0)),"")</f>
        <v/>
      </c>
      <c r="Y91" t="str">
        <f>IF($X91="","",SUMIFS(Data!$N$2:$N$1201,Data!$B$2:$B$1201,$X91)/60)</f>
        <v/>
      </c>
      <c r="Z91" t="str">
        <f t="shared" si="5"/>
        <v/>
      </c>
    </row>
    <row r="92" spans="24:26" x14ac:dyDescent="0.25">
      <c r="X92" t="str">
        <f>IFERROR(INDEX(Data!$B$2:$B$1201,MATCH(85,Data!$W$2:$W$1201,0)),"")</f>
        <v/>
      </c>
      <c r="Y92" t="str">
        <f>IF($X92="","",SUMIFS(Data!$N$2:$N$1201,Data!$B$2:$B$1201,$X92)/60)</f>
        <v/>
      </c>
      <c r="Z92" t="str">
        <f t="shared" si="5"/>
        <v/>
      </c>
    </row>
    <row r="93" spans="24:26" x14ac:dyDescent="0.25">
      <c r="X93" t="str">
        <f>IFERROR(INDEX(Data!$B$2:$B$1201,MATCH(86,Data!$W$2:$W$1201,0)),"")</f>
        <v/>
      </c>
      <c r="Y93" t="str">
        <f>IF($X93="","",SUMIFS(Data!$N$2:$N$1201,Data!$B$2:$B$1201,$X93)/60)</f>
        <v/>
      </c>
      <c r="Z93" t="str">
        <f t="shared" si="5"/>
        <v/>
      </c>
    </row>
    <row r="94" spans="24:26" x14ac:dyDescent="0.25">
      <c r="X94" t="str">
        <f>IFERROR(INDEX(Data!$B$2:$B$1201,MATCH(87,Data!$W$2:$W$1201,0)),"")</f>
        <v/>
      </c>
      <c r="Y94" t="str">
        <f>IF($X94="","",SUMIFS(Data!$N$2:$N$1201,Data!$B$2:$B$1201,$X94)/60)</f>
        <v/>
      </c>
      <c r="Z94" t="str">
        <f t="shared" si="5"/>
        <v/>
      </c>
    </row>
    <row r="95" spans="24:26" x14ac:dyDescent="0.25">
      <c r="X95" t="str">
        <f>IFERROR(INDEX(Data!$B$2:$B$1201,MATCH(88,Data!$W$2:$W$1201,0)),"")</f>
        <v/>
      </c>
      <c r="Y95" t="str">
        <f>IF($X95="","",SUMIFS(Data!$N$2:$N$1201,Data!$B$2:$B$1201,$X95)/60)</f>
        <v/>
      </c>
      <c r="Z95" t="str">
        <f t="shared" si="5"/>
        <v/>
      </c>
    </row>
    <row r="96" spans="24:26" x14ac:dyDescent="0.25">
      <c r="X96" t="str">
        <f>IFERROR(INDEX(Data!$B$2:$B$1201,MATCH(89,Data!$W$2:$W$1201,0)),"")</f>
        <v/>
      </c>
      <c r="Y96" t="str">
        <f>IF($X96="","",SUMIFS(Data!$N$2:$N$1201,Data!$B$2:$B$1201,$X96)/60)</f>
        <v/>
      </c>
      <c r="Z96" t="str">
        <f t="shared" si="5"/>
        <v/>
      </c>
    </row>
    <row r="97" spans="24:26" x14ac:dyDescent="0.25">
      <c r="X97" t="str">
        <f>IFERROR(INDEX(Data!$B$2:$B$1201,MATCH(90,Data!$W$2:$W$1201,0)),"")</f>
        <v/>
      </c>
      <c r="Y97" t="str">
        <f>IF($X97="","",SUMIFS(Data!$N$2:$N$1201,Data!$B$2:$B$1201,$X97)/60)</f>
        <v/>
      </c>
      <c r="Z97" t="str">
        <f t="shared" si="5"/>
        <v/>
      </c>
    </row>
    <row r="98" spans="24:26" x14ac:dyDescent="0.25">
      <c r="X98" t="str">
        <f>IFERROR(INDEX(Data!$B$2:$B$1201,MATCH(91,Data!$W$2:$W$1201,0)),"")</f>
        <v/>
      </c>
      <c r="Y98" t="str">
        <f>IF($X98="","",SUMIFS(Data!$N$2:$N$1201,Data!$B$2:$B$1201,$X98)/60)</f>
        <v/>
      </c>
      <c r="Z98" t="str">
        <f t="shared" si="5"/>
        <v/>
      </c>
    </row>
    <row r="99" spans="24:26" x14ac:dyDescent="0.25">
      <c r="X99" t="str">
        <f>IFERROR(INDEX(Data!$B$2:$B$1201,MATCH(92,Data!$W$2:$W$1201,0)),"")</f>
        <v/>
      </c>
      <c r="Y99" t="str">
        <f>IF($X99="","",SUMIFS(Data!$N$2:$N$1201,Data!$B$2:$B$1201,$X99)/60)</f>
        <v/>
      </c>
      <c r="Z99" t="str">
        <f t="shared" si="5"/>
        <v/>
      </c>
    </row>
    <row r="100" spans="24:26" x14ac:dyDescent="0.25">
      <c r="X100" t="str">
        <f>IFERROR(INDEX(Data!$B$2:$B$1201,MATCH(93,Data!$W$2:$W$1201,0)),"")</f>
        <v/>
      </c>
      <c r="Y100" t="str">
        <f>IF($X100="","",SUMIFS(Data!$N$2:$N$1201,Data!$B$2:$B$1201,$X100)/60)</f>
        <v/>
      </c>
      <c r="Z100" t="str">
        <f t="shared" si="5"/>
        <v/>
      </c>
    </row>
    <row r="101" spans="24:26" x14ac:dyDescent="0.25">
      <c r="X101" t="str">
        <f>IFERROR(INDEX(Data!$B$2:$B$1201,MATCH(94,Data!$W$2:$W$1201,0)),"")</f>
        <v/>
      </c>
      <c r="Y101" t="str">
        <f>IF($X101="","",SUMIFS(Data!$N$2:$N$1201,Data!$B$2:$B$1201,$X101)/60)</f>
        <v/>
      </c>
      <c r="Z101" t="str">
        <f t="shared" si="5"/>
        <v/>
      </c>
    </row>
    <row r="102" spans="24:26" x14ac:dyDescent="0.25">
      <c r="X102" t="str">
        <f>IFERROR(INDEX(Data!$B$2:$B$1201,MATCH(95,Data!$W$2:$W$1201,0)),"")</f>
        <v/>
      </c>
      <c r="Y102" t="str">
        <f>IF($X102="","",SUMIFS(Data!$N$2:$N$1201,Data!$B$2:$B$1201,$X102)/60)</f>
        <v/>
      </c>
      <c r="Z102" t="str">
        <f t="shared" si="5"/>
        <v/>
      </c>
    </row>
    <row r="103" spans="24:26" x14ac:dyDescent="0.25">
      <c r="X103" t="str">
        <f>IFERROR(INDEX(Data!$B$2:$B$1201,MATCH(96,Data!$W$2:$W$1201,0)),"")</f>
        <v/>
      </c>
      <c r="Y103" t="str">
        <f>IF($X103="","",SUMIFS(Data!$N$2:$N$1201,Data!$B$2:$B$1201,$X103)/60)</f>
        <v/>
      </c>
      <c r="Z103" t="str">
        <f t="shared" si="5"/>
        <v/>
      </c>
    </row>
    <row r="104" spans="24:26" x14ac:dyDescent="0.25">
      <c r="X104" t="str">
        <f>IFERROR(INDEX(Data!$B$2:$B$1201,MATCH(97,Data!$W$2:$W$1201,0)),"")</f>
        <v/>
      </c>
      <c r="Y104" t="str">
        <f>IF($X104="","",SUMIFS(Data!$N$2:$N$1201,Data!$B$2:$B$1201,$X104)/60)</f>
        <v/>
      </c>
      <c r="Z104" t="str">
        <f t="shared" ref="Z104:Z127" si="6">IF($X104="","",$Y104+ROW()/1000000)</f>
        <v/>
      </c>
    </row>
    <row r="105" spans="24:26" x14ac:dyDescent="0.25">
      <c r="X105" t="str">
        <f>IFERROR(INDEX(Data!$B$2:$B$1201,MATCH(98,Data!$W$2:$W$1201,0)),"")</f>
        <v/>
      </c>
      <c r="Y105" t="str">
        <f>IF($X105="","",SUMIFS(Data!$N$2:$N$1201,Data!$B$2:$B$1201,$X105)/60)</f>
        <v/>
      </c>
      <c r="Z105" t="str">
        <f t="shared" si="6"/>
        <v/>
      </c>
    </row>
    <row r="106" spans="24:26" x14ac:dyDescent="0.25">
      <c r="X106" t="str">
        <f>IFERROR(INDEX(Data!$B$2:$B$1201,MATCH(99,Data!$W$2:$W$1201,0)),"")</f>
        <v/>
      </c>
      <c r="Y106" t="str">
        <f>IF($X106="","",SUMIFS(Data!$N$2:$N$1201,Data!$B$2:$B$1201,$X106)/60)</f>
        <v/>
      </c>
      <c r="Z106" t="str">
        <f t="shared" si="6"/>
        <v/>
      </c>
    </row>
    <row r="107" spans="24:26" x14ac:dyDescent="0.25">
      <c r="X107" t="str">
        <f>IFERROR(INDEX(Data!$B$2:$B$1201,MATCH(100,Data!$W$2:$W$1201,0)),"")</f>
        <v/>
      </c>
      <c r="Y107" t="str">
        <f>IF($X107="","",SUMIFS(Data!$N$2:$N$1201,Data!$B$2:$B$1201,$X107)/60)</f>
        <v/>
      </c>
      <c r="Z107" t="str">
        <f t="shared" si="6"/>
        <v/>
      </c>
    </row>
    <row r="108" spans="24:26" x14ac:dyDescent="0.25">
      <c r="X108" t="str">
        <f>IFERROR(INDEX(Data!$B$2:$B$1201,MATCH(101,Data!$W$2:$W$1201,0)),"")</f>
        <v/>
      </c>
      <c r="Y108" t="str">
        <f>IF($X108="","",SUMIFS(Data!$N$2:$N$1201,Data!$B$2:$B$1201,$X108)/60)</f>
        <v/>
      </c>
      <c r="Z108" t="str">
        <f t="shared" si="6"/>
        <v/>
      </c>
    </row>
    <row r="109" spans="24:26" x14ac:dyDescent="0.25">
      <c r="X109" t="str">
        <f>IFERROR(INDEX(Data!$B$2:$B$1201,MATCH(102,Data!$W$2:$W$1201,0)),"")</f>
        <v/>
      </c>
      <c r="Y109" t="str">
        <f>IF($X109="","",SUMIFS(Data!$N$2:$N$1201,Data!$B$2:$B$1201,$X109)/60)</f>
        <v/>
      </c>
      <c r="Z109" t="str">
        <f t="shared" si="6"/>
        <v/>
      </c>
    </row>
    <row r="110" spans="24:26" x14ac:dyDescent="0.25">
      <c r="X110" t="str">
        <f>IFERROR(INDEX(Data!$B$2:$B$1201,MATCH(103,Data!$W$2:$W$1201,0)),"")</f>
        <v/>
      </c>
      <c r="Y110" t="str">
        <f>IF($X110="","",SUMIFS(Data!$N$2:$N$1201,Data!$B$2:$B$1201,$X110)/60)</f>
        <v/>
      </c>
      <c r="Z110" t="str">
        <f t="shared" si="6"/>
        <v/>
      </c>
    </row>
    <row r="111" spans="24:26" x14ac:dyDescent="0.25">
      <c r="X111" t="str">
        <f>IFERROR(INDEX(Data!$B$2:$B$1201,MATCH(104,Data!$W$2:$W$1201,0)),"")</f>
        <v/>
      </c>
      <c r="Y111" t="str">
        <f>IF($X111="","",SUMIFS(Data!$N$2:$N$1201,Data!$B$2:$B$1201,$X111)/60)</f>
        <v/>
      </c>
      <c r="Z111" t="str">
        <f t="shared" si="6"/>
        <v/>
      </c>
    </row>
    <row r="112" spans="24:26" x14ac:dyDescent="0.25">
      <c r="X112" t="str">
        <f>IFERROR(INDEX(Data!$B$2:$B$1201,MATCH(105,Data!$W$2:$W$1201,0)),"")</f>
        <v/>
      </c>
      <c r="Y112" t="str">
        <f>IF($X112="","",SUMIFS(Data!$N$2:$N$1201,Data!$B$2:$B$1201,$X112)/60)</f>
        <v/>
      </c>
      <c r="Z112" t="str">
        <f t="shared" si="6"/>
        <v/>
      </c>
    </row>
    <row r="113" spans="24:26" x14ac:dyDescent="0.25">
      <c r="X113" t="str">
        <f>IFERROR(INDEX(Data!$B$2:$B$1201,MATCH(106,Data!$W$2:$W$1201,0)),"")</f>
        <v/>
      </c>
      <c r="Y113" t="str">
        <f>IF($X113="","",SUMIFS(Data!$N$2:$N$1201,Data!$B$2:$B$1201,$X113)/60)</f>
        <v/>
      </c>
      <c r="Z113" t="str">
        <f t="shared" si="6"/>
        <v/>
      </c>
    </row>
    <row r="114" spans="24:26" x14ac:dyDescent="0.25">
      <c r="X114" t="str">
        <f>IFERROR(INDEX(Data!$B$2:$B$1201,MATCH(107,Data!$W$2:$W$1201,0)),"")</f>
        <v/>
      </c>
      <c r="Y114" t="str">
        <f>IF($X114="","",SUMIFS(Data!$N$2:$N$1201,Data!$B$2:$B$1201,$X114)/60)</f>
        <v/>
      </c>
      <c r="Z114" t="str">
        <f t="shared" si="6"/>
        <v/>
      </c>
    </row>
    <row r="115" spans="24:26" x14ac:dyDescent="0.25">
      <c r="X115" t="str">
        <f>IFERROR(INDEX(Data!$B$2:$B$1201,MATCH(108,Data!$W$2:$W$1201,0)),"")</f>
        <v/>
      </c>
      <c r="Y115" t="str">
        <f>IF($X115="","",SUMIFS(Data!$N$2:$N$1201,Data!$B$2:$B$1201,$X115)/60)</f>
        <v/>
      </c>
      <c r="Z115" t="str">
        <f t="shared" si="6"/>
        <v/>
      </c>
    </row>
    <row r="116" spans="24:26" x14ac:dyDescent="0.25">
      <c r="X116" t="str">
        <f>IFERROR(INDEX(Data!$B$2:$B$1201,MATCH(109,Data!$W$2:$W$1201,0)),"")</f>
        <v/>
      </c>
      <c r="Y116" t="str">
        <f>IF($X116="","",SUMIFS(Data!$N$2:$N$1201,Data!$B$2:$B$1201,$X116)/60)</f>
        <v/>
      </c>
      <c r="Z116" t="str">
        <f t="shared" si="6"/>
        <v/>
      </c>
    </row>
    <row r="117" spans="24:26" x14ac:dyDescent="0.25">
      <c r="X117" t="str">
        <f>IFERROR(INDEX(Data!$B$2:$B$1201,MATCH(110,Data!$W$2:$W$1201,0)),"")</f>
        <v/>
      </c>
      <c r="Y117" t="str">
        <f>IF($X117="","",SUMIFS(Data!$N$2:$N$1201,Data!$B$2:$B$1201,$X117)/60)</f>
        <v/>
      </c>
      <c r="Z117" t="str">
        <f t="shared" si="6"/>
        <v/>
      </c>
    </row>
    <row r="118" spans="24:26" x14ac:dyDescent="0.25">
      <c r="X118" t="str">
        <f>IFERROR(INDEX(Data!$B$2:$B$1201,MATCH(111,Data!$W$2:$W$1201,0)),"")</f>
        <v/>
      </c>
      <c r="Y118" t="str">
        <f>IF($X118="","",SUMIFS(Data!$N$2:$N$1201,Data!$B$2:$B$1201,$X118)/60)</f>
        <v/>
      </c>
      <c r="Z118" t="str">
        <f t="shared" si="6"/>
        <v/>
      </c>
    </row>
    <row r="119" spans="24:26" x14ac:dyDescent="0.25">
      <c r="X119" t="str">
        <f>IFERROR(INDEX(Data!$B$2:$B$1201,MATCH(112,Data!$W$2:$W$1201,0)),"")</f>
        <v/>
      </c>
      <c r="Y119" t="str">
        <f>IF($X119="","",SUMIFS(Data!$N$2:$N$1201,Data!$B$2:$B$1201,$X119)/60)</f>
        <v/>
      </c>
      <c r="Z119" t="str">
        <f t="shared" si="6"/>
        <v/>
      </c>
    </row>
    <row r="120" spans="24:26" x14ac:dyDescent="0.25">
      <c r="X120" t="str">
        <f>IFERROR(INDEX(Data!$B$2:$B$1201,MATCH(113,Data!$W$2:$W$1201,0)),"")</f>
        <v/>
      </c>
      <c r="Y120" t="str">
        <f>IF($X120="","",SUMIFS(Data!$N$2:$N$1201,Data!$B$2:$B$1201,$X120)/60)</f>
        <v/>
      </c>
      <c r="Z120" t="str">
        <f t="shared" si="6"/>
        <v/>
      </c>
    </row>
    <row r="121" spans="24:26" x14ac:dyDescent="0.25">
      <c r="X121" t="str">
        <f>IFERROR(INDEX(Data!$B$2:$B$1201,MATCH(114,Data!$W$2:$W$1201,0)),"")</f>
        <v/>
      </c>
      <c r="Y121" t="str">
        <f>IF($X121="","",SUMIFS(Data!$N$2:$N$1201,Data!$B$2:$B$1201,$X121)/60)</f>
        <v/>
      </c>
      <c r="Z121" t="str">
        <f t="shared" si="6"/>
        <v/>
      </c>
    </row>
    <row r="122" spans="24:26" x14ac:dyDescent="0.25">
      <c r="X122" t="str">
        <f>IFERROR(INDEX(Data!$B$2:$B$1201,MATCH(115,Data!$W$2:$W$1201,0)),"")</f>
        <v/>
      </c>
      <c r="Y122" t="str">
        <f>IF($X122="","",SUMIFS(Data!$N$2:$N$1201,Data!$B$2:$B$1201,$X122)/60)</f>
        <v/>
      </c>
      <c r="Z122" t="str">
        <f t="shared" si="6"/>
        <v/>
      </c>
    </row>
    <row r="123" spans="24:26" x14ac:dyDescent="0.25">
      <c r="X123" t="str">
        <f>IFERROR(INDEX(Data!$B$2:$B$1201,MATCH(116,Data!$W$2:$W$1201,0)),"")</f>
        <v/>
      </c>
      <c r="Y123" t="str">
        <f>IF($X123="","",SUMIFS(Data!$N$2:$N$1201,Data!$B$2:$B$1201,$X123)/60)</f>
        <v/>
      </c>
      <c r="Z123" t="str">
        <f t="shared" si="6"/>
        <v/>
      </c>
    </row>
    <row r="124" spans="24:26" x14ac:dyDescent="0.25">
      <c r="X124" t="str">
        <f>IFERROR(INDEX(Data!$B$2:$B$1201,MATCH(117,Data!$W$2:$W$1201,0)),"")</f>
        <v/>
      </c>
      <c r="Y124" t="str">
        <f>IF($X124="","",SUMIFS(Data!$N$2:$N$1201,Data!$B$2:$B$1201,$X124)/60)</f>
        <v/>
      </c>
      <c r="Z124" t="str">
        <f t="shared" si="6"/>
        <v/>
      </c>
    </row>
    <row r="125" spans="24:26" x14ac:dyDescent="0.25">
      <c r="X125" t="str">
        <f>IFERROR(INDEX(Data!$B$2:$B$1201,MATCH(118,Data!$W$2:$W$1201,0)),"")</f>
        <v/>
      </c>
      <c r="Y125" t="str">
        <f>IF($X125="","",SUMIFS(Data!$N$2:$N$1201,Data!$B$2:$B$1201,$X125)/60)</f>
        <v/>
      </c>
      <c r="Z125" t="str">
        <f t="shared" si="6"/>
        <v/>
      </c>
    </row>
    <row r="126" spans="24:26" x14ac:dyDescent="0.25">
      <c r="X126" t="str">
        <f>IFERROR(INDEX(Data!$B$2:$B$1201,MATCH(119,Data!$W$2:$W$1201,0)),"")</f>
        <v/>
      </c>
      <c r="Y126" t="str">
        <f>IF($X126="","",SUMIFS(Data!$N$2:$N$1201,Data!$B$2:$B$1201,$X126)/60)</f>
        <v/>
      </c>
      <c r="Z126" t="str">
        <f t="shared" si="6"/>
        <v/>
      </c>
    </row>
    <row r="127" spans="24:26" x14ac:dyDescent="0.25">
      <c r="X127" t="str">
        <f>IFERROR(INDEX(Data!$B$2:$B$1201,MATCH(120,Data!$W$2:$W$1201,0)),"")</f>
        <v/>
      </c>
      <c r="Y127" t="str">
        <f>IF($X127="","",SUMIFS(Data!$N$2:$N$1201,Data!$B$2:$B$1201,$X127)/60)</f>
        <v/>
      </c>
      <c r="Z127" t="str">
        <f t="shared" si="6"/>
        <v/>
      </c>
    </row>
  </sheetData>
  <mergeCells count="1">
    <mergeCell ref="B3:J3"/>
  </mergeCells>
  <conditionalFormatting sqref="B10:J49">
    <cfRule type="expression" dxfId="24" priority="3">
      <formula>$C10&lt;&gt;""</formula>
    </cfRule>
  </conditionalFormatting>
  <conditionalFormatting sqref="B56:J70">
    <cfRule type="expression" dxfId="23" priority="5">
      <formula>$C56&lt;&gt;""</formula>
    </cfRule>
  </conditionalFormatting>
  <conditionalFormatting sqref="F10:F49">
    <cfRule type="dataBar" priority="2">
      <dataBar showValue="0">
        <cfvo type="num" val="0"/>
        <cfvo type="max"/>
        <color rgb="FF2A78D6"/>
      </dataBar>
      <extLst>
        <ext xmlns:x14="http://schemas.microsoft.com/office/spreadsheetml/2009/9/main" uri="{B025F937-C7B1-47D3-B67F-A62EFF666E3E}">
          <x14:id>{75FC24C1-8F82-4DE6-9024-CBEEE2BAC0AF}</x14:id>
        </ext>
      </extLst>
    </cfRule>
  </conditionalFormatting>
  <conditionalFormatting sqref="F56:F70">
    <cfRule type="dataBar" priority="4">
      <dataBar showValue="0">
        <cfvo type="num" val="0"/>
        <cfvo type="max"/>
        <color rgb="FF1BAF7A"/>
      </dataBar>
      <extLst>
        <ext xmlns:x14="http://schemas.microsoft.com/office/spreadsheetml/2009/9/main" uri="{B025F937-C7B1-47D3-B67F-A62EFF666E3E}">
          <x14:id>{92A8A8B2-E86C-4371-BCEA-952075DBB8B7}</x14:id>
        </ext>
      </extLst>
    </cfRule>
  </conditionalFormatting>
  <pageMargins left="0.75" right="0.75" top="1" bottom="1" header="0.511811023622047" footer="0.511811023622047"/>
  <pageSetup paperSize="9" orientation="portrait" horizontalDpi="300" verticalDpi="300"/>
  <extLst>
    <ext xmlns:x14="http://schemas.microsoft.com/office/spreadsheetml/2009/9/main" uri="{78C0D931-6437-407d-A8EE-F0AAD7539E65}">
      <x14:conditionalFormattings>
        <x14:conditionalFormatting xmlns:xm="http://schemas.microsoft.com/office/excel/2006/main">
          <x14:cfRule type="dataBar" id="{75FC24C1-8F82-4DE6-9024-CBEEE2BAC0AF}">
            <x14:dataBar minLength="0" maxLength="100" gradient="0" axisPosition="none">
              <x14:cfvo type="num">
                <xm:f>0</xm:f>
              </x14:cfvo>
              <x14:cfvo type="max"/>
              <x14:negativeFillColor rgb="FF2A78D6"/>
            </x14:dataBar>
          </x14:cfRule>
          <xm:sqref>F10:F49</xm:sqref>
        </x14:conditionalFormatting>
        <x14:conditionalFormatting xmlns:xm="http://schemas.microsoft.com/office/excel/2006/main">
          <x14:cfRule type="dataBar" id="{92A8A8B2-E86C-4371-BCEA-952075DBB8B7}">
            <x14:dataBar minLength="0" maxLength="100" gradient="0" axisPosition="none">
              <x14:cfvo type="num">
                <xm:f>0</xm:f>
              </x14:cfvo>
              <x14:cfvo type="max"/>
              <x14:negativeFillColor rgb="FF1BAF7A"/>
            </x14:dataBar>
          </x14:cfRule>
          <xm:sqref>F56:F70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Z273"/>
  <sheetViews>
    <sheetView showGridLines="0" zoomScaleNormal="100" workbookViewId="0">
      <selection activeCell="J22" sqref="J22"/>
    </sheetView>
  </sheetViews>
  <sheetFormatPr defaultColWidth="8.7109375" defaultRowHeight="15" x14ac:dyDescent="0.25"/>
  <cols>
    <col min="1" max="1" width="3" customWidth="1"/>
    <col min="2" max="2" width="13" customWidth="1"/>
    <col min="3" max="3" width="7" customWidth="1"/>
    <col min="4" max="9" width="11" customWidth="1"/>
    <col min="10" max="11" width="10" customWidth="1"/>
    <col min="12" max="12" width="11" customWidth="1"/>
    <col min="13" max="13" width="12" customWidth="1"/>
    <col min="26" max="26" width="13" hidden="1" customWidth="1"/>
  </cols>
  <sheetData>
    <row r="2" spans="2:26" ht="25.5" customHeight="1" x14ac:dyDescent="0.35">
      <c r="B2" s="35" t="s">
        <v>23</v>
      </c>
    </row>
    <row r="3" spans="2:26" ht="15.75" customHeight="1" x14ac:dyDescent="0.25">
      <c r="B3" s="157" t="s">
        <v>104</v>
      </c>
      <c r="C3" s="157"/>
      <c r="D3" s="157"/>
      <c r="E3" s="157"/>
      <c r="F3" s="157"/>
      <c r="G3" s="157"/>
      <c r="H3" s="157"/>
      <c r="I3" s="157"/>
      <c r="J3" s="157"/>
      <c r="K3" s="157"/>
      <c r="L3" s="157"/>
      <c r="M3" s="157"/>
    </row>
    <row r="6" spans="2:26" x14ac:dyDescent="0.25">
      <c r="B6" s="37" t="s">
        <v>105</v>
      </c>
      <c r="C6" s="38"/>
      <c r="D6" s="38"/>
      <c r="E6" s="38"/>
      <c r="F6" s="38"/>
      <c r="G6" s="38"/>
      <c r="H6" s="38"/>
      <c r="I6" s="38"/>
      <c r="J6" s="38"/>
      <c r="K6" s="38"/>
      <c r="L6" s="38"/>
      <c r="M6" s="38"/>
    </row>
    <row r="7" spans="2:26" x14ac:dyDescent="0.25">
      <c r="B7" s="158" t="s">
        <v>106</v>
      </c>
      <c r="C7" s="158"/>
      <c r="D7" s="158"/>
      <c r="E7" s="158"/>
      <c r="F7" s="158"/>
      <c r="G7" s="158"/>
      <c r="H7" s="158"/>
      <c r="I7" s="158"/>
      <c r="J7" s="158"/>
      <c r="K7" s="158"/>
      <c r="L7" s="158"/>
      <c r="M7" s="158"/>
    </row>
    <row r="8" spans="2:26" x14ac:dyDescent="0.25">
      <c r="B8" s="159"/>
      <c r="C8" s="159"/>
      <c r="D8" s="159"/>
      <c r="E8" s="159"/>
      <c r="F8" s="159"/>
      <c r="G8" s="159"/>
      <c r="H8" s="159"/>
      <c r="I8" s="159"/>
      <c r="J8" s="159"/>
      <c r="K8" s="159"/>
      <c r="L8" s="159"/>
      <c r="M8" s="159"/>
      <c r="Z8">
        <f>IFERROR(INDEX(Data!$S$2:$S$1201,MATCH(1,Data!$Y$2:$Y$1201,0)),"")</f>
        <v>46265</v>
      </c>
    </row>
    <row r="9" spans="2:26" ht="27.75" customHeight="1" x14ac:dyDescent="0.25">
      <c r="B9" s="40" t="s">
        <v>107</v>
      </c>
      <c r="C9" s="40"/>
      <c r="D9" s="41" t="s">
        <v>108</v>
      </c>
      <c r="E9" s="41" t="s">
        <v>109</v>
      </c>
      <c r="F9" s="41" t="s">
        <v>110</v>
      </c>
      <c r="G9" s="41" t="s">
        <v>111</v>
      </c>
      <c r="H9" s="41" t="s">
        <v>112</v>
      </c>
      <c r="I9" s="41" t="s">
        <v>113</v>
      </c>
      <c r="J9" s="41" t="s">
        <v>97</v>
      </c>
      <c r="K9" s="41" t="s">
        <v>114</v>
      </c>
      <c r="L9" s="41" t="s">
        <v>115</v>
      </c>
      <c r="M9" s="41" t="s">
        <v>100</v>
      </c>
      <c r="Z9">
        <f>IFERROR(INDEX(Data!$S$2:$S$1201,MATCH(2,Data!$Y$2:$Y$1201,0)),"")</f>
        <v>46266</v>
      </c>
    </row>
    <row r="10" spans="2:26" x14ac:dyDescent="0.25">
      <c r="B10" s="51">
        <f>IFERROR(SMALL(Rhythm!$Z$8:$Z$207,1),"")</f>
        <v>46265</v>
      </c>
      <c r="C10" s="42" t="str">
        <f t="shared" ref="C10:C41" si="0">IF($B10="","",TEXT($B10,"ddd"))</f>
        <v>Mon</v>
      </c>
      <c r="D10" s="44">
        <f>IF($B10="","",SUMIFS(Data!$N$2:$N$1201,Data!$S$2:$S$1201,$B10)/60)</f>
        <v>8.2394999999999996</v>
      </c>
      <c r="E10" s="52">
        <f>IF($B10="","",IF(SUMIFS(Data!$O$2:$O$1201,Data!$S$2:$S$1201,$B10,Data!$AP$2:$AP$1201,1)=0,"",SUMIFS(Data!$O$2:$O$1201,Data!$S$2:$S$1201,$B10,Data!$AP$2:$AP$1201,1)-$B10))</f>
        <v>0.32159722222422715</v>
      </c>
      <c r="F10" s="52">
        <f>IF($B10="","",IF(SUMIFS(Data!$P$2:$P$1201,Data!$S$2:$S$1201,$B10,Data!$AQ$2:$AQ$1201,1)=0,"",SUMIFS(Data!$P$2:$P$1201,Data!$S$2:$S$1201,$B10,Data!$AQ$2:$AQ$1201,1)-$B10))</f>
        <v>0.74631944444263354</v>
      </c>
      <c r="G10" s="53">
        <f t="shared" ref="G10:G41" si="1">IF($B10="","",MAX($D10,IF(OR($E10="",$F10="",$F10&lt;=$E10),0,($F10-$E10)*24)))</f>
        <v>10.193333333241753</v>
      </c>
      <c r="H10" s="53">
        <f t="shared" ref="H10:H41" si="2">IF($G10="","",$G10-$D10)</f>
        <v>1.9538333332417537</v>
      </c>
      <c r="I10" s="45">
        <f t="shared" ref="I10:I41" si="3">IF(OR($G10="",$G10=0),"",$D10/$G10)</f>
        <v>0.80832243296998296</v>
      </c>
      <c r="J10" s="47">
        <f>IF($B10="","",COUNTIFS(Data!$S$2:$S$1201,$B10,Data!$E$2:$E$1201,"timed"))</f>
        <v>17</v>
      </c>
      <c r="K10" s="47">
        <f>IF($B10="","",SUMIFS(Data!$AG$2:$AG$1201,Data!$S$2:$S$1201,$B10))</f>
        <v>15</v>
      </c>
      <c r="L10" s="45">
        <f>IF(OR($B10="",$D10=0),"",SUMIFS(Data!$N$2:$N$1201,Data!$S$2:$S$1201,$B10,Data!$AI$2:$AI$1201,1)/60/$D10)</f>
        <v>0.61502518356696401</v>
      </c>
      <c r="M10" s="49">
        <f>IF($B10="","",SUMIFS(Data!$AL$2:$AL$1201,Data!$S$2:$S$1201,$B10))</f>
        <v>316.53999999999996</v>
      </c>
      <c r="Z10">
        <f>IFERROR(INDEX(Data!$S$2:$S$1201,MATCH(3,Data!$Y$2:$Y$1201,0)),"")</f>
        <v>46267</v>
      </c>
    </row>
    <row r="11" spans="2:26" x14ac:dyDescent="0.25">
      <c r="B11" s="51">
        <f>IFERROR(SMALL(Rhythm!$Z$8:$Z$207,2),"")</f>
        <v>46266</v>
      </c>
      <c r="C11" s="42" t="str">
        <f t="shared" si="0"/>
        <v>Tue</v>
      </c>
      <c r="D11" s="44">
        <f>IF($B11="","",SUMIFS(Data!$N$2:$N$1201,Data!$S$2:$S$1201,$B11)/60)</f>
        <v>8.7041666666666675</v>
      </c>
      <c r="E11" s="52">
        <f>IF($B11="","",IF(SUMIFS(Data!$O$2:$O$1201,Data!$S$2:$S$1201,$B11,Data!$AP$2:$AP$1201,1)=0,"",SUMIFS(Data!$O$2:$O$1201,Data!$S$2:$S$1201,$B11,Data!$AP$2:$AP$1201,1)-$B11))</f>
        <v>0.31547453703387873</v>
      </c>
      <c r="F11" s="52">
        <f>IF($B11="","",IF(SUMIFS(Data!$P$2:$P$1201,Data!$S$2:$S$1201,$B11,Data!$AQ$2:$AQ$1201,1)=0,"",SUMIFS(Data!$P$2:$P$1201,Data!$S$2:$S$1201,$B11,Data!$AQ$2:$AQ$1201,1)-$B11))</f>
        <v>0.68120370370161254</v>
      </c>
      <c r="G11" s="53">
        <f t="shared" si="1"/>
        <v>8.7775000000256114</v>
      </c>
      <c r="H11" s="53">
        <f t="shared" si="2"/>
        <v>7.3333333358943875E-2</v>
      </c>
      <c r="I11" s="45">
        <f t="shared" si="3"/>
        <v>0.99164530522828487</v>
      </c>
      <c r="J11" s="47">
        <f>IF($B11="","",COUNTIFS(Data!$S$2:$S$1201,$B11,Data!$E$2:$E$1201,"timed"))</f>
        <v>14</v>
      </c>
      <c r="K11" s="47">
        <f>IF($B11="","",SUMIFS(Data!$AG$2:$AG$1201,Data!$S$2:$S$1201,$B11))</f>
        <v>13</v>
      </c>
      <c r="L11" s="45">
        <f>IF(OR($B11="",$D11=0),"",SUMIFS(Data!$N$2:$N$1201,Data!$S$2:$S$1201,$B11,Data!$AI$2:$AI$1201,1)/60/$D11)</f>
        <v>0.63856390617520342</v>
      </c>
      <c r="M11" s="49">
        <f>IF($B11="","",SUMIFS(Data!$AL$2:$AL$1201,Data!$S$2:$S$1201,$B11))</f>
        <v>334.42999999999995</v>
      </c>
      <c r="Z11">
        <f>IFERROR(INDEX(Data!$S$2:$S$1201,MATCH(4,Data!$Y$2:$Y$1201,0)),"")</f>
        <v>46268</v>
      </c>
    </row>
    <row r="12" spans="2:26" x14ac:dyDescent="0.25">
      <c r="B12" s="51">
        <f>IFERROR(SMALL(Rhythm!$Z$8:$Z$207,3),"")</f>
        <v>46267</v>
      </c>
      <c r="C12" s="42" t="str">
        <f t="shared" si="0"/>
        <v>Wed</v>
      </c>
      <c r="D12" s="44">
        <f>IF($B12="","",SUMIFS(Data!$N$2:$N$1201,Data!$S$2:$S$1201,$B12)/60)</f>
        <v>7.7503333333333329</v>
      </c>
      <c r="E12" s="52">
        <f>IF($B12="","",IF(SUMIFS(Data!$O$2:$O$1201,Data!$S$2:$S$1201,$B12,Data!$AP$2:$AP$1201,1)=0,"",SUMIFS(Data!$O$2:$O$1201,Data!$S$2:$S$1201,$B12,Data!$AP$2:$AP$1201,1)-$B12))</f>
        <v>0.30692129629460396</v>
      </c>
      <c r="F12" s="52">
        <f>IF($B12="","",IF(SUMIFS(Data!$P$2:$P$1201,Data!$S$2:$S$1201,$B12,Data!$AQ$2:$AQ$1201,1)=0,"",SUMIFS(Data!$P$2:$P$1201,Data!$S$2:$S$1201,$B12,Data!$AQ$2:$AQ$1201,1)-$B12))</f>
        <v>0.65972222221898846</v>
      </c>
      <c r="G12" s="53">
        <f t="shared" si="1"/>
        <v>8.467222222185228</v>
      </c>
      <c r="H12" s="53">
        <f t="shared" si="2"/>
        <v>0.71688888885189517</v>
      </c>
      <c r="I12" s="45">
        <f t="shared" si="3"/>
        <v>0.91533363952896474</v>
      </c>
      <c r="J12" s="47">
        <f>IF($B12="","",COUNTIFS(Data!$S$2:$S$1201,$B12,Data!$E$2:$E$1201,"timed"))</f>
        <v>19</v>
      </c>
      <c r="K12" s="47">
        <f>IF($B12="","",SUMIFS(Data!$AG$2:$AG$1201,Data!$S$2:$S$1201,$B12))</f>
        <v>18</v>
      </c>
      <c r="L12" s="45">
        <f>IF(OR($B12="",$D12=0),"",SUMIFS(Data!$N$2:$N$1201,Data!$S$2:$S$1201,$B12,Data!$AI$2:$AI$1201,1)/60/$D12)</f>
        <v>0.56141671325964482</v>
      </c>
      <c r="M12" s="49">
        <f>IF($B12="","",SUMIFS(Data!$AL$2:$AL$1201,Data!$S$2:$S$1201,$B12))</f>
        <v>297.77999999999997</v>
      </c>
      <c r="Z12">
        <f>IFERROR(INDEX(Data!$S$2:$S$1201,MATCH(5,Data!$Y$2:$Y$1201,0)),"")</f>
        <v>46269</v>
      </c>
    </row>
    <row r="13" spans="2:26" x14ac:dyDescent="0.25">
      <c r="B13" s="51">
        <f>IFERROR(SMALL(Rhythm!$Z$8:$Z$207,4),"")</f>
        <v>46268</v>
      </c>
      <c r="C13" s="42" t="str">
        <f t="shared" si="0"/>
        <v>Thu</v>
      </c>
      <c r="D13" s="44">
        <f>IF($B13="","",SUMIFS(Data!$N$2:$N$1201,Data!$S$2:$S$1201,$B13)/60)</f>
        <v>9.4513333333333325</v>
      </c>
      <c r="E13" s="52">
        <f>IF($B13="","",IF(SUMIFS(Data!$O$2:$O$1201,Data!$S$2:$S$1201,$B13,Data!$AP$2:$AP$1201,1)=0,"",SUMIFS(Data!$O$2:$O$1201,Data!$S$2:$S$1201,$B13,Data!$AP$2:$AP$1201,1)-$B13))</f>
        <v>0.30827546296495711</v>
      </c>
      <c r="F13" s="52">
        <f>IF($B13="","",IF(SUMIFS(Data!$P$2:$P$1201,Data!$S$2:$S$1201,$B13,Data!$AQ$2:$AQ$1201,1)=0,"",SUMIFS(Data!$P$2:$P$1201,Data!$S$2:$S$1201,$B13,Data!$AQ$2:$AQ$1201,1)-$B13))</f>
        <v>0.70270833333051996</v>
      </c>
      <c r="G13" s="53">
        <f t="shared" si="1"/>
        <v>9.4663888887735084</v>
      </c>
      <c r="H13" s="53">
        <f t="shared" si="2"/>
        <v>1.5055555440175894E-2</v>
      </c>
      <c r="I13" s="45">
        <f t="shared" si="3"/>
        <v>0.99840957775799488</v>
      </c>
      <c r="J13" s="47">
        <f>IF($B13="","",COUNTIFS(Data!$S$2:$S$1201,$B13,Data!$E$2:$E$1201,"timed"))</f>
        <v>10</v>
      </c>
      <c r="K13" s="47">
        <f>IF($B13="","",SUMIFS(Data!$AG$2:$AG$1201,Data!$S$2:$S$1201,$B13))</f>
        <v>9</v>
      </c>
      <c r="L13" s="45">
        <f>IF(OR($B13="",$D13=0),"",SUMIFS(Data!$N$2:$N$1201,Data!$S$2:$S$1201,$B13,Data!$AI$2:$AI$1201,1)/60/$D13)</f>
        <v>0.64468858009451924</v>
      </c>
      <c r="M13" s="49">
        <f>IF($B13="","",SUMIFS(Data!$AL$2:$AL$1201,Data!$S$2:$S$1201,$B13))</f>
        <v>363.11999999999995</v>
      </c>
      <c r="Z13" t="str">
        <f>IFERROR(INDEX(Data!$S$2:$S$1201,MATCH(6,Data!$Y$2:$Y$1201,0)),"")</f>
        <v/>
      </c>
    </row>
    <row r="14" spans="2:26" x14ac:dyDescent="0.25">
      <c r="B14" s="51">
        <f>IFERROR(SMALL(Rhythm!$Z$8:$Z$207,5),"")</f>
        <v>46269</v>
      </c>
      <c r="C14" s="42" t="str">
        <f t="shared" si="0"/>
        <v>Fri</v>
      </c>
      <c r="D14" s="44">
        <f>IF($B14="","",SUMIFS(Data!$N$2:$N$1201,Data!$S$2:$S$1201,$B14)/60)</f>
        <v>8.5246666666666648</v>
      </c>
      <c r="E14" s="52">
        <f>IF($B14="","",IF(SUMIFS(Data!$O$2:$O$1201,Data!$S$2:$S$1201,$B14,Data!$AP$2:$AP$1201,1)=0,"",SUMIFS(Data!$O$2:$O$1201,Data!$S$2:$S$1201,$B14,Data!$AP$2:$AP$1201,1)-$B14))</f>
        <v>0.31034722222102573</v>
      </c>
      <c r="F14" s="52">
        <f>IF($B14="","",IF(SUMIFS(Data!$P$2:$P$1201,Data!$S$2:$S$1201,$B14,Data!$AQ$2:$AQ$1201,1)=0,"",SUMIFS(Data!$P$2:$P$1201,Data!$S$2:$S$1201,$B14,Data!$AQ$2:$AQ$1201,1)-$B14))</f>
        <v>0.67894675926072523</v>
      </c>
      <c r="G14" s="53">
        <f t="shared" si="1"/>
        <v>8.846388888952788</v>
      </c>
      <c r="H14" s="53">
        <f t="shared" si="2"/>
        <v>0.32172222228612313</v>
      </c>
      <c r="I14" s="45">
        <f t="shared" si="3"/>
        <v>0.96363236724898182</v>
      </c>
      <c r="J14" s="47">
        <f>IF($B14="","",COUNTIFS(Data!$S$2:$S$1201,$B14,Data!$E$2:$E$1201,"timed"))</f>
        <v>23</v>
      </c>
      <c r="K14" s="47">
        <f>IF($B14="","",SUMIFS(Data!$AG$2:$AG$1201,Data!$S$2:$S$1201,$B14))</f>
        <v>18</v>
      </c>
      <c r="L14" s="45">
        <f>IF(OR($B14="",$D14=0),"",SUMIFS(Data!$N$2:$N$1201,Data!$S$2:$S$1201,$B14,Data!$AI$2:$AI$1201,1)/60/$D14)</f>
        <v>0.47714475639321197</v>
      </c>
      <c r="M14" s="49">
        <f>IF($B14="","",SUMIFS(Data!$AL$2:$AL$1201,Data!$S$2:$S$1201,$B14))</f>
        <v>327.53000000000003</v>
      </c>
      <c r="Z14" t="str">
        <f>IFERROR(INDEX(Data!$S$2:$S$1201,MATCH(7,Data!$Y$2:$Y$1201,0)),"")</f>
        <v/>
      </c>
    </row>
    <row r="15" spans="2:26" x14ac:dyDescent="0.25">
      <c r="B15" s="51" t="str">
        <f>IFERROR(SMALL(Rhythm!$Z$8:$Z$207,6),"")</f>
        <v/>
      </c>
      <c r="C15" s="42" t="str">
        <f t="shared" si="0"/>
        <v/>
      </c>
      <c r="D15" s="44" t="str">
        <f>IF($B15="","",SUMIFS(Data!$N$2:$N$1201,Data!$S$2:$S$1201,$B15)/60)</f>
        <v/>
      </c>
      <c r="E15" s="52" t="str">
        <f>IF($B15="","",IF(SUMIFS(Data!$O$2:$O$1201,Data!$S$2:$S$1201,$B15,Data!$AP$2:$AP$1201,1)=0,"",SUMIFS(Data!$O$2:$O$1201,Data!$S$2:$S$1201,$B15,Data!$AP$2:$AP$1201,1)-$B15))</f>
        <v/>
      </c>
      <c r="F15" s="52" t="str">
        <f>IF($B15="","",IF(SUMIFS(Data!$P$2:$P$1201,Data!$S$2:$S$1201,$B15,Data!$AQ$2:$AQ$1201,1)=0,"",SUMIFS(Data!$P$2:$P$1201,Data!$S$2:$S$1201,$B15,Data!$AQ$2:$AQ$1201,1)-$B15))</f>
        <v/>
      </c>
      <c r="G15" s="53" t="str">
        <f t="shared" si="1"/>
        <v/>
      </c>
      <c r="H15" s="53" t="str">
        <f t="shared" si="2"/>
        <v/>
      </c>
      <c r="I15" s="45" t="str">
        <f t="shared" si="3"/>
        <v/>
      </c>
      <c r="J15" s="47" t="str">
        <f>IF($B15="","",COUNTIFS(Data!$S$2:$S$1201,$B15,Data!$E$2:$E$1201,"timed"))</f>
        <v/>
      </c>
      <c r="K15" s="47" t="str">
        <f>IF($B15="","",SUMIFS(Data!$AG$2:$AG$1201,Data!$S$2:$S$1201,$B15))</f>
        <v/>
      </c>
      <c r="L15" s="45" t="str">
        <f>IF(OR($B15="",$D15=0),"",SUMIFS(Data!$N$2:$N$1201,Data!$S$2:$S$1201,$B15,Data!$AI$2:$AI$1201,1)/60/$D15)</f>
        <v/>
      </c>
      <c r="M15" s="49" t="str">
        <f>IF($B15="","",SUMIFS(Data!$AL$2:$AL$1201,Data!$S$2:$S$1201,$B15))</f>
        <v/>
      </c>
      <c r="Z15" t="str">
        <f>IFERROR(INDEX(Data!$S$2:$S$1201,MATCH(8,Data!$Y$2:$Y$1201,0)),"")</f>
        <v/>
      </c>
    </row>
    <row r="16" spans="2:26" x14ac:dyDescent="0.25">
      <c r="B16" s="51" t="str">
        <f>IFERROR(SMALL(Rhythm!$Z$8:$Z$207,7),"")</f>
        <v/>
      </c>
      <c r="C16" s="42" t="str">
        <f t="shared" si="0"/>
        <v/>
      </c>
      <c r="D16" s="44" t="str">
        <f>IF($B16="","",SUMIFS(Data!$N$2:$N$1201,Data!$S$2:$S$1201,$B16)/60)</f>
        <v/>
      </c>
      <c r="E16" s="52" t="str">
        <f>IF($B16="","",IF(SUMIFS(Data!$O$2:$O$1201,Data!$S$2:$S$1201,$B16,Data!$AP$2:$AP$1201,1)=0,"",SUMIFS(Data!$O$2:$O$1201,Data!$S$2:$S$1201,$B16,Data!$AP$2:$AP$1201,1)-$B16))</f>
        <v/>
      </c>
      <c r="F16" s="52" t="str">
        <f>IF($B16="","",IF(SUMIFS(Data!$P$2:$P$1201,Data!$S$2:$S$1201,$B16,Data!$AQ$2:$AQ$1201,1)=0,"",SUMIFS(Data!$P$2:$P$1201,Data!$S$2:$S$1201,$B16,Data!$AQ$2:$AQ$1201,1)-$B16))</f>
        <v/>
      </c>
      <c r="G16" s="53" t="str">
        <f t="shared" si="1"/>
        <v/>
      </c>
      <c r="H16" s="53" t="str">
        <f t="shared" si="2"/>
        <v/>
      </c>
      <c r="I16" s="45" t="str">
        <f t="shared" si="3"/>
        <v/>
      </c>
      <c r="J16" s="47" t="str">
        <f>IF($B16="","",COUNTIFS(Data!$S$2:$S$1201,$B16,Data!$E$2:$E$1201,"timed"))</f>
        <v/>
      </c>
      <c r="K16" s="47" t="str">
        <f>IF($B16="","",SUMIFS(Data!$AG$2:$AG$1201,Data!$S$2:$S$1201,$B16))</f>
        <v/>
      </c>
      <c r="L16" s="45" t="str">
        <f>IF(OR($B16="",$D16=0),"",SUMIFS(Data!$N$2:$N$1201,Data!$S$2:$S$1201,$B16,Data!$AI$2:$AI$1201,1)/60/$D16)</f>
        <v/>
      </c>
      <c r="M16" s="49" t="str">
        <f>IF($B16="","",SUMIFS(Data!$AL$2:$AL$1201,Data!$S$2:$S$1201,$B16))</f>
        <v/>
      </c>
      <c r="Z16" t="str">
        <f>IFERROR(INDEX(Data!$S$2:$S$1201,MATCH(9,Data!$Y$2:$Y$1201,0)),"")</f>
        <v/>
      </c>
    </row>
    <row r="17" spans="2:26" x14ac:dyDescent="0.25">
      <c r="B17" s="51" t="str">
        <f>IFERROR(SMALL(Rhythm!$Z$8:$Z$207,8),"")</f>
        <v/>
      </c>
      <c r="C17" s="42" t="str">
        <f t="shared" si="0"/>
        <v/>
      </c>
      <c r="D17" s="44" t="str">
        <f>IF($B17="","",SUMIFS(Data!$N$2:$N$1201,Data!$S$2:$S$1201,$B17)/60)</f>
        <v/>
      </c>
      <c r="E17" s="52" t="str">
        <f>IF($B17="","",IF(SUMIFS(Data!$O$2:$O$1201,Data!$S$2:$S$1201,$B17,Data!$AP$2:$AP$1201,1)=0,"",SUMIFS(Data!$O$2:$O$1201,Data!$S$2:$S$1201,$B17,Data!$AP$2:$AP$1201,1)-$B17))</f>
        <v/>
      </c>
      <c r="F17" s="52" t="str">
        <f>IF($B17="","",IF(SUMIFS(Data!$P$2:$P$1201,Data!$S$2:$S$1201,$B17,Data!$AQ$2:$AQ$1201,1)=0,"",SUMIFS(Data!$P$2:$P$1201,Data!$S$2:$S$1201,$B17,Data!$AQ$2:$AQ$1201,1)-$B17))</f>
        <v/>
      </c>
      <c r="G17" s="53" t="str">
        <f t="shared" si="1"/>
        <v/>
      </c>
      <c r="H17" s="53" t="str">
        <f t="shared" si="2"/>
        <v/>
      </c>
      <c r="I17" s="45" t="str">
        <f t="shared" si="3"/>
        <v/>
      </c>
      <c r="J17" s="47" t="str">
        <f>IF($B17="","",COUNTIFS(Data!$S$2:$S$1201,$B17,Data!$E$2:$E$1201,"timed"))</f>
        <v/>
      </c>
      <c r="K17" s="47" t="str">
        <f>IF($B17="","",SUMIFS(Data!$AG$2:$AG$1201,Data!$S$2:$S$1201,$B17))</f>
        <v/>
      </c>
      <c r="L17" s="45" t="str">
        <f>IF(OR($B17="",$D17=0),"",SUMIFS(Data!$N$2:$N$1201,Data!$S$2:$S$1201,$B17,Data!$AI$2:$AI$1201,1)/60/$D17)</f>
        <v/>
      </c>
      <c r="M17" s="49" t="str">
        <f>IF($B17="","",SUMIFS(Data!$AL$2:$AL$1201,Data!$S$2:$S$1201,$B17))</f>
        <v/>
      </c>
      <c r="Z17" t="str">
        <f>IFERROR(INDEX(Data!$S$2:$S$1201,MATCH(10,Data!$Y$2:$Y$1201,0)),"")</f>
        <v/>
      </c>
    </row>
    <row r="18" spans="2:26" x14ac:dyDescent="0.25">
      <c r="B18" s="51" t="str">
        <f>IFERROR(SMALL(Rhythm!$Z$8:$Z$207,9),"")</f>
        <v/>
      </c>
      <c r="C18" s="42" t="str">
        <f t="shared" si="0"/>
        <v/>
      </c>
      <c r="D18" s="44" t="str">
        <f>IF($B18="","",SUMIFS(Data!$N$2:$N$1201,Data!$S$2:$S$1201,$B18)/60)</f>
        <v/>
      </c>
      <c r="E18" s="52" t="str">
        <f>IF($B18="","",IF(SUMIFS(Data!$O$2:$O$1201,Data!$S$2:$S$1201,$B18,Data!$AP$2:$AP$1201,1)=0,"",SUMIFS(Data!$O$2:$O$1201,Data!$S$2:$S$1201,$B18,Data!$AP$2:$AP$1201,1)-$B18))</f>
        <v/>
      </c>
      <c r="F18" s="52" t="str">
        <f>IF($B18="","",IF(SUMIFS(Data!$P$2:$P$1201,Data!$S$2:$S$1201,$B18,Data!$AQ$2:$AQ$1201,1)=0,"",SUMIFS(Data!$P$2:$P$1201,Data!$S$2:$S$1201,$B18,Data!$AQ$2:$AQ$1201,1)-$B18))</f>
        <v/>
      </c>
      <c r="G18" s="53" t="str">
        <f t="shared" si="1"/>
        <v/>
      </c>
      <c r="H18" s="53" t="str">
        <f t="shared" si="2"/>
        <v/>
      </c>
      <c r="I18" s="45" t="str">
        <f t="shared" si="3"/>
        <v/>
      </c>
      <c r="J18" s="47" t="str">
        <f>IF($B18="","",COUNTIFS(Data!$S$2:$S$1201,$B18,Data!$E$2:$E$1201,"timed"))</f>
        <v/>
      </c>
      <c r="K18" s="47" t="str">
        <f>IF($B18="","",SUMIFS(Data!$AG$2:$AG$1201,Data!$S$2:$S$1201,$B18))</f>
        <v/>
      </c>
      <c r="L18" s="45" t="str">
        <f>IF(OR($B18="",$D18=0),"",SUMIFS(Data!$N$2:$N$1201,Data!$S$2:$S$1201,$B18,Data!$AI$2:$AI$1201,1)/60/$D18)</f>
        <v/>
      </c>
      <c r="M18" s="49" t="str">
        <f>IF($B18="","",SUMIFS(Data!$AL$2:$AL$1201,Data!$S$2:$S$1201,$B18))</f>
        <v/>
      </c>
      <c r="Z18" t="str">
        <f>IFERROR(INDEX(Data!$S$2:$S$1201,MATCH(11,Data!$Y$2:$Y$1201,0)),"")</f>
        <v/>
      </c>
    </row>
    <row r="19" spans="2:26" x14ac:dyDescent="0.25">
      <c r="B19" s="51" t="str">
        <f>IFERROR(SMALL(Rhythm!$Z$8:$Z$207,10),"")</f>
        <v/>
      </c>
      <c r="C19" s="42" t="str">
        <f t="shared" si="0"/>
        <v/>
      </c>
      <c r="D19" s="44" t="str">
        <f>IF($B19="","",SUMIFS(Data!$N$2:$N$1201,Data!$S$2:$S$1201,$B19)/60)</f>
        <v/>
      </c>
      <c r="E19" s="52" t="str">
        <f>IF($B19="","",IF(SUMIFS(Data!$O$2:$O$1201,Data!$S$2:$S$1201,$B19,Data!$AP$2:$AP$1201,1)=0,"",SUMIFS(Data!$O$2:$O$1201,Data!$S$2:$S$1201,$B19,Data!$AP$2:$AP$1201,1)-$B19))</f>
        <v/>
      </c>
      <c r="F19" s="52" t="str">
        <f>IF($B19="","",IF(SUMIFS(Data!$P$2:$P$1201,Data!$S$2:$S$1201,$B19,Data!$AQ$2:$AQ$1201,1)=0,"",SUMIFS(Data!$P$2:$P$1201,Data!$S$2:$S$1201,$B19,Data!$AQ$2:$AQ$1201,1)-$B19))</f>
        <v/>
      </c>
      <c r="G19" s="53" t="str">
        <f t="shared" si="1"/>
        <v/>
      </c>
      <c r="H19" s="53" t="str">
        <f t="shared" si="2"/>
        <v/>
      </c>
      <c r="I19" s="45" t="str">
        <f t="shared" si="3"/>
        <v/>
      </c>
      <c r="J19" s="47" t="str">
        <f>IF($B19="","",COUNTIFS(Data!$S$2:$S$1201,$B19,Data!$E$2:$E$1201,"timed"))</f>
        <v/>
      </c>
      <c r="K19" s="47" t="str">
        <f>IF($B19="","",SUMIFS(Data!$AG$2:$AG$1201,Data!$S$2:$S$1201,$B19))</f>
        <v/>
      </c>
      <c r="L19" s="45" t="str">
        <f>IF(OR($B19="",$D19=0),"",SUMIFS(Data!$N$2:$N$1201,Data!$S$2:$S$1201,$B19,Data!$AI$2:$AI$1201,1)/60/$D19)</f>
        <v/>
      </c>
      <c r="M19" s="49" t="str">
        <f>IF($B19="","",SUMIFS(Data!$AL$2:$AL$1201,Data!$S$2:$S$1201,$B19))</f>
        <v/>
      </c>
      <c r="Z19" t="str">
        <f>IFERROR(INDEX(Data!$S$2:$S$1201,MATCH(12,Data!$Y$2:$Y$1201,0)),"")</f>
        <v/>
      </c>
    </row>
    <row r="20" spans="2:26" x14ac:dyDescent="0.25">
      <c r="B20" s="51" t="str">
        <f>IFERROR(SMALL(Rhythm!$Z$8:$Z$207,11),"")</f>
        <v/>
      </c>
      <c r="C20" s="42" t="str">
        <f t="shared" si="0"/>
        <v/>
      </c>
      <c r="D20" s="44" t="str">
        <f>IF($B20="","",SUMIFS(Data!$N$2:$N$1201,Data!$S$2:$S$1201,$B20)/60)</f>
        <v/>
      </c>
      <c r="E20" s="52" t="str">
        <f>IF($B20="","",IF(SUMIFS(Data!$O$2:$O$1201,Data!$S$2:$S$1201,$B20,Data!$AP$2:$AP$1201,1)=0,"",SUMIFS(Data!$O$2:$O$1201,Data!$S$2:$S$1201,$B20,Data!$AP$2:$AP$1201,1)-$B20))</f>
        <v/>
      </c>
      <c r="F20" s="52" t="str">
        <f>IF($B20="","",IF(SUMIFS(Data!$P$2:$P$1201,Data!$S$2:$S$1201,$B20,Data!$AQ$2:$AQ$1201,1)=0,"",SUMIFS(Data!$P$2:$P$1201,Data!$S$2:$S$1201,$B20,Data!$AQ$2:$AQ$1201,1)-$B20))</f>
        <v/>
      </c>
      <c r="G20" s="53" t="str">
        <f t="shared" si="1"/>
        <v/>
      </c>
      <c r="H20" s="53" t="str">
        <f t="shared" si="2"/>
        <v/>
      </c>
      <c r="I20" s="45" t="str">
        <f t="shared" si="3"/>
        <v/>
      </c>
      <c r="J20" s="47" t="str">
        <f>IF($B20="","",COUNTIFS(Data!$S$2:$S$1201,$B20,Data!$E$2:$E$1201,"timed"))</f>
        <v/>
      </c>
      <c r="K20" s="47" t="str">
        <f>IF($B20="","",SUMIFS(Data!$AG$2:$AG$1201,Data!$S$2:$S$1201,$B20))</f>
        <v/>
      </c>
      <c r="L20" s="45" t="str">
        <f>IF(OR($B20="",$D20=0),"",SUMIFS(Data!$N$2:$N$1201,Data!$S$2:$S$1201,$B20,Data!$AI$2:$AI$1201,1)/60/$D20)</f>
        <v/>
      </c>
      <c r="M20" s="49" t="str">
        <f>IF($B20="","",SUMIFS(Data!$AL$2:$AL$1201,Data!$S$2:$S$1201,$B20))</f>
        <v/>
      </c>
      <c r="Z20" t="str">
        <f>IFERROR(INDEX(Data!$S$2:$S$1201,MATCH(13,Data!$Y$2:$Y$1201,0)),"")</f>
        <v/>
      </c>
    </row>
    <row r="21" spans="2:26" x14ac:dyDescent="0.25">
      <c r="B21" s="51" t="str">
        <f>IFERROR(SMALL(Rhythm!$Z$8:$Z$207,12),"")</f>
        <v/>
      </c>
      <c r="C21" s="42" t="str">
        <f t="shared" si="0"/>
        <v/>
      </c>
      <c r="D21" s="44" t="str">
        <f>IF($B21="","",SUMIFS(Data!$N$2:$N$1201,Data!$S$2:$S$1201,$B21)/60)</f>
        <v/>
      </c>
      <c r="E21" s="52" t="str">
        <f>IF($B21="","",IF(SUMIFS(Data!$O$2:$O$1201,Data!$S$2:$S$1201,$B21,Data!$AP$2:$AP$1201,1)=0,"",SUMIFS(Data!$O$2:$O$1201,Data!$S$2:$S$1201,$B21,Data!$AP$2:$AP$1201,1)-$B21))</f>
        <v/>
      </c>
      <c r="F21" s="52" t="str">
        <f>IF($B21="","",IF(SUMIFS(Data!$P$2:$P$1201,Data!$S$2:$S$1201,$B21,Data!$AQ$2:$AQ$1201,1)=0,"",SUMIFS(Data!$P$2:$P$1201,Data!$S$2:$S$1201,$B21,Data!$AQ$2:$AQ$1201,1)-$B21))</f>
        <v/>
      </c>
      <c r="G21" s="53" t="str">
        <f t="shared" si="1"/>
        <v/>
      </c>
      <c r="H21" s="53" t="str">
        <f t="shared" si="2"/>
        <v/>
      </c>
      <c r="I21" s="45" t="str">
        <f t="shared" si="3"/>
        <v/>
      </c>
      <c r="J21" s="47" t="str">
        <f>IF($B21="","",COUNTIFS(Data!$S$2:$S$1201,$B21,Data!$E$2:$E$1201,"timed"))</f>
        <v/>
      </c>
      <c r="K21" s="47" t="str">
        <f>IF($B21="","",SUMIFS(Data!$AG$2:$AG$1201,Data!$S$2:$S$1201,$B21))</f>
        <v/>
      </c>
      <c r="L21" s="45" t="str">
        <f>IF(OR($B21="",$D21=0),"",SUMIFS(Data!$N$2:$N$1201,Data!$S$2:$S$1201,$B21,Data!$AI$2:$AI$1201,1)/60/$D21)</f>
        <v/>
      </c>
      <c r="M21" s="49" t="str">
        <f>IF($B21="","",SUMIFS(Data!$AL$2:$AL$1201,Data!$S$2:$S$1201,$B21))</f>
        <v/>
      </c>
      <c r="Z21" t="str">
        <f>IFERROR(INDEX(Data!$S$2:$S$1201,MATCH(14,Data!$Y$2:$Y$1201,0)),"")</f>
        <v/>
      </c>
    </row>
    <row r="22" spans="2:26" x14ac:dyDescent="0.25">
      <c r="B22" s="51" t="str">
        <f>IFERROR(SMALL(Rhythm!$Z$8:$Z$207,13),"")</f>
        <v/>
      </c>
      <c r="C22" s="42" t="str">
        <f t="shared" si="0"/>
        <v/>
      </c>
      <c r="D22" s="44" t="str">
        <f>IF($B22="","",SUMIFS(Data!$N$2:$N$1201,Data!$S$2:$S$1201,$B22)/60)</f>
        <v/>
      </c>
      <c r="E22" s="52" t="str">
        <f>IF($B22="","",IF(SUMIFS(Data!$O$2:$O$1201,Data!$S$2:$S$1201,$B22,Data!$AP$2:$AP$1201,1)=0,"",SUMIFS(Data!$O$2:$O$1201,Data!$S$2:$S$1201,$B22,Data!$AP$2:$AP$1201,1)-$B22))</f>
        <v/>
      </c>
      <c r="F22" s="52" t="str">
        <f>IF($B22="","",IF(SUMIFS(Data!$P$2:$P$1201,Data!$S$2:$S$1201,$B22,Data!$AQ$2:$AQ$1201,1)=0,"",SUMIFS(Data!$P$2:$P$1201,Data!$S$2:$S$1201,$B22,Data!$AQ$2:$AQ$1201,1)-$B22))</f>
        <v/>
      </c>
      <c r="G22" s="53" t="str">
        <f t="shared" si="1"/>
        <v/>
      </c>
      <c r="H22" s="53" t="str">
        <f t="shared" si="2"/>
        <v/>
      </c>
      <c r="I22" s="45" t="str">
        <f t="shared" si="3"/>
        <v/>
      </c>
      <c r="J22" s="47" t="str">
        <f>IF($B22="","",COUNTIFS(Data!$S$2:$S$1201,$B22,Data!$E$2:$E$1201,"timed"))</f>
        <v/>
      </c>
      <c r="K22" s="47" t="str">
        <f>IF($B22="","",SUMIFS(Data!$AG$2:$AG$1201,Data!$S$2:$S$1201,$B22))</f>
        <v/>
      </c>
      <c r="L22" s="45" t="str">
        <f>IF(OR($B22="",$D22=0),"",SUMIFS(Data!$N$2:$N$1201,Data!$S$2:$S$1201,$B22,Data!$AI$2:$AI$1201,1)/60/$D22)</f>
        <v/>
      </c>
      <c r="M22" s="49" t="str">
        <f>IF($B22="","",SUMIFS(Data!$AL$2:$AL$1201,Data!$S$2:$S$1201,$B22))</f>
        <v/>
      </c>
      <c r="Z22" t="str">
        <f>IFERROR(INDEX(Data!$S$2:$S$1201,MATCH(15,Data!$Y$2:$Y$1201,0)),"")</f>
        <v/>
      </c>
    </row>
    <row r="23" spans="2:26" x14ac:dyDescent="0.25">
      <c r="B23" s="51" t="str">
        <f>IFERROR(SMALL(Rhythm!$Z$8:$Z$207,14),"")</f>
        <v/>
      </c>
      <c r="C23" s="42" t="str">
        <f t="shared" si="0"/>
        <v/>
      </c>
      <c r="D23" s="44" t="str">
        <f>IF($B23="","",SUMIFS(Data!$N$2:$N$1201,Data!$S$2:$S$1201,$B23)/60)</f>
        <v/>
      </c>
      <c r="E23" s="52" t="str">
        <f>IF($B23="","",IF(SUMIFS(Data!$O$2:$O$1201,Data!$S$2:$S$1201,$B23,Data!$AP$2:$AP$1201,1)=0,"",SUMIFS(Data!$O$2:$O$1201,Data!$S$2:$S$1201,$B23,Data!$AP$2:$AP$1201,1)-$B23))</f>
        <v/>
      </c>
      <c r="F23" s="52" t="str">
        <f>IF($B23="","",IF(SUMIFS(Data!$P$2:$P$1201,Data!$S$2:$S$1201,$B23,Data!$AQ$2:$AQ$1201,1)=0,"",SUMIFS(Data!$P$2:$P$1201,Data!$S$2:$S$1201,$B23,Data!$AQ$2:$AQ$1201,1)-$B23))</f>
        <v/>
      </c>
      <c r="G23" s="53" t="str">
        <f t="shared" si="1"/>
        <v/>
      </c>
      <c r="H23" s="53" t="str">
        <f t="shared" si="2"/>
        <v/>
      </c>
      <c r="I23" s="45" t="str">
        <f t="shared" si="3"/>
        <v/>
      </c>
      <c r="J23" s="47" t="str">
        <f>IF($B23="","",COUNTIFS(Data!$S$2:$S$1201,$B23,Data!$E$2:$E$1201,"timed"))</f>
        <v/>
      </c>
      <c r="K23" s="47" t="str">
        <f>IF($B23="","",SUMIFS(Data!$AG$2:$AG$1201,Data!$S$2:$S$1201,$B23))</f>
        <v/>
      </c>
      <c r="L23" s="45" t="str">
        <f>IF(OR($B23="",$D23=0),"",SUMIFS(Data!$N$2:$N$1201,Data!$S$2:$S$1201,$B23,Data!$AI$2:$AI$1201,1)/60/$D23)</f>
        <v/>
      </c>
      <c r="M23" s="49" t="str">
        <f>IF($B23="","",SUMIFS(Data!$AL$2:$AL$1201,Data!$S$2:$S$1201,$B23))</f>
        <v/>
      </c>
      <c r="Z23" t="str">
        <f>IFERROR(INDEX(Data!$S$2:$S$1201,MATCH(16,Data!$Y$2:$Y$1201,0)),"")</f>
        <v/>
      </c>
    </row>
    <row r="24" spans="2:26" x14ac:dyDescent="0.25">
      <c r="B24" s="51" t="str">
        <f>IFERROR(SMALL(Rhythm!$Z$8:$Z$207,15),"")</f>
        <v/>
      </c>
      <c r="C24" s="42" t="str">
        <f t="shared" si="0"/>
        <v/>
      </c>
      <c r="D24" s="44" t="str">
        <f>IF($B24="","",SUMIFS(Data!$N$2:$N$1201,Data!$S$2:$S$1201,$B24)/60)</f>
        <v/>
      </c>
      <c r="E24" s="52" t="str">
        <f>IF($B24="","",IF(SUMIFS(Data!$O$2:$O$1201,Data!$S$2:$S$1201,$B24,Data!$AP$2:$AP$1201,1)=0,"",SUMIFS(Data!$O$2:$O$1201,Data!$S$2:$S$1201,$B24,Data!$AP$2:$AP$1201,1)-$B24))</f>
        <v/>
      </c>
      <c r="F24" s="52" t="str">
        <f>IF($B24="","",IF(SUMIFS(Data!$P$2:$P$1201,Data!$S$2:$S$1201,$B24,Data!$AQ$2:$AQ$1201,1)=0,"",SUMIFS(Data!$P$2:$P$1201,Data!$S$2:$S$1201,$B24,Data!$AQ$2:$AQ$1201,1)-$B24))</f>
        <v/>
      </c>
      <c r="G24" s="53" t="str">
        <f t="shared" si="1"/>
        <v/>
      </c>
      <c r="H24" s="53" t="str">
        <f t="shared" si="2"/>
        <v/>
      </c>
      <c r="I24" s="45" t="str">
        <f t="shared" si="3"/>
        <v/>
      </c>
      <c r="J24" s="47" t="str">
        <f>IF($B24="","",COUNTIFS(Data!$S$2:$S$1201,$B24,Data!$E$2:$E$1201,"timed"))</f>
        <v/>
      </c>
      <c r="K24" s="47" t="str">
        <f>IF($B24="","",SUMIFS(Data!$AG$2:$AG$1201,Data!$S$2:$S$1201,$B24))</f>
        <v/>
      </c>
      <c r="L24" s="45" t="str">
        <f>IF(OR($B24="",$D24=0),"",SUMIFS(Data!$N$2:$N$1201,Data!$S$2:$S$1201,$B24,Data!$AI$2:$AI$1201,1)/60/$D24)</f>
        <v/>
      </c>
      <c r="M24" s="49" t="str">
        <f>IF($B24="","",SUMIFS(Data!$AL$2:$AL$1201,Data!$S$2:$S$1201,$B24))</f>
        <v/>
      </c>
      <c r="Z24" t="str">
        <f>IFERROR(INDEX(Data!$S$2:$S$1201,MATCH(17,Data!$Y$2:$Y$1201,0)),"")</f>
        <v/>
      </c>
    </row>
    <row r="25" spans="2:26" x14ac:dyDescent="0.25">
      <c r="B25" s="51" t="str">
        <f>IFERROR(SMALL(Rhythm!$Z$8:$Z$207,16),"")</f>
        <v/>
      </c>
      <c r="C25" s="42" t="str">
        <f t="shared" si="0"/>
        <v/>
      </c>
      <c r="D25" s="44" t="str">
        <f>IF($B25="","",SUMIFS(Data!$N$2:$N$1201,Data!$S$2:$S$1201,$B25)/60)</f>
        <v/>
      </c>
      <c r="E25" s="52" t="str">
        <f>IF($B25="","",IF(SUMIFS(Data!$O$2:$O$1201,Data!$S$2:$S$1201,$B25,Data!$AP$2:$AP$1201,1)=0,"",SUMIFS(Data!$O$2:$O$1201,Data!$S$2:$S$1201,$B25,Data!$AP$2:$AP$1201,1)-$B25))</f>
        <v/>
      </c>
      <c r="F25" s="52" t="str">
        <f>IF($B25="","",IF(SUMIFS(Data!$P$2:$P$1201,Data!$S$2:$S$1201,$B25,Data!$AQ$2:$AQ$1201,1)=0,"",SUMIFS(Data!$P$2:$P$1201,Data!$S$2:$S$1201,$B25,Data!$AQ$2:$AQ$1201,1)-$B25))</f>
        <v/>
      </c>
      <c r="G25" s="53" t="str">
        <f t="shared" si="1"/>
        <v/>
      </c>
      <c r="H25" s="53" t="str">
        <f t="shared" si="2"/>
        <v/>
      </c>
      <c r="I25" s="45" t="str">
        <f t="shared" si="3"/>
        <v/>
      </c>
      <c r="J25" s="47" t="str">
        <f>IF($B25="","",COUNTIFS(Data!$S$2:$S$1201,$B25,Data!$E$2:$E$1201,"timed"))</f>
        <v/>
      </c>
      <c r="K25" s="47" t="str">
        <f>IF($B25="","",SUMIFS(Data!$AG$2:$AG$1201,Data!$S$2:$S$1201,$B25))</f>
        <v/>
      </c>
      <c r="L25" s="45" t="str">
        <f>IF(OR($B25="",$D25=0),"",SUMIFS(Data!$N$2:$N$1201,Data!$S$2:$S$1201,$B25,Data!$AI$2:$AI$1201,1)/60/$D25)</f>
        <v/>
      </c>
      <c r="M25" s="49" t="str">
        <f>IF($B25="","",SUMIFS(Data!$AL$2:$AL$1201,Data!$S$2:$S$1201,$B25))</f>
        <v/>
      </c>
      <c r="Z25" t="str">
        <f>IFERROR(INDEX(Data!$S$2:$S$1201,MATCH(18,Data!$Y$2:$Y$1201,0)),"")</f>
        <v/>
      </c>
    </row>
    <row r="26" spans="2:26" x14ac:dyDescent="0.25">
      <c r="B26" s="51" t="str">
        <f>IFERROR(SMALL(Rhythm!$Z$8:$Z$207,17),"")</f>
        <v/>
      </c>
      <c r="C26" s="42" t="str">
        <f t="shared" si="0"/>
        <v/>
      </c>
      <c r="D26" s="44" t="str">
        <f>IF($B26="","",SUMIFS(Data!$N$2:$N$1201,Data!$S$2:$S$1201,$B26)/60)</f>
        <v/>
      </c>
      <c r="E26" s="52" t="str">
        <f>IF($B26="","",IF(SUMIFS(Data!$O$2:$O$1201,Data!$S$2:$S$1201,$B26,Data!$AP$2:$AP$1201,1)=0,"",SUMIFS(Data!$O$2:$O$1201,Data!$S$2:$S$1201,$B26,Data!$AP$2:$AP$1201,1)-$B26))</f>
        <v/>
      </c>
      <c r="F26" s="52" t="str">
        <f>IF($B26="","",IF(SUMIFS(Data!$P$2:$P$1201,Data!$S$2:$S$1201,$B26,Data!$AQ$2:$AQ$1201,1)=0,"",SUMIFS(Data!$P$2:$P$1201,Data!$S$2:$S$1201,$B26,Data!$AQ$2:$AQ$1201,1)-$B26))</f>
        <v/>
      </c>
      <c r="G26" s="53" t="str">
        <f t="shared" si="1"/>
        <v/>
      </c>
      <c r="H26" s="53" t="str">
        <f t="shared" si="2"/>
        <v/>
      </c>
      <c r="I26" s="45" t="str">
        <f t="shared" si="3"/>
        <v/>
      </c>
      <c r="J26" s="47" t="str">
        <f>IF($B26="","",COUNTIFS(Data!$S$2:$S$1201,$B26,Data!$E$2:$E$1201,"timed"))</f>
        <v/>
      </c>
      <c r="K26" s="47" t="str">
        <f>IF($B26="","",SUMIFS(Data!$AG$2:$AG$1201,Data!$S$2:$S$1201,$B26))</f>
        <v/>
      </c>
      <c r="L26" s="45" t="str">
        <f>IF(OR($B26="",$D26=0),"",SUMIFS(Data!$N$2:$N$1201,Data!$S$2:$S$1201,$B26,Data!$AI$2:$AI$1201,1)/60/$D26)</f>
        <v/>
      </c>
      <c r="M26" s="49" t="str">
        <f>IF($B26="","",SUMIFS(Data!$AL$2:$AL$1201,Data!$S$2:$S$1201,$B26))</f>
        <v/>
      </c>
      <c r="Z26" t="str">
        <f>IFERROR(INDEX(Data!$S$2:$S$1201,MATCH(19,Data!$Y$2:$Y$1201,0)),"")</f>
        <v/>
      </c>
    </row>
    <row r="27" spans="2:26" x14ac:dyDescent="0.25">
      <c r="B27" s="51" t="str">
        <f>IFERROR(SMALL(Rhythm!$Z$8:$Z$207,18),"")</f>
        <v/>
      </c>
      <c r="C27" s="42" t="str">
        <f t="shared" si="0"/>
        <v/>
      </c>
      <c r="D27" s="44" t="str">
        <f>IF($B27="","",SUMIFS(Data!$N$2:$N$1201,Data!$S$2:$S$1201,$B27)/60)</f>
        <v/>
      </c>
      <c r="E27" s="52" t="str">
        <f>IF($B27="","",IF(SUMIFS(Data!$O$2:$O$1201,Data!$S$2:$S$1201,$B27,Data!$AP$2:$AP$1201,1)=0,"",SUMIFS(Data!$O$2:$O$1201,Data!$S$2:$S$1201,$B27,Data!$AP$2:$AP$1201,1)-$B27))</f>
        <v/>
      </c>
      <c r="F27" s="52" t="str">
        <f>IF($B27="","",IF(SUMIFS(Data!$P$2:$P$1201,Data!$S$2:$S$1201,$B27,Data!$AQ$2:$AQ$1201,1)=0,"",SUMIFS(Data!$P$2:$P$1201,Data!$S$2:$S$1201,$B27,Data!$AQ$2:$AQ$1201,1)-$B27))</f>
        <v/>
      </c>
      <c r="G27" s="53" t="str">
        <f t="shared" si="1"/>
        <v/>
      </c>
      <c r="H27" s="53" t="str">
        <f t="shared" si="2"/>
        <v/>
      </c>
      <c r="I27" s="45" t="str">
        <f t="shared" si="3"/>
        <v/>
      </c>
      <c r="J27" s="47" t="str">
        <f>IF($B27="","",COUNTIFS(Data!$S$2:$S$1201,$B27,Data!$E$2:$E$1201,"timed"))</f>
        <v/>
      </c>
      <c r="K27" s="47" t="str">
        <f>IF($B27="","",SUMIFS(Data!$AG$2:$AG$1201,Data!$S$2:$S$1201,$B27))</f>
        <v/>
      </c>
      <c r="L27" s="45" t="str">
        <f>IF(OR($B27="",$D27=0),"",SUMIFS(Data!$N$2:$N$1201,Data!$S$2:$S$1201,$B27,Data!$AI$2:$AI$1201,1)/60/$D27)</f>
        <v/>
      </c>
      <c r="M27" s="49" t="str">
        <f>IF($B27="","",SUMIFS(Data!$AL$2:$AL$1201,Data!$S$2:$S$1201,$B27))</f>
        <v/>
      </c>
      <c r="Z27" t="str">
        <f>IFERROR(INDEX(Data!$S$2:$S$1201,MATCH(20,Data!$Y$2:$Y$1201,0)),"")</f>
        <v/>
      </c>
    </row>
    <row r="28" spans="2:26" x14ac:dyDescent="0.25">
      <c r="B28" s="51" t="str">
        <f>IFERROR(SMALL(Rhythm!$Z$8:$Z$207,19),"")</f>
        <v/>
      </c>
      <c r="C28" s="42" t="str">
        <f t="shared" si="0"/>
        <v/>
      </c>
      <c r="D28" s="44" t="str">
        <f>IF($B28="","",SUMIFS(Data!$N$2:$N$1201,Data!$S$2:$S$1201,$B28)/60)</f>
        <v/>
      </c>
      <c r="E28" s="52" t="str">
        <f>IF($B28="","",IF(SUMIFS(Data!$O$2:$O$1201,Data!$S$2:$S$1201,$B28,Data!$AP$2:$AP$1201,1)=0,"",SUMIFS(Data!$O$2:$O$1201,Data!$S$2:$S$1201,$B28,Data!$AP$2:$AP$1201,1)-$B28))</f>
        <v/>
      </c>
      <c r="F28" s="52" t="str">
        <f>IF($B28="","",IF(SUMIFS(Data!$P$2:$P$1201,Data!$S$2:$S$1201,$B28,Data!$AQ$2:$AQ$1201,1)=0,"",SUMIFS(Data!$P$2:$P$1201,Data!$S$2:$S$1201,$B28,Data!$AQ$2:$AQ$1201,1)-$B28))</f>
        <v/>
      </c>
      <c r="G28" s="53" t="str">
        <f t="shared" si="1"/>
        <v/>
      </c>
      <c r="H28" s="53" t="str">
        <f t="shared" si="2"/>
        <v/>
      </c>
      <c r="I28" s="45" t="str">
        <f t="shared" si="3"/>
        <v/>
      </c>
      <c r="J28" s="47" t="str">
        <f>IF($B28="","",COUNTIFS(Data!$S$2:$S$1201,$B28,Data!$E$2:$E$1201,"timed"))</f>
        <v/>
      </c>
      <c r="K28" s="47" t="str">
        <f>IF($B28="","",SUMIFS(Data!$AG$2:$AG$1201,Data!$S$2:$S$1201,$B28))</f>
        <v/>
      </c>
      <c r="L28" s="45" t="str">
        <f>IF(OR($B28="",$D28=0),"",SUMIFS(Data!$N$2:$N$1201,Data!$S$2:$S$1201,$B28,Data!$AI$2:$AI$1201,1)/60/$D28)</f>
        <v/>
      </c>
      <c r="M28" s="49" t="str">
        <f>IF($B28="","",SUMIFS(Data!$AL$2:$AL$1201,Data!$S$2:$S$1201,$B28))</f>
        <v/>
      </c>
      <c r="Z28" t="str">
        <f>IFERROR(INDEX(Data!$S$2:$S$1201,MATCH(21,Data!$Y$2:$Y$1201,0)),"")</f>
        <v/>
      </c>
    </row>
    <row r="29" spans="2:26" x14ac:dyDescent="0.25">
      <c r="B29" s="51" t="str">
        <f>IFERROR(SMALL(Rhythm!$Z$8:$Z$207,20),"")</f>
        <v/>
      </c>
      <c r="C29" s="42" t="str">
        <f t="shared" si="0"/>
        <v/>
      </c>
      <c r="D29" s="44" t="str">
        <f>IF($B29="","",SUMIFS(Data!$N$2:$N$1201,Data!$S$2:$S$1201,$B29)/60)</f>
        <v/>
      </c>
      <c r="E29" s="52" t="str">
        <f>IF($B29="","",IF(SUMIFS(Data!$O$2:$O$1201,Data!$S$2:$S$1201,$B29,Data!$AP$2:$AP$1201,1)=0,"",SUMIFS(Data!$O$2:$O$1201,Data!$S$2:$S$1201,$B29,Data!$AP$2:$AP$1201,1)-$B29))</f>
        <v/>
      </c>
      <c r="F29" s="52" t="str">
        <f>IF($B29="","",IF(SUMIFS(Data!$P$2:$P$1201,Data!$S$2:$S$1201,$B29,Data!$AQ$2:$AQ$1201,1)=0,"",SUMIFS(Data!$P$2:$P$1201,Data!$S$2:$S$1201,$B29,Data!$AQ$2:$AQ$1201,1)-$B29))</f>
        <v/>
      </c>
      <c r="G29" s="53" t="str">
        <f t="shared" si="1"/>
        <v/>
      </c>
      <c r="H29" s="53" t="str">
        <f t="shared" si="2"/>
        <v/>
      </c>
      <c r="I29" s="45" t="str">
        <f t="shared" si="3"/>
        <v/>
      </c>
      <c r="J29" s="47" t="str">
        <f>IF($B29="","",COUNTIFS(Data!$S$2:$S$1201,$B29,Data!$E$2:$E$1201,"timed"))</f>
        <v/>
      </c>
      <c r="K29" s="47" t="str">
        <f>IF($B29="","",SUMIFS(Data!$AG$2:$AG$1201,Data!$S$2:$S$1201,$B29))</f>
        <v/>
      </c>
      <c r="L29" s="45" t="str">
        <f>IF(OR($B29="",$D29=0),"",SUMIFS(Data!$N$2:$N$1201,Data!$S$2:$S$1201,$B29,Data!$AI$2:$AI$1201,1)/60/$D29)</f>
        <v/>
      </c>
      <c r="M29" s="49" t="str">
        <f>IF($B29="","",SUMIFS(Data!$AL$2:$AL$1201,Data!$S$2:$S$1201,$B29))</f>
        <v/>
      </c>
      <c r="Z29" t="str">
        <f>IFERROR(INDEX(Data!$S$2:$S$1201,MATCH(22,Data!$Y$2:$Y$1201,0)),"")</f>
        <v/>
      </c>
    </row>
    <row r="30" spans="2:26" x14ac:dyDescent="0.25">
      <c r="B30" s="51" t="str">
        <f>IFERROR(SMALL(Rhythm!$Z$8:$Z$207,21),"")</f>
        <v/>
      </c>
      <c r="C30" s="42" t="str">
        <f t="shared" si="0"/>
        <v/>
      </c>
      <c r="D30" s="44" t="str">
        <f>IF($B30="","",SUMIFS(Data!$N$2:$N$1201,Data!$S$2:$S$1201,$B30)/60)</f>
        <v/>
      </c>
      <c r="E30" s="52" t="str">
        <f>IF($B30="","",IF(SUMIFS(Data!$O$2:$O$1201,Data!$S$2:$S$1201,$B30,Data!$AP$2:$AP$1201,1)=0,"",SUMIFS(Data!$O$2:$O$1201,Data!$S$2:$S$1201,$B30,Data!$AP$2:$AP$1201,1)-$B30))</f>
        <v/>
      </c>
      <c r="F30" s="52" t="str">
        <f>IF($B30="","",IF(SUMIFS(Data!$P$2:$P$1201,Data!$S$2:$S$1201,$B30,Data!$AQ$2:$AQ$1201,1)=0,"",SUMIFS(Data!$P$2:$P$1201,Data!$S$2:$S$1201,$B30,Data!$AQ$2:$AQ$1201,1)-$B30))</f>
        <v/>
      </c>
      <c r="G30" s="53" t="str">
        <f t="shared" si="1"/>
        <v/>
      </c>
      <c r="H30" s="53" t="str">
        <f t="shared" si="2"/>
        <v/>
      </c>
      <c r="I30" s="45" t="str">
        <f t="shared" si="3"/>
        <v/>
      </c>
      <c r="J30" s="47" t="str">
        <f>IF($B30="","",COUNTIFS(Data!$S$2:$S$1201,$B30,Data!$E$2:$E$1201,"timed"))</f>
        <v/>
      </c>
      <c r="K30" s="47" t="str">
        <f>IF($B30="","",SUMIFS(Data!$AG$2:$AG$1201,Data!$S$2:$S$1201,$B30))</f>
        <v/>
      </c>
      <c r="L30" s="45" t="str">
        <f>IF(OR($B30="",$D30=0),"",SUMIFS(Data!$N$2:$N$1201,Data!$S$2:$S$1201,$B30,Data!$AI$2:$AI$1201,1)/60/$D30)</f>
        <v/>
      </c>
      <c r="M30" s="49" t="str">
        <f>IF($B30="","",SUMIFS(Data!$AL$2:$AL$1201,Data!$S$2:$S$1201,$B30))</f>
        <v/>
      </c>
      <c r="Z30" t="str">
        <f>IFERROR(INDEX(Data!$S$2:$S$1201,MATCH(23,Data!$Y$2:$Y$1201,0)),"")</f>
        <v/>
      </c>
    </row>
    <row r="31" spans="2:26" x14ac:dyDescent="0.25">
      <c r="B31" s="51" t="str">
        <f>IFERROR(SMALL(Rhythm!$Z$8:$Z$207,22),"")</f>
        <v/>
      </c>
      <c r="C31" s="42" t="str">
        <f t="shared" si="0"/>
        <v/>
      </c>
      <c r="D31" s="44" t="str">
        <f>IF($B31="","",SUMIFS(Data!$N$2:$N$1201,Data!$S$2:$S$1201,$B31)/60)</f>
        <v/>
      </c>
      <c r="E31" s="52" t="str">
        <f>IF($B31="","",IF(SUMIFS(Data!$O$2:$O$1201,Data!$S$2:$S$1201,$B31,Data!$AP$2:$AP$1201,1)=0,"",SUMIFS(Data!$O$2:$O$1201,Data!$S$2:$S$1201,$B31,Data!$AP$2:$AP$1201,1)-$B31))</f>
        <v/>
      </c>
      <c r="F31" s="52" t="str">
        <f>IF($B31="","",IF(SUMIFS(Data!$P$2:$P$1201,Data!$S$2:$S$1201,$B31,Data!$AQ$2:$AQ$1201,1)=0,"",SUMIFS(Data!$P$2:$P$1201,Data!$S$2:$S$1201,$B31,Data!$AQ$2:$AQ$1201,1)-$B31))</f>
        <v/>
      </c>
      <c r="G31" s="53" t="str">
        <f t="shared" si="1"/>
        <v/>
      </c>
      <c r="H31" s="53" t="str">
        <f t="shared" si="2"/>
        <v/>
      </c>
      <c r="I31" s="45" t="str">
        <f t="shared" si="3"/>
        <v/>
      </c>
      <c r="J31" s="47" t="str">
        <f>IF($B31="","",COUNTIFS(Data!$S$2:$S$1201,$B31,Data!$E$2:$E$1201,"timed"))</f>
        <v/>
      </c>
      <c r="K31" s="47" t="str">
        <f>IF($B31="","",SUMIFS(Data!$AG$2:$AG$1201,Data!$S$2:$S$1201,$B31))</f>
        <v/>
      </c>
      <c r="L31" s="45" t="str">
        <f>IF(OR($B31="",$D31=0),"",SUMIFS(Data!$N$2:$N$1201,Data!$S$2:$S$1201,$B31,Data!$AI$2:$AI$1201,1)/60/$D31)</f>
        <v/>
      </c>
      <c r="M31" s="49" t="str">
        <f>IF($B31="","",SUMIFS(Data!$AL$2:$AL$1201,Data!$S$2:$S$1201,$B31))</f>
        <v/>
      </c>
      <c r="Z31" t="str">
        <f>IFERROR(INDEX(Data!$S$2:$S$1201,MATCH(24,Data!$Y$2:$Y$1201,0)),"")</f>
        <v/>
      </c>
    </row>
    <row r="32" spans="2:26" x14ac:dyDescent="0.25">
      <c r="B32" s="51" t="str">
        <f>IFERROR(SMALL(Rhythm!$Z$8:$Z$207,23),"")</f>
        <v/>
      </c>
      <c r="C32" s="42" t="str">
        <f t="shared" si="0"/>
        <v/>
      </c>
      <c r="D32" s="44" t="str">
        <f>IF($B32="","",SUMIFS(Data!$N$2:$N$1201,Data!$S$2:$S$1201,$B32)/60)</f>
        <v/>
      </c>
      <c r="E32" s="52" t="str">
        <f>IF($B32="","",IF(SUMIFS(Data!$O$2:$O$1201,Data!$S$2:$S$1201,$B32,Data!$AP$2:$AP$1201,1)=0,"",SUMIFS(Data!$O$2:$O$1201,Data!$S$2:$S$1201,$B32,Data!$AP$2:$AP$1201,1)-$B32))</f>
        <v/>
      </c>
      <c r="F32" s="52" t="str">
        <f>IF($B32="","",IF(SUMIFS(Data!$P$2:$P$1201,Data!$S$2:$S$1201,$B32,Data!$AQ$2:$AQ$1201,1)=0,"",SUMIFS(Data!$P$2:$P$1201,Data!$S$2:$S$1201,$B32,Data!$AQ$2:$AQ$1201,1)-$B32))</f>
        <v/>
      </c>
      <c r="G32" s="53" t="str">
        <f t="shared" si="1"/>
        <v/>
      </c>
      <c r="H32" s="53" t="str">
        <f t="shared" si="2"/>
        <v/>
      </c>
      <c r="I32" s="45" t="str">
        <f t="shared" si="3"/>
        <v/>
      </c>
      <c r="J32" s="47" t="str">
        <f>IF($B32="","",COUNTIFS(Data!$S$2:$S$1201,$B32,Data!$E$2:$E$1201,"timed"))</f>
        <v/>
      </c>
      <c r="K32" s="47" t="str">
        <f>IF($B32="","",SUMIFS(Data!$AG$2:$AG$1201,Data!$S$2:$S$1201,$B32))</f>
        <v/>
      </c>
      <c r="L32" s="45" t="str">
        <f>IF(OR($B32="",$D32=0),"",SUMIFS(Data!$N$2:$N$1201,Data!$S$2:$S$1201,$B32,Data!$AI$2:$AI$1201,1)/60/$D32)</f>
        <v/>
      </c>
      <c r="M32" s="49" t="str">
        <f>IF($B32="","",SUMIFS(Data!$AL$2:$AL$1201,Data!$S$2:$S$1201,$B32))</f>
        <v/>
      </c>
      <c r="Z32" t="str">
        <f>IFERROR(INDEX(Data!$S$2:$S$1201,MATCH(25,Data!$Y$2:$Y$1201,0)),"")</f>
        <v/>
      </c>
    </row>
    <row r="33" spans="2:26" x14ac:dyDescent="0.25">
      <c r="B33" s="51" t="str">
        <f>IFERROR(SMALL(Rhythm!$Z$8:$Z$207,24),"")</f>
        <v/>
      </c>
      <c r="C33" s="42" t="str">
        <f t="shared" si="0"/>
        <v/>
      </c>
      <c r="D33" s="44" t="str">
        <f>IF($B33="","",SUMIFS(Data!$N$2:$N$1201,Data!$S$2:$S$1201,$B33)/60)</f>
        <v/>
      </c>
      <c r="E33" s="52" t="str">
        <f>IF($B33="","",IF(SUMIFS(Data!$O$2:$O$1201,Data!$S$2:$S$1201,$B33,Data!$AP$2:$AP$1201,1)=0,"",SUMIFS(Data!$O$2:$O$1201,Data!$S$2:$S$1201,$B33,Data!$AP$2:$AP$1201,1)-$B33))</f>
        <v/>
      </c>
      <c r="F33" s="52" t="str">
        <f>IF($B33="","",IF(SUMIFS(Data!$P$2:$P$1201,Data!$S$2:$S$1201,$B33,Data!$AQ$2:$AQ$1201,1)=0,"",SUMIFS(Data!$P$2:$P$1201,Data!$S$2:$S$1201,$B33,Data!$AQ$2:$AQ$1201,1)-$B33))</f>
        <v/>
      </c>
      <c r="G33" s="53" t="str">
        <f t="shared" si="1"/>
        <v/>
      </c>
      <c r="H33" s="53" t="str">
        <f t="shared" si="2"/>
        <v/>
      </c>
      <c r="I33" s="45" t="str">
        <f t="shared" si="3"/>
        <v/>
      </c>
      <c r="J33" s="47" t="str">
        <f>IF($B33="","",COUNTIFS(Data!$S$2:$S$1201,$B33,Data!$E$2:$E$1201,"timed"))</f>
        <v/>
      </c>
      <c r="K33" s="47" t="str">
        <f>IF($B33="","",SUMIFS(Data!$AG$2:$AG$1201,Data!$S$2:$S$1201,$B33))</f>
        <v/>
      </c>
      <c r="L33" s="45" t="str">
        <f>IF(OR($B33="",$D33=0),"",SUMIFS(Data!$N$2:$N$1201,Data!$S$2:$S$1201,$B33,Data!$AI$2:$AI$1201,1)/60/$D33)</f>
        <v/>
      </c>
      <c r="M33" s="49" t="str">
        <f>IF($B33="","",SUMIFS(Data!$AL$2:$AL$1201,Data!$S$2:$S$1201,$B33))</f>
        <v/>
      </c>
      <c r="Z33" t="str">
        <f>IFERROR(INDEX(Data!$S$2:$S$1201,MATCH(26,Data!$Y$2:$Y$1201,0)),"")</f>
        <v/>
      </c>
    </row>
    <row r="34" spans="2:26" x14ac:dyDescent="0.25">
      <c r="B34" s="51" t="str">
        <f>IFERROR(SMALL(Rhythm!$Z$8:$Z$207,25),"")</f>
        <v/>
      </c>
      <c r="C34" s="42" t="str">
        <f t="shared" si="0"/>
        <v/>
      </c>
      <c r="D34" s="44" t="str">
        <f>IF($B34="","",SUMIFS(Data!$N$2:$N$1201,Data!$S$2:$S$1201,$B34)/60)</f>
        <v/>
      </c>
      <c r="E34" s="52" t="str">
        <f>IF($B34="","",IF(SUMIFS(Data!$O$2:$O$1201,Data!$S$2:$S$1201,$B34,Data!$AP$2:$AP$1201,1)=0,"",SUMIFS(Data!$O$2:$O$1201,Data!$S$2:$S$1201,$B34,Data!$AP$2:$AP$1201,1)-$B34))</f>
        <v/>
      </c>
      <c r="F34" s="52" t="str">
        <f>IF($B34="","",IF(SUMIFS(Data!$P$2:$P$1201,Data!$S$2:$S$1201,$B34,Data!$AQ$2:$AQ$1201,1)=0,"",SUMIFS(Data!$P$2:$P$1201,Data!$S$2:$S$1201,$B34,Data!$AQ$2:$AQ$1201,1)-$B34))</f>
        <v/>
      </c>
      <c r="G34" s="53" t="str">
        <f t="shared" si="1"/>
        <v/>
      </c>
      <c r="H34" s="53" t="str">
        <f t="shared" si="2"/>
        <v/>
      </c>
      <c r="I34" s="45" t="str">
        <f t="shared" si="3"/>
        <v/>
      </c>
      <c r="J34" s="47" t="str">
        <f>IF($B34="","",COUNTIFS(Data!$S$2:$S$1201,$B34,Data!$E$2:$E$1201,"timed"))</f>
        <v/>
      </c>
      <c r="K34" s="47" t="str">
        <f>IF($B34="","",SUMIFS(Data!$AG$2:$AG$1201,Data!$S$2:$S$1201,$B34))</f>
        <v/>
      </c>
      <c r="L34" s="45" t="str">
        <f>IF(OR($B34="",$D34=0),"",SUMIFS(Data!$N$2:$N$1201,Data!$S$2:$S$1201,$B34,Data!$AI$2:$AI$1201,1)/60/$D34)</f>
        <v/>
      </c>
      <c r="M34" s="49" t="str">
        <f>IF($B34="","",SUMIFS(Data!$AL$2:$AL$1201,Data!$S$2:$S$1201,$B34))</f>
        <v/>
      </c>
      <c r="Z34" t="str">
        <f>IFERROR(INDEX(Data!$S$2:$S$1201,MATCH(27,Data!$Y$2:$Y$1201,0)),"")</f>
        <v/>
      </c>
    </row>
    <row r="35" spans="2:26" x14ac:dyDescent="0.25">
      <c r="B35" s="51" t="str">
        <f>IFERROR(SMALL(Rhythm!$Z$8:$Z$207,26),"")</f>
        <v/>
      </c>
      <c r="C35" s="42" t="str">
        <f t="shared" si="0"/>
        <v/>
      </c>
      <c r="D35" s="44" t="str">
        <f>IF($B35="","",SUMIFS(Data!$N$2:$N$1201,Data!$S$2:$S$1201,$B35)/60)</f>
        <v/>
      </c>
      <c r="E35" s="52" t="str">
        <f>IF($B35="","",IF(SUMIFS(Data!$O$2:$O$1201,Data!$S$2:$S$1201,$B35,Data!$AP$2:$AP$1201,1)=0,"",SUMIFS(Data!$O$2:$O$1201,Data!$S$2:$S$1201,$B35,Data!$AP$2:$AP$1201,1)-$B35))</f>
        <v/>
      </c>
      <c r="F35" s="52" t="str">
        <f>IF($B35="","",IF(SUMIFS(Data!$P$2:$P$1201,Data!$S$2:$S$1201,$B35,Data!$AQ$2:$AQ$1201,1)=0,"",SUMIFS(Data!$P$2:$P$1201,Data!$S$2:$S$1201,$B35,Data!$AQ$2:$AQ$1201,1)-$B35))</f>
        <v/>
      </c>
      <c r="G35" s="53" t="str">
        <f t="shared" si="1"/>
        <v/>
      </c>
      <c r="H35" s="53" t="str">
        <f t="shared" si="2"/>
        <v/>
      </c>
      <c r="I35" s="45" t="str">
        <f t="shared" si="3"/>
        <v/>
      </c>
      <c r="J35" s="47" t="str">
        <f>IF($B35="","",COUNTIFS(Data!$S$2:$S$1201,$B35,Data!$E$2:$E$1201,"timed"))</f>
        <v/>
      </c>
      <c r="K35" s="47" t="str">
        <f>IF($B35="","",SUMIFS(Data!$AG$2:$AG$1201,Data!$S$2:$S$1201,$B35))</f>
        <v/>
      </c>
      <c r="L35" s="45" t="str">
        <f>IF(OR($B35="",$D35=0),"",SUMIFS(Data!$N$2:$N$1201,Data!$S$2:$S$1201,$B35,Data!$AI$2:$AI$1201,1)/60/$D35)</f>
        <v/>
      </c>
      <c r="M35" s="49" t="str">
        <f>IF($B35="","",SUMIFS(Data!$AL$2:$AL$1201,Data!$S$2:$S$1201,$B35))</f>
        <v/>
      </c>
      <c r="Z35" t="str">
        <f>IFERROR(INDEX(Data!$S$2:$S$1201,MATCH(28,Data!$Y$2:$Y$1201,0)),"")</f>
        <v/>
      </c>
    </row>
    <row r="36" spans="2:26" x14ac:dyDescent="0.25">
      <c r="B36" s="51" t="str">
        <f>IFERROR(SMALL(Rhythm!$Z$8:$Z$207,27),"")</f>
        <v/>
      </c>
      <c r="C36" s="42" t="str">
        <f t="shared" si="0"/>
        <v/>
      </c>
      <c r="D36" s="44" t="str">
        <f>IF($B36="","",SUMIFS(Data!$N$2:$N$1201,Data!$S$2:$S$1201,$B36)/60)</f>
        <v/>
      </c>
      <c r="E36" s="52" t="str">
        <f>IF($B36="","",IF(SUMIFS(Data!$O$2:$O$1201,Data!$S$2:$S$1201,$B36,Data!$AP$2:$AP$1201,1)=0,"",SUMIFS(Data!$O$2:$O$1201,Data!$S$2:$S$1201,$B36,Data!$AP$2:$AP$1201,1)-$B36))</f>
        <v/>
      </c>
      <c r="F36" s="52" t="str">
        <f>IF($B36="","",IF(SUMIFS(Data!$P$2:$P$1201,Data!$S$2:$S$1201,$B36,Data!$AQ$2:$AQ$1201,1)=0,"",SUMIFS(Data!$P$2:$P$1201,Data!$S$2:$S$1201,$B36,Data!$AQ$2:$AQ$1201,1)-$B36))</f>
        <v/>
      </c>
      <c r="G36" s="53" t="str">
        <f t="shared" si="1"/>
        <v/>
      </c>
      <c r="H36" s="53" t="str">
        <f t="shared" si="2"/>
        <v/>
      </c>
      <c r="I36" s="45" t="str">
        <f t="shared" si="3"/>
        <v/>
      </c>
      <c r="J36" s="47" t="str">
        <f>IF($B36="","",COUNTIFS(Data!$S$2:$S$1201,$B36,Data!$E$2:$E$1201,"timed"))</f>
        <v/>
      </c>
      <c r="K36" s="47" t="str">
        <f>IF($B36="","",SUMIFS(Data!$AG$2:$AG$1201,Data!$S$2:$S$1201,$B36))</f>
        <v/>
      </c>
      <c r="L36" s="45" t="str">
        <f>IF(OR($B36="",$D36=0),"",SUMIFS(Data!$N$2:$N$1201,Data!$S$2:$S$1201,$B36,Data!$AI$2:$AI$1201,1)/60/$D36)</f>
        <v/>
      </c>
      <c r="M36" s="49" t="str">
        <f>IF($B36="","",SUMIFS(Data!$AL$2:$AL$1201,Data!$S$2:$S$1201,$B36))</f>
        <v/>
      </c>
      <c r="Z36" t="str">
        <f>IFERROR(INDEX(Data!$S$2:$S$1201,MATCH(29,Data!$Y$2:$Y$1201,0)),"")</f>
        <v/>
      </c>
    </row>
    <row r="37" spans="2:26" x14ac:dyDescent="0.25">
      <c r="B37" s="51" t="str">
        <f>IFERROR(SMALL(Rhythm!$Z$8:$Z$207,28),"")</f>
        <v/>
      </c>
      <c r="C37" s="42" t="str">
        <f t="shared" si="0"/>
        <v/>
      </c>
      <c r="D37" s="44" t="str">
        <f>IF($B37="","",SUMIFS(Data!$N$2:$N$1201,Data!$S$2:$S$1201,$B37)/60)</f>
        <v/>
      </c>
      <c r="E37" s="52" t="str">
        <f>IF($B37="","",IF(SUMIFS(Data!$O$2:$O$1201,Data!$S$2:$S$1201,$B37,Data!$AP$2:$AP$1201,1)=0,"",SUMIFS(Data!$O$2:$O$1201,Data!$S$2:$S$1201,$B37,Data!$AP$2:$AP$1201,1)-$B37))</f>
        <v/>
      </c>
      <c r="F37" s="52" t="str">
        <f>IF($B37="","",IF(SUMIFS(Data!$P$2:$P$1201,Data!$S$2:$S$1201,$B37,Data!$AQ$2:$AQ$1201,1)=0,"",SUMIFS(Data!$P$2:$P$1201,Data!$S$2:$S$1201,$B37,Data!$AQ$2:$AQ$1201,1)-$B37))</f>
        <v/>
      </c>
      <c r="G37" s="53" t="str">
        <f t="shared" si="1"/>
        <v/>
      </c>
      <c r="H37" s="53" t="str">
        <f t="shared" si="2"/>
        <v/>
      </c>
      <c r="I37" s="45" t="str">
        <f t="shared" si="3"/>
        <v/>
      </c>
      <c r="J37" s="47" t="str">
        <f>IF($B37="","",COUNTIFS(Data!$S$2:$S$1201,$B37,Data!$E$2:$E$1201,"timed"))</f>
        <v/>
      </c>
      <c r="K37" s="47" t="str">
        <f>IF($B37="","",SUMIFS(Data!$AG$2:$AG$1201,Data!$S$2:$S$1201,$B37))</f>
        <v/>
      </c>
      <c r="L37" s="45" t="str">
        <f>IF(OR($B37="",$D37=0),"",SUMIFS(Data!$N$2:$N$1201,Data!$S$2:$S$1201,$B37,Data!$AI$2:$AI$1201,1)/60/$D37)</f>
        <v/>
      </c>
      <c r="M37" s="49" t="str">
        <f>IF($B37="","",SUMIFS(Data!$AL$2:$AL$1201,Data!$S$2:$S$1201,$B37))</f>
        <v/>
      </c>
      <c r="Z37" t="str">
        <f>IFERROR(INDEX(Data!$S$2:$S$1201,MATCH(30,Data!$Y$2:$Y$1201,0)),"")</f>
        <v/>
      </c>
    </row>
    <row r="38" spans="2:26" x14ac:dyDescent="0.25">
      <c r="B38" s="51" t="str">
        <f>IFERROR(SMALL(Rhythm!$Z$8:$Z$207,29),"")</f>
        <v/>
      </c>
      <c r="C38" s="42" t="str">
        <f t="shared" si="0"/>
        <v/>
      </c>
      <c r="D38" s="44" t="str">
        <f>IF($B38="","",SUMIFS(Data!$N$2:$N$1201,Data!$S$2:$S$1201,$B38)/60)</f>
        <v/>
      </c>
      <c r="E38" s="52" t="str">
        <f>IF($B38="","",IF(SUMIFS(Data!$O$2:$O$1201,Data!$S$2:$S$1201,$B38,Data!$AP$2:$AP$1201,1)=0,"",SUMIFS(Data!$O$2:$O$1201,Data!$S$2:$S$1201,$B38,Data!$AP$2:$AP$1201,1)-$B38))</f>
        <v/>
      </c>
      <c r="F38" s="52" t="str">
        <f>IF($B38="","",IF(SUMIFS(Data!$P$2:$P$1201,Data!$S$2:$S$1201,$B38,Data!$AQ$2:$AQ$1201,1)=0,"",SUMIFS(Data!$P$2:$P$1201,Data!$S$2:$S$1201,$B38,Data!$AQ$2:$AQ$1201,1)-$B38))</f>
        <v/>
      </c>
      <c r="G38" s="53" t="str">
        <f t="shared" si="1"/>
        <v/>
      </c>
      <c r="H38" s="53" t="str">
        <f t="shared" si="2"/>
        <v/>
      </c>
      <c r="I38" s="45" t="str">
        <f t="shared" si="3"/>
        <v/>
      </c>
      <c r="J38" s="47" t="str">
        <f>IF($B38="","",COUNTIFS(Data!$S$2:$S$1201,$B38,Data!$E$2:$E$1201,"timed"))</f>
        <v/>
      </c>
      <c r="K38" s="47" t="str">
        <f>IF($B38="","",SUMIFS(Data!$AG$2:$AG$1201,Data!$S$2:$S$1201,$B38))</f>
        <v/>
      </c>
      <c r="L38" s="45" t="str">
        <f>IF(OR($B38="",$D38=0),"",SUMIFS(Data!$N$2:$N$1201,Data!$S$2:$S$1201,$B38,Data!$AI$2:$AI$1201,1)/60/$D38)</f>
        <v/>
      </c>
      <c r="M38" s="49" t="str">
        <f>IF($B38="","",SUMIFS(Data!$AL$2:$AL$1201,Data!$S$2:$S$1201,$B38))</f>
        <v/>
      </c>
      <c r="Z38" t="str">
        <f>IFERROR(INDEX(Data!$S$2:$S$1201,MATCH(31,Data!$Y$2:$Y$1201,0)),"")</f>
        <v/>
      </c>
    </row>
    <row r="39" spans="2:26" x14ac:dyDescent="0.25">
      <c r="B39" s="51" t="str">
        <f>IFERROR(SMALL(Rhythm!$Z$8:$Z$207,30),"")</f>
        <v/>
      </c>
      <c r="C39" s="42" t="str">
        <f t="shared" si="0"/>
        <v/>
      </c>
      <c r="D39" s="44" t="str">
        <f>IF($B39="","",SUMIFS(Data!$N$2:$N$1201,Data!$S$2:$S$1201,$B39)/60)</f>
        <v/>
      </c>
      <c r="E39" s="52" t="str">
        <f>IF($B39="","",IF(SUMIFS(Data!$O$2:$O$1201,Data!$S$2:$S$1201,$B39,Data!$AP$2:$AP$1201,1)=0,"",SUMIFS(Data!$O$2:$O$1201,Data!$S$2:$S$1201,$B39,Data!$AP$2:$AP$1201,1)-$B39))</f>
        <v/>
      </c>
      <c r="F39" s="52" t="str">
        <f>IF($B39="","",IF(SUMIFS(Data!$P$2:$P$1201,Data!$S$2:$S$1201,$B39,Data!$AQ$2:$AQ$1201,1)=0,"",SUMIFS(Data!$P$2:$P$1201,Data!$S$2:$S$1201,$B39,Data!$AQ$2:$AQ$1201,1)-$B39))</f>
        <v/>
      </c>
      <c r="G39" s="53" t="str">
        <f t="shared" si="1"/>
        <v/>
      </c>
      <c r="H39" s="53" t="str">
        <f t="shared" si="2"/>
        <v/>
      </c>
      <c r="I39" s="45" t="str">
        <f t="shared" si="3"/>
        <v/>
      </c>
      <c r="J39" s="47" t="str">
        <f>IF($B39="","",COUNTIFS(Data!$S$2:$S$1201,$B39,Data!$E$2:$E$1201,"timed"))</f>
        <v/>
      </c>
      <c r="K39" s="47" t="str">
        <f>IF($B39="","",SUMIFS(Data!$AG$2:$AG$1201,Data!$S$2:$S$1201,$B39))</f>
        <v/>
      </c>
      <c r="L39" s="45" t="str">
        <f>IF(OR($B39="",$D39=0),"",SUMIFS(Data!$N$2:$N$1201,Data!$S$2:$S$1201,$B39,Data!$AI$2:$AI$1201,1)/60/$D39)</f>
        <v/>
      </c>
      <c r="M39" s="49" t="str">
        <f>IF($B39="","",SUMIFS(Data!$AL$2:$AL$1201,Data!$S$2:$S$1201,$B39))</f>
        <v/>
      </c>
      <c r="Z39" t="str">
        <f>IFERROR(INDEX(Data!$S$2:$S$1201,MATCH(32,Data!$Y$2:$Y$1201,0)),"")</f>
        <v/>
      </c>
    </row>
    <row r="40" spans="2:26" x14ac:dyDescent="0.25">
      <c r="B40" s="51" t="str">
        <f>IFERROR(SMALL(Rhythm!$Z$8:$Z$207,31),"")</f>
        <v/>
      </c>
      <c r="C40" s="42" t="str">
        <f t="shared" si="0"/>
        <v/>
      </c>
      <c r="D40" s="44" t="str">
        <f>IF($B40="","",SUMIFS(Data!$N$2:$N$1201,Data!$S$2:$S$1201,$B40)/60)</f>
        <v/>
      </c>
      <c r="E40" s="52" t="str">
        <f>IF($B40="","",IF(SUMIFS(Data!$O$2:$O$1201,Data!$S$2:$S$1201,$B40,Data!$AP$2:$AP$1201,1)=0,"",SUMIFS(Data!$O$2:$O$1201,Data!$S$2:$S$1201,$B40,Data!$AP$2:$AP$1201,1)-$B40))</f>
        <v/>
      </c>
      <c r="F40" s="52" t="str">
        <f>IF($B40="","",IF(SUMIFS(Data!$P$2:$P$1201,Data!$S$2:$S$1201,$B40,Data!$AQ$2:$AQ$1201,1)=0,"",SUMIFS(Data!$P$2:$P$1201,Data!$S$2:$S$1201,$B40,Data!$AQ$2:$AQ$1201,1)-$B40))</f>
        <v/>
      </c>
      <c r="G40" s="53" t="str">
        <f t="shared" si="1"/>
        <v/>
      </c>
      <c r="H40" s="53" t="str">
        <f t="shared" si="2"/>
        <v/>
      </c>
      <c r="I40" s="45" t="str">
        <f t="shared" si="3"/>
        <v/>
      </c>
      <c r="J40" s="47" t="str">
        <f>IF($B40="","",COUNTIFS(Data!$S$2:$S$1201,$B40,Data!$E$2:$E$1201,"timed"))</f>
        <v/>
      </c>
      <c r="K40" s="47" t="str">
        <f>IF($B40="","",SUMIFS(Data!$AG$2:$AG$1201,Data!$S$2:$S$1201,$B40))</f>
        <v/>
      </c>
      <c r="L40" s="45" t="str">
        <f>IF(OR($B40="",$D40=0),"",SUMIFS(Data!$N$2:$N$1201,Data!$S$2:$S$1201,$B40,Data!$AI$2:$AI$1201,1)/60/$D40)</f>
        <v/>
      </c>
      <c r="M40" s="49" t="str">
        <f>IF($B40="","",SUMIFS(Data!$AL$2:$AL$1201,Data!$S$2:$S$1201,$B40))</f>
        <v/>
      </c>
      <c r="Z40" t="str">
        <f>IFERROR(INDEX(Data!$S$2:$S$1201,MATCH(33,Data!$Y$2:$Y$1201,0)),"")</f>
        <v/>
      </c>
    </row>
    <row r="41" spans="2:26" x14ac:dyDescent="0.25">
      <c r="B41" s="51" t="str">
        <f>IFERROR(SMALL(Rhythm!$Z$8:$Z$207,32),"")</f>
        <v/>
      </c>
      <c r="C41" s="42" t="str">
        <f t="shared" si="0"/>
        <v/>
      </c>
      <c r="D41" s="44" t="str">
        <f>IF($B41="","",SUMIFS(Data!$N$2:$N$1201,Data!$S$2:$S$1201,$B41)/60)</f>
        <v/>
      </c>
      <c r="E41" s="52" t="str">
        <f>IF($B41="","",IF(SUMIFS(Data!$O$2:$O$1201,Data!$S$2:$S$1201,$B41,Data!$AP$2:$AP$1201,1)=0,"",SUMIFS(Data!$O$2:$O$1201,Data!$S$2:$S$1201,$B41,Data!$AP$2:$AP$1201,1)-$B41))</f>
        <v/>
      </c>
      <c r="F41" s="52" t="str">
        <f>IF($B41="","",IF(SUMIFS(Data!$P$2:$P$1201,Data!$S$2:$S$1201,$B41,Data!$AQ$2:$AQ$1201,1)=0,"",SUMIFS(Data!$P$2:$P$1201,Data!$S$2:$S$1201,$B41,Data!$AQ$2:$AQ$1201,1)-$B41))</f>
        <v/>
      </c>
      <c r="G41" s="53" t="str">
        <f t="shared" si="1"/>
        <v/>
      </c>
      <c r="H41" s="53" t="str">
        <f t="shared" si="2"/>
        <v/>
      </c>
      <c r="I41" s="45" t="str">
        <f t="shared" si="3"/>
        <v/>
      </c>
      <c r="J41" s="47" t="str">
        <f>IF($B41="","",COUNTIFS(Data!$S$2:$S$1201,$B41,Data!$E$2:$E$1201,"timed"))</f>
        <v/>
      </c>
      <c r="K41" s="47" t="str">
        <f>IF($B41="","",SUMIFS(Data!$AG$2:$AG$1201,Data!$S$2:$S$1201,$B41))</f>
        <v/>
      </c>
      <c r="L41" s="45" t="str">
        <f>IF(OR($B41="",$D41=0),"",SUMIFS(Data!$N$2:$N$1201,Data!$S$2:$S$1201,$B41,Data!$AI$2:$AI$1201,1)/60/$D41)</f>
        <v/>
      </c>
      <c r="M41" s="49" t="str">
        <f>IF($B41="","",SUMIFS(Data!$AL$2:$AL$1201,Data!$S$2:$S$1201,$B41))</f>
        <v/>
      </c>
      <c r="Z41" t="str">
        <f>IFERROR(INDEX(Data!$S$2:$S$1201,MATCH(34,Data!$Y$2:$Y$1201,0)),"")</f>
        <v/>
      </c>
    </row>
    <row r="42" spans="2:26" x14ac:dyDescent="0.25">
      <c r="B42" s="51" t="str">
        <f>IFERROR(SMALL(Rhythm!$Z$8:$Z$207,33),"")</f>
        <v/>
      </c>
      <c r="C42" s="42" t="str">
        <f t="shared" ref="C42:C73" si="4">IF($B42="","",TEXT($B42,"ddd"))</f>
        <v/>
      </c>
      <c r="D42" s="44" t="str">
        <f>IF($B42="","",SUMIFS(Data!$N$2:$N$1201,Data!$S$2:$S$1201,$B42)/60)</f>
        <v/>
      </c>
      <c r="E42" s="52" t="str">
        <f>IF($B42="","",IF(SUMIFS(Data!$O$2:$O$1201,Data!$S$2:$S$1201,$B42,Data!$AP$2:$AP$1201,1)=0,"",SUMIFS(Data!$O$2:$O$1201,Data!$S$2:$S$1201,$B42,Data!$AP$2:$AP$1201,1)-$B42))</f>
        <v/>
      </c>
      <c r="F42" s="52" t="str">
        <f>IF($B42="","",IF(SUMIFS(Data!$P$2:$P$1201,Data!$S$2:$S$1201,$B42,Data!$AQ$2:$AQ$1201,1)=0,"",SUMIFS(Data!$P$2:$P$1201,Data!$S$2:$S$1201,$B42,Data!$AQ$2:$AQ$1201,1)-$B42))</f>
        <v/>
      </c>
      <c r="G42" s="53" t="str">
        <f t="shared" ref="G42:G73" si="5">IF($B42="","",MAX($D42,IF(OR($E42="",$F42="",$F42&lt;=$E42),0,($F42-$E42)*24)))</f>
        <v/>
      </c>
      <c r="H42" s="53" t="str">
        <f t="shared" ref="H42:H73" si="6">IF($G42="","",$G42-$D42)</f>
        <v/>
      </c>
      <c r="I42" s="45" t="str">
        <f t="shared" ref="I42:I73" si="7">IF(OR($G42="",$G42=0),"",$D42/$G42)</f>
        <v/>
      </c>
      <c r="J42" s="47" t="str">
        <f>IF($B42="","",COUNTIFS(Data!$S$2:$S$1201,$B42,Data!$E$2:$E$1201,"timed"))</f>
        <v/>
      </c>
      <c r="K42" s="47" t="str">
        <f>IF($B42="","",SUMIFS(Data!$AG$2:$AG$1201,Data!$S$2:$S$1201,$B42))</f>
        <v/>
      </c>
      <c r="L42" s="45" t="str">
        <f>IF(OR($B42="",$D42=0),"",SUMIFS(Data!$N$2:$N$1201,Data!$S$2:$S$1201,$B42,Data!$AI$2:$AI$1201,1)/60/$D42)</f>
        <v/>
      </c>
      <c r="M42" s="49" t="str">
        <f>IF($B42="","",SUMIFS(Data!$AL$2:$AL$1201,Data!$S$2:$S$1201,$B42))</f>
        <v/>
      </c>
      <c r="Z42" t="str">
        <f>IFERROR(INDEX(Data!$S$2:$S$1201,MATCH(35,Data!$Y$2:$Y$1201,0)),"")</f>
        <v/>
      </c>
    </row>
    <row r="43" spans="2:26" x14ac:dyDescent="0.25">
      <c r="B43" s="51" t="str">
        <f>IFERROR(SMALL(Rhythm!$Z$8:$Z$207,34),"")</f>
        <v/>
      </c>
      <c r="C43" s="42" t="str">
        <f t="shared" si="4"/>
        <v/>
      </c>
      <c r="D43" s="44" t="str">
        <f>IF($B43="","",SUMIFS(Data!$N$2:$N$1201,Data!$S$2:$S$1201,$B43)/60)</f>
        <v/>
      </c>
      <c r="E43" s="52" t="str">
        <f>IF($B43="","",IF(SUMIFS(Data!$O$2:$O$1201,Data!$S$2:$S$1201,$B43,Data!$AP$2:$AP$1201,1)=0,"",SUMIFS(Data!$O$2:$O$1201,Data!$S$2:$S$1201,$B43,Data!$AP$2:$AP$1201,1)-$B43))</f>
        <v/>
      </c>
      <c r="F43" s="52" t="str">
        <f>IF($B43="","",IF(SUMIFS(Data!$P$2:$P$1201,Data!$S$2:$S$1201,$B43,Data!$AQ$2:$AQ$1201,1)=0,"",SUMIFS(Data!$P$2:$P$1201,Data!$S$2:$S$1201,$B43,Data!$AQ$2:$AQ$1201,1)-$B43))</f>
        <v/>
      </c>
      <c r="G43" s="53" t="str">
        <f t="shared" si="5"/>
        <v/>
      </c>
      <c r="H43" s="53" t="str">
        <f t="shared" si="6"/>
        <v/>
      </c>
      <c r="I43" s="45" t="str">
        <f t="shared" si="7"/>
        <v/>
      </c>
      <c r="J43" s="47" t="str">
        <f>IF($B43="","",COUNTIFS(Data!$S$2:$S$1201,$B43,Data!$E$2:$E$1201,"timed"))</f>
        <v/>
      </c>
      <c r="K43" s="47" t="str">
        <f>IF($B43="","",SUMIFS(Data!$AG$2:$AG$1201,Data!$S$2:$S$1201,$B43))</f>
        <v/>
      </c>
      <c r="L43" s="45" t="str">
        <f>IF(OR($B43="",$D43=0),"",SUMIFS(Data!$N$2:$N$1201,Data!$S$2:$S$1201,$B43,Data!$AI$2:$AI$1201,1)/60/$D43)</f>
        <v/>
      </c>
      <c r="M43" s="49" t="str">
        <f>IF($B43="","",SUMIFS(Data!$AL$2:$AL$1201,Data!$S$2:$S$1201,$B43))</f>
        <v/>
      </c>
      <c r="Z43" t="str">
        <f>IFERROR(INDEX(Data!$S$2:$S$1201,MATCH(36,Data!$Y$2:$Y$1201,0)),"")</f>
        <v/>
      </c>
    </row>
    <row r="44" spans="2:26" x14ac:dyDescent="0.25">
      <c r="B44" s="51" t="str">
        <f>IFERROR(SMALL(Rhythm!$Z$8:$Z$207,35),"")</f>
        <v/>
      </c>
      <c r="C44" s="42" t="str">
        <f t="shared" si="4"/>
        <v/>
      </c>
      <c r="D44" s="44" t="str">
        <f>IF($B44="","",SUMIFS(Data!$N$2:$N$1201,Data!$S$2:$S$1201,$B44)/60)</f>
        <v/>
      </c>
      <c r="E44" s="52" t="str">
        <f>IF($B44="","",IF(SUMIFS(Data!$O$2:$O$1201,Data!$S$2:$S$1201,$B44,Data!$AP$2:$AP$1201,1)=0,"",SUMIFS(Data!$O$2:$O$1201,Data!$S$2:$S$1201,$B44,Data!$AP$2:$AP$1201,1)-$B44))</f>
        <v/>
      </c>
      <c r="F44" s="52" t="str">
        <f>IF($B44="","",IF(SUMIFS(Data!$P$2:$P$1201,Data!$S$2:$S$1201,$B44,Data!$AQ$2:$AQ$1201,1)=0,"",SUMIFS(Data!$P$2:$P$1201,Data!$S$2:$S$1201,$B44,Data!$AQ$2:$AQ$1201,1)-$B44))</f>
        <v/>
      </c>
      <c r="G44" s="53" t="str">
        <f t="shared" si="5"/>
        <v/>
      </c>
      <c r="H44" s="53" t="str">
        <f t="shared" si="6"/>
        <v/>
      </c>
      <c r="I44" s="45" t="str">
        <f t="shared" si="7"/>
        <v/>
      </c>
      <c r="J44" s="47" t="str">
        <f>IF($B44="","",COUNTIFS(Data!$S$2:$S$1201,$B44,Data!$E$2:$E$1201,"timed"))</f>
        <v/>
      </c>
      <c r="K44" s="47" t="str">
        <f>IF($B44="","",SUMIFS(Data!$AG$2:$AG$1201,Data!$S$2:$S$1201,$B44))</f>
        <v/>
      </c>
      <c r="L44" s="45" t="str">
        <f>IF(OR($B44="",$D44=0),"",SUMIFS(Data!$N$2:$N$1201,Data!$S$2:$S$1201,$B44,Data!$AI$2:$AI$1201,1)/60/$D44)</f>
        <v/>
      </c>
      <c r="M44" s="49" t="str">
        <f>IF($B44="","",SUMIFS(Data!$AL$2:$AL$1201,Data!$S$2:$S$1201,$B44))</f>
        <v/>
      </c>
      <c r="Z44" t="str">
        <f>IFERROR(INDEX(Data!$S$2:$S$1201,MATCH(37,Data!$Y$2:$Y$1201,0)),"")</f>
        <v/>
      </c>
    </row>
    <row r="45" spans="2:26" x14ac:dyDescent="0.25">
      <c r="B45" s="51" t="str">
        <f>IFERROR(SMALL(Rhythm!$Z$8:$Z$207,36),"")</f>
        <v/>
      </c>
      <c r="C45" s="42" t="str">
        <f t="shared" si="4"/>
        <v/>
      </c>
      <c r="D45" s="44" t="str">
        <f>IF($B45="","",SUMIFS(Data!$N$2:$N$1201,Data!$S$2:$S$1201,$B45)/60)</f>
        <v/>
      </c>
      <c r="E45" s="52" t="str">
        <f>IF($B45="","",IF(SUMIFS(Data!$O$2:$O$1201,Data!$S$2:$S$1201,$B45,Data!$AP$2:$AP$1201,1)=0,"",SUMIFS(Data!$O$2:$O$1201,Data!$S$2:$S$1201,$B45,Data!$AP$2:$AP$1201,1)-$B45))</f>
        <v/>
      </c>
      <c r="F45" s="52" t="str">
        <f>IF($B45="","",IF(SUMIFS(Data!$P$2:$P$1201,Data!$S$2:$S$1201,$B45,Data!$AQ$2:$AQ$1201,1)=0,"",SUMIFS(Data!$P$2:$P$1201,Data!$S$2:$S$1201,$B45,Data!$AQ$2:$AQ$1201,1)-$B45))</f>
        <v/>
      </c>
      <c r="G45" s="53" t="str">
        <f t="shared" si="5"/>
        <v/>
      </c>
      <c r="H45" s="53" t="str">
        <f t="shared" si="6"/>
        <v/>
      </c>
      <c r="I45" s="45" t="str">
        <f t="shared" si="7"/>
        <v/>
      </c>
      <c r="J45" s="47" t="str">
        <f>IF($B45="","",COUNTIFS(Data!$S$2:$S$1201,$B45,Data!$E$2:$E$1201,"timed"))</f>
        <v/>
      </c>
      <c r="K45" s="47" t="str">
        <f>IF($B45="","",SUMIFS(Data!$AG$2:$AG$1201,Data!$S$2:$S$1201,$B45))</f>
        <v/>
      </c>
      <c r="L45" s="45" t="str">
        <f>IF(OR($B45="",$D45=0),"",SUMIFS(Data!$N$2:$N$1201,Data!$S$2:$S$1201,$B45,Data!$AI$2:$AI$1201,1)/60/$D45)</f>
        <v/>
      </c>
      <c r="M45" s="49" t="str">
        <f>IF($B45="","",SUMIFS(Data!$AL$2:$AL$1201,Data!$S$2:$S$1201,$B45))</f>
        <v/>
      </c>
      <c r="Z45" t="str">
        <f>IFERROR(INDEX(Data!$S$2:$S$1201,MATCH(38,Data!$Y$2:$Y$1201,0)),"")</f>
        <v/>
      </c>
    </row>
    <row r="46" spans="2:26" x14ac:dyDescent="0.25">
      <c r="B46" s="51" t="str">
        <f>IFERROR(SMALL(Rhythm!$Z$8:$Z$207,37),"")</f>
        <v/>
      </c>
      <c r="C46" s="42" t="str">
        <f t="shared" si="4"/>
        <v/>
      </c>
      <c r="D46" s="44" t="str">
        <f>IF($B46="","",SUMIFS(Data!$N$2:$N$1201,Data!$S$2:$S$1201,$B46)/60)</f>
        <v/>
      </c>
      <c r="E46" s="52" t="str">
        <f>IF($B46="","",IF(SUMIFS(Data!$O$2:$O$1201,Data!$S$2:$S$1201,$B46,Data!$AP$2:$AP$1201,1)=0,"",SUMIFS(Data!$O$2:$O$1201,Data!$S$2:$S$1201,$B46,Data!$AP$2:$AP$1201,1)-$B46))</f>
        <v/>
      </c>
      <c r="F46" s="52" t="str">
        <f>IF($B46="","",IF(SUMIFS(Data!$P$2:$P$1201,Data!$S$2:$S$1201,$B46,Data!$AQ$2:$AQ$1201,1)=0,"",SUMIFS(Data!$P$2:$P$1201,Data!$S$2:$S$1201,$B46,Data!$AQ$2:$AQ$1201,1)-$B46))</f>
        <v/>
      </c>
      <c r="G46" s="53" t="str">
        <f t="shared" si="5"/>
        <v/>
      </c>
      <c r="H46" s="53" t="str">
        <f t="shared" si="6"/>
        <v/>
      </c>
      <c r="I46" s="45" t="str">
        <f t="shared" si="7"/>
        <v/>
      </c>
      <c r="J46" s="47" t="str">
        <f>IF($B46="","",COUNTIFS(Data!$S$2:$S$1201,$B46,Data!$E$2:$E$1201,"timed"))</f>
        <v/>
      </c>
      <c r="K46" s="47" t="str">
        <f>IF($B46="","",SUMIFS(Data!$AG$2:$AG$1201,Data!$S$2:$S$1201,$B46))</f>
        <v/>
      </c>
      <c r="L46" s="45" t="str">
        <f>IF(OR($B46="",$D46=0),"",SUMIFS(Data!$N$2:$N$1201,Data!$S$2:$S$1201,$B46,Data!$AI$2:$AI$1201,1)/60/$D46)</f>
        <v/>
      </c>
      <c r="M46" s="49" t="str">
        <f>IF($B46="","",SUMIFS(Data!$AL$2:$AL$1201,Data!$S$2:$S$1201,$B46))</f>
        <v/>
      </c>
      <c r="Z46" t="str">
        <f>IFERROR(INDEX(Data!$S$2:$S$1201,MATCH(39,Data!$Y$2:$Y$1201,0)),"")</f>
        <v/>
      </c>
    </row>
    <row r="47" spans="2:26" x14ac:dyDescent="0.25">
      <c r="B47" s="51" t="str">
        <f>IFERROR(SMALL(Rhythm!$Z$8:$Z$207,38),"")</f>
        <v/>
      </c>
      <c r="C47" s="42" t="str">
        <f t="shared" si="4"/>
        <v/>
      </c>
      <c r="D47" s="44" t="str">
        <f>IF($B47="","",SUMIFS(Data!$N$2:$N$1201,Data!$S$2:$S$1201,$B47)/60)</f>
        <v/>
      </c>
      <c r="E47" s="52" t="str">
        <f>IF($B47="","",IF(SUMIFS(Data!$O$2:$O$1201,Data!$S$2:$S$1201,$B47,Data!$AP$2:$AP$1201,1)=0,"",SUMIFS(Data!$O$2:$O$1201,Data!$S$2:$S$1201,$B47,Data!$AP$2:$AP$1201,1)-$B47))</f>
        <v/>
      </c>
      <c r="F47" s="52" t="str">
        <f>IF($B47="","",IF(SUMIFS(Data!$P$2:$P$1201,Data!$S$2:$S$1201,$B47,Data!$AQ$2:$AQ$1201,1)=0,"",SUMIFS(Data!$P$2:$P$1201,Data!$S$2:$S$1201,$B47,Data!$AQ$2:$AQ$1201,1)-$B47))</f>
        <v/>
      </c>
      <c r="G47" s="53" t="str">
        <f t="shared" si="5"/>
        <v/>
      </c>
      <c r="H47" s="53" t="str">
        <f t="shared" si="6"/>
        <v/>
      </c>
      <c r="I47" s="45" t="str">
        <f t="shared" si="7"/>
        <v/>
      </c>
      <c r="J47" s="47" t="str">
        <f>IF($B47="","",COUNTIFS(Data!$S$2:$S$1201,$B47,Data!$E$2:$E$1201,"timed"))</f>
        <v/>
      </c>
      <c r="K47" s="47" t="str">
        <f>IF($B47="","",SUMIFS(Data!$AG$2:$AG$1201,Data!$S$2:$S$1201,$B47))</f>
        <v/>
      </c>
      <c r="L47" s="45" t="str">
        <f>IF(OR($B47="",$D47=0),"",SUMIFS(Data!$N$2:$N$1201,Data!$S$2:$S$1201,$B47,Data!$AI$2:$AI$1201,1)/60/$D47)</f>
        <v/>
      </c>
      <c r="M47" s="49" t="str">
        <f>IF($B47="","",SUMIFS(Data!$AL$2:$AL$1201,Data!$S$2:$S$1201,$B47))</f>
        <v/>
      </c>
      <c r="Z47" t="str">
        <f>IFERROR(INDEX(Data!$S$2:$S$1201,MATCH(40,Data!$Y$2:$Y$1201,0)),"")</f>
        <v/>
      </c>
    </row>
    <row r="48" spans="2:26" x14ac:dyDescent="0.25">
      <c r="B48" s="51" t="str">
        <f>IFERROR(SMALL(Rhythm!$Z$8:$Z$207,39),"")</f>
        <v/>
      </c>
      <c r="C48" s="42" t="str">
        <f t="shared" si="4"/>
        <v/>
      </c>
      <c r="D48" s="44" t="str">
        <f>IF($B48="","",SUMIFS(Data!$N$2:$N$1201,Data!$S$2:$S$1201,$B48)/60)</f>
        <v/>
      </c>
      <c r="E48" s="52" t="str">
        <f>IF($B48="","",IF(SUMIFS(Data!$O$2:$O$1201,Data!$S$2:$S$1201,$B48,Data!$AP$2:$AP$1201,1)=0,"",SUMIFS(Data!$O$2:$O$1201,Data!$S$2:$S$1201,$B48,Data!$AP$2:$AP$1201,1)-$B48))</f>
        <v/>
      </c>
      <c r="F48" s="52" t="str">
        <f>IF($B48="","",IF(SUMIFS(Data!$P$2:$P$1201,Data!$S$2:$S$1201,$B48,Data!$AQ$2:$AQ$1201,1)=0,"",SUMIFS(Data!$P$2:$P$1201,Data!$S$2:$S$1201,$B48,Data!$AQ$2:$AQ$1201,1)-$B48))</f>
        <v/>
      </c>
      <c r="G48" s="53" t="str">
        <f t="shared" si="5"/>
        <v/>
      </c>
      <c r="H48" s="53" t="str">
        <f t="shared" si="6"/>
        <v/>
      </c>
      <c r="I48" s="45" t="str">
        <f t="shared" si="7"/>
        <v/>
      </c>
      <c r="J48" s="47" t="str">
        <f>IF($B48="","",COUNTIFS(Data!$S$2:$S$1201,$B48,Data!$E$2:$E$1201,"timed"))</f>
        <v/>
      </c>
      <c r="K48" s="47" t="str">
        <f>IF($B48="","",SUMIFS(Data!$AG$2:$AG$1201,Data!$S$2:$S$1201,$B48))</f>
        <v/>
      </c>
      <c r="L48" s="45" t="str">
        <f>IF(OR($B48="",$D48=0),"",SUMIFS(Data!$N$2:$N$1201,Data!$S$2:$S$1201,$B48,Data!$AI$2:$AI$1201,1)/60/$D48)</f>
        <v/>
      </c>
      <c r="M48" s="49" t="str">
        <f>IF($B48="","",SUMIFS(Data!$AL$2:$AL$1201,Data!$S$2:$S$1201,$B48))</f>
        <v/>
      </c>
      <c r="Z48" t="str">
        <f>IFERROR(INDEX(Data!$S$2:$S$1201,MATCH(41,Data!$Y$2:$Y$1201,0)),"")</f>
        <v/>
      </c>
    </row>
    <row r="49" spans="2:26" x14ac:dyDescent="0.25">
      <c r="B49" s="51" t="str">
        <f>IFERROR(SMALL(Rhythm!$Z$8:$Z$207,40),"")</f>
        <v/>
      </c>
      <c r="C49" s="42" t="str">
        <f t="shared" si="4"/>
        <v/>
      </c>
      <c r="D49" s="44" t="str">
        <f>IF($B49="","",SUMIFS(Data!$N$2:$N$1201,Data!$S$2:$S$1201,$B49)/60)</f>
        <v/>
      </c>
      <c r="E49" s="52" t="str">
        <f>IF($B49="","",IF(SUMIFS(Data!$O$2:$O$1201,Data!$S$2:$S$1201,$B49,Data!$AP$2:$AP$1201,1)=0,"",SUMIFS(Data!$O$2:$O$1201,Data!$S$2:$S$1201,$B49,Data!$AP$2:$AP$1201,1)-$B49))</f>
        <v/>
      </c>
      <c r="F49" s="52" t="str">
        <f>IF($B49="","",IF(SUMIFS(Data!$P$2:$P$1201,Data!$S$2:$S$1201,$B49,Data!$AQ$2:$AQ$1201,1)=0,"",SUMIFS(Data!$P$2:$P$1201,Data!$S$2:$S$1201,$B49,Data!$AQ$2:$AQ$1201,1)-$B49))</f>
        <v/>
      </c>
      <c r="G49" s="53" t="str">
        <f t="shared" si="5"/>
        <v/>
      </c>
      <c r="H49" s="53" t="str">
        <f t="shared" si="6"/>
        <v/>
      </c>
      <c r="I49" s="45" t="str">
        <f t="shared" si="7"/>
        <v/>
      </c>
      <c r="J49" s="47" t="str">
        <f>IF($B49="","",COUNTIFS(Data!$S$2:$S$1201,$B49,Data!$E$2:$E$1201,"timed"))</f>
        <v/>
      </c>
      <c r="K49" s="47" t="str">
        <f>IF($B49="","",SUMIFS(Data!$AG$2:$AG$1201,Data!$S$2:$S$1201,$B49))</f>
        <v/>
      </c>
      <c r="L49" s="45" t="str">
        <f>IF(OR($B49="",$D49=0),"",SUMIFS(Data!$N$2:$N$1201,Data!$S$2:$S$1201,$B49,Data!$AI$2:$AI$1201,1)/60/$D49)</f>
        <v/>
      </c>
      <c r="M49" s="49" t="str">
        <f>IF($B49="","",SUMIFS(Data!$AL$2:$AL$1201,Data!$S$2:$S$1201,$B49))</f>
        <v/>
      </c>
      <c r="Z49" t="str">
        <f>IFERROR(INDEX(Data!$S$2:$S$1201,MATCH(42,Data!$Y$2:$Y$1201,0)),"")</f>
        <v/>
      </c>
    </row>
    <row r="50" spans="2:26" x14ac:dyDescent="0.25">
      <c r="B50" s="51" t="str">
        <f>IFERROR(SMALL(Rhythm!$Z$8:$Z$207,41),"")</f>
        <v/>
      </c>
      <c r="C50" s="42" t="str">
        <f t="shared" si="4"/>
        <v/>
      </c>
      <c r="D50" s="44" t="str">
        <f>IF($B50="","",SUMIFS(Data!$N$2:$N$1201,Data!$S$2:$S$1201,$B50)/60)</f>
        <v/>
      </c>
      <c r="E50" s="52" t="str">
        <f>IF($B50="","",IF(SUMIFS(Data!$O$2:$O$1201,Data!$S$2:$S$1201,$B50,Data!$AP$2:$AP$1201,1)=0,"",SUMIFS(Data!$O$2:$O$1201,Data!$S$2:$S$1201,$B50,Data!$AP$2:$AP$1201,1)-$B50))</f>
        <v/>
      </c>
      <c r="F50" s="52" t="str">
        <f>IF($B50="","",IF(SUMIFS(Data!$P$2:$P$1201,Data!$S$2:$S$1201,$B50,Data!$AQ$2:$AQ$1201,1)=0,"",SUMIFS(Data!$P$2:$P$1201,Data!$S$2:$S$1201,$B50,Data!$AQ$2:$AQ$1201,1)-$B50))</f>
        <v/>
      </c>
      <c r="G50" s="53" t="str">
        <f t="shared" si="5"/>
        <v/>
      </c>
      <c r="H50" s="53" t="str">
        <f t="shared" si="6"/>
        <v/>
      </c>
      <c r="I50" s="45" t="str">
        <f t="shared" si="7"/>
        <v/>
      </c>
      <c r="J50" s="47" t="str">
        <f>IF($B50="","",COUNTIFS(Data!$S$2:$S$1201,$B50,Data!$E$2:$E$1201,"timed"))</f>
        <v/>
      </c>
      <c r="K50" s="47" t="str">
        <f>IF($B50="","",SUMIFS(Data!$AG$2:$AG$1201,Data!$S$2:$S$1201,$B50))</f>
        <v/>
      </c>
      <c r="L50" s="45" t="str">
        <f>IF(OR($B50="",$D50=0),"",SUMIFS(Data!$N$2:$N$1201,Data!$S$2:$S$1201,$B50,Data!$AI$2:$AI$1201,1)/60/$D50)</f>
        <v/>
      </c>
      <c r="M50" s="49" t="str">
        <f>IF($B50="","",SUMIFS(Data!$AL$2:$AL$1201,Data!$S$2:$S$1201,$B50))</f>
        <v/>
      </c>
      <c r="Z50" t="str">
        <f>IFERROR(INDEX(Data!$S$2:$S$1201,MATCH(43,Data!$Y$2:$Y$1201,0)),"")</f>
        <v/>
      </c>
    </row>
    <row r="51" spans="2:26" x14ac:dyDescent="0.25">
      <c r="B51" s="51" t="str">
        <f>IFERROR(SMALL(Rhythm!$Z$8:$Z$207,42),"")</f>
        <v/>
      </c>
      <c r="C51" s="42" t="str">
        <f t="shared" si="4"/>
        <v/>
      </c>
      <c r="D51" s="44" t="str">
        <f>IF($B51="","",SUMIFS(Data!$N$2:$N$1201,Data!$S$2:$S$1201,$B51)/60)</f>
        <v/>
      </c>
      <c r="E51" s="52" t="str">
        <f>IF($B51="","",IF(SUMIFS(Data!$O$2:$O$1201,Data!$S$2:$S$1201,$B51,Data!$AP$2:$AP$1201,1)=0,"",SUMIFS(Data!$O$2:$O$1201,Data!$S$2:$S$1201,$B51,Data!$AP$2:$AP$1201,1)-$B51))</f>
        <v/>
      </c>
      <c r="F51" s="52" t="str">
        <f>IF($B51="","",IF(SUMIFS(Data!$P$2:$P$1201,Data!$S$2:$S$1201,$B51,Data!$AQ$2:$AQ$1201,1)=0,"",SUMIFS(Data!$P$2:$P$1201,Data!$S$2:$S$1201,$B51,Data!$AQ$2:$AQ$1201,1)-$B51))</f>
        <v/>
      </c>
      <c r="G51" s="53" t="str">
        <f t="shared" si="5"/>
        <v/>
      </c>
      <c r="H51" s="53" t="str">
        <f t="shared" si="6"/>
        <v/>
      </c>
      <c r="I51" s="45" t="str">
        <f t="shared" si="7"/>
        <v/>
      </c>
      <c r="J51" s="47" t="str">
        <f>IF($B51="","",COUNTIFS(Data!$S$2:$S$1201,$B51,Data!$E$2:$E$1201,"timed"))</f>
        <v/>
      </c>
      <c r="K51" s="47" t="str">
        <f>IF($B51="","",SUMIFS(Data!$AG$2:$AG$1201,Data!$S$2:$S$1201,$B51))</f>
        <v/>
      </c>
      <c r="L51" s="45" t="str">
        <f>IF(OR($B51="",$D51=0),"",SUMIFS(Data!$N$2:$N$1201,Data!$S$2:$S$1201,$B51,Data!$AI$2:$AI$1201,1)/60/$D51)</f>
        <v/>
      </c>
      <c r="M51" s="49" t="str">
        <f>IF($B51="","",SUMIFS(Data!$AL$2:$AL$1201,Data!$S$2:$S$1201,$B51))</f>
        <v/>
      </c>
      <c r="Z51" t="str">
        <f>IFERROR(INDEX(Data!$S$2:$S$1201,MATCH(44,Data!$Y$2:$Y$1201,0)),"")</f>
        <v/>
      </c>
    </row>
    <row r="52" spans="2:26" x14ac:dyDescent="0.25">
      <c r="B52" s="51" t="str">
        <f>IFERROR(SMALL(Rhythm!$Z$8:$Z$207,43),"")</f>
        <v/>
      </c>
      <c r="C52" s="42" t="str">
        <f t="shared" si="4"/>
        <v/>
      </c>
      <c r="D52" s="44" t="str">
        <f>IF($B52="","",SUMIFS(Data!$N$2:$N$1201,Data!$S$2:$S$1201,$B52)/60)</f>
        <v/>
      </c>
      <c r="E52" s="52" t="str">
        <f>IF($B52="","",IF(SUMIFS(Data!$O$2:$O$1201,Data!$S$2:$S$1201,$B52,Data!$AP$2:$AP$1201,1)=0,"",SUMIFS(Data!$O$2:$O$1201,Data!$S$2:$S$1201,$B52,Data!$AP$2:$AP$1201,1)-$B52))</f>
        <v/>
      </c>
      <c r="F52" s="52" t="str">
        <f>IF($B52="","",IF(SUMIFS(Data!$P$2:$P$1201,Data!$S$2:$S$1201,$B52,Data!$AQ$2:$AQ$1201,1)=0,"",SUMIFS(Data!$P$2:$P$1201,Data!$S$2:$S$1201,$B52,Data!$AQ$2:$AQ$1201,1)-$B52))</f>
        <v/>
      </c>
      <c r="G52" s="53" t="str">
        <f t="shared" si="5"/>
        <v/>
      </c>
      <c r="H52" s="53" t="str">
        <f t="shared" si="6"/>
        <v/>
      </c>
      <c r="I52" s="45" t="str">
        <f t="shared" si="7"/>
        <v/>
      </c>
      <c r="J52" s="47" t="str">
        <f>IF($B52="","",COUNTIFS(Data!$S$2:$S$1201,$B52,Data!$E$2:$E$1201,"timed"))</f>
        <v/>
      </c>
      <c r="K52" s="47" t="str">
        <f>IF($B52="","",SUMIFS(Data!$AG$2:$AG$1201,Data!$S$2:$S$1201,$B52))</f>
        <v/>
      </c>
      <c r="L52" s="45" t="str">
        <f>IF(OR($B52="",$D52=0),"",SUMIFS(Data!$N$2:$N$1201,Data!$S$2:$S$1201,$B52,Data!$AI$2:$AI$1201,1)/60/$D52)</f>
        <v/>
      </c>
      <c r="M52" s="49" t="str">
        <f>IF($B52="","",SUMIFS(Data!$AL$2:$AL$1201,Data!$S$2:$S$1201,$B52))</f>
        <v/>
      </c>
      <c r="Z52" t="str">
        <f>IFERROR(INDEX(Data!$S$2:$S$1201,MATCH(45,Data!$Y$2:$Y$1201,0)),"")</f>
        <v/>
      </c>
    </row>
    <row r="53" spans="2:26" x14ac:dyDescent="0.25">
      <c r="B53" s="51" t="str">
        <f>IFERROR(SMALL(Rhythm!$Z$8:$Z$207,44),"")</f>
        <v/>
      </c>
      <c r="C53" s="42" t="str">
        <f t="shared" si="4"/>
        <v/>
      </c>
      <c r="D53" s="44" t="str">
        <f>IF($B53="","",SUMIFS(Data!$N$2:$N$1201,Data!$S$2:$S$1201,$B53)/60)</f>
        <v/>
      </c>
      <c r="E53" s="52" t="str">
        <f>IF($B53="","",IF(SUMIFS(Data!$O$2:$O$1201,Data!$S$2:$S$1201,$B53,Data!$AP$2:$AP$1201,1)=0,"",SUMIFS(Data!$O$2:$O$1201,Data!$S$2:$S$1201,$B53,Data!$AP$2:$AP$1201,1)-$B53))</f>
        <v/>
      </c>
      <c r="F53" s="52" t="str">
        <f>IF($B53="","",IF(SUMIFS(Data!$P$2:$P$1201,Data!$S$2:$S$1201,$B53,Data!$AQ$2:$AQ$1201,1)=0,"",SUMIFS(Data!$P$2:$P$1201,Data!$S$2:$S$1201,$B53,Data!$AQ$2:$AQ$1201,1)-$B53))</f>
        <v/>
      </c>
      <c r="G53" s="53" t="str">
        <f t="shared" si="5"/>
        <v/>
      </c>
      <c r="H53" s="53" t="str">
        <f t="shared" si="6"/>
        <v/>
      </c>
      <c r="I53" s="45" t="str">
        <f t="shared" si="7"/>
        <v/>
      </c>
      <c r="J53" s="47" t="str">
        <f>IF($B53="","",COUNTIFS(Data!$S$2:$S$1201,$B53,Data!$E$2:$E$1201,"timed"))</f>
        <v/>
      </c>
      <c r="K53" s="47" t="str">
        <f>IF($B53="","",SUMIFS(Data!$AG$2:$AG$1201,Data!$S$2:$S$1201,$B53))</f>
        <v/>
      </c>
      <c r="L53" s="45" t="str">
        <f>IF(OR($B53="",$D53=0),"",SUMIFS(Data!$N$2:$N$1201,Data!$S$2:$S$1201,$B53,Data!$AI$2:$AI$1201,1)/60/$D53)</f>
        <v/>
      </c>
      <c r="M53" s="49" t="str">
        <f>IF($B53="","",SUMIFS(Data!$AL$2:$AL$1201,Data!$S$2:$S$1201,$B53))</f>
        <v/>
      </c>
      <c r="Z53" t="str">
        <f>IFERROR(INDEX(Data!$S$2:$S$1201,MATCH(46,Data!$Y$2:$Y$1201,0)),"")</f>
        <v/>
      </c>
    </row>
    <row r="54" spans="2:26" x14ac:dyDescent="0.25">
      <c r="B54" s="51" t="str">
        <f>IFERROR(SMALL(Rhythm!$Z$8:$Z$207,45),"")</f>
        <v/>
      </c>
      <c r="C54" s="42" t="str">
        <f t="shared" si="4"/>
        <v/>
      </c>
      <c r="D54" s="44" t="str">
        <f>IF($B54="","",SUMIFS(Data!$N$2:$N$1201,Data!$S$2:$S$1201,$B54)/60)</f>
        <v/>
      </c>
      <c r="E54" s="52" t="str">
        <f>IF($B54="","",IF(SUMIFS(Data!$O$2:$O$1201,Data!$S$2:$S$1201,$B54,Data!$AP$2:$AP$1201,1)=0,"",SUMIFS(Data!$O$2:$O$1201,Data!$S$2:$S$1201,$B54,Data!$AP$2:$AP$1201,1)-$B54))</f>
        <v/>
      </c>
      <c r="F54" s="52" t="str">
        <f>IF($B54="","",IF(SUMIFS(Data!$P$2:$P$1201,Data!$S$2:$S$1201,$B54,Data!$AQ$2:$AQ$1201,1)=0,"",SUMIFS(Data!$P$2:$P$1201,Data!$S$2:$S$1201,$B54,Data!$AQ$2:$AQ$1201,1)-$B54))</f>
        <v/>
      </c>
      <c r="G54" s="53" t="str">
        <f t="shared" si="5"/>
        <v/>
      </c>
      <c r="H54" s="53" t="str">
        <f t="shared" si="6"/>
        <v/>
      </c>
      <c r="I54" s="45" t="str">
        <f t="shared" si="7"/>
        <v/>
      </c>
      <c r="J54" s="47" t="str">
        <f>IF($B54="","",COUNTIFS(Data!$S$2:$S$1201,$B54,Data!$E$2:$E$1201,"timed"))</f>
        <v/>
      </c>
      <c r="K54" s="47" t="str">
        <f>IF($B54="","",SUMIFS(Data!$AG$2:$AG$1201,Data!$S$2:$S$1201,$B54))</f>
        <v/>
      </c>
      <c r="L54" s="45" t="str">
        <f>IF(OR($B54="",$D54=0),"",SUMIFS(Data!$N$2:$N$1201,Data!$S$2:$S$1201,$B54,Data!$AI$2:$AI$1201,1)/60/$D54)</f>
        <v/>
      </c>
      <c r="M54" s="49" t="str">
        <f>IF($B54="","",SUMIFS(Data!$AL$2:$AL$1201,Data!$S$2:$S$1201,$B54))</f>
        <v/>
      </c>
      <c r="Z54" t="str">
        <f>IFERROR(INDEX(Data!$S$2:$S$1201,MATCH(47,Data!$Y$2:$Y$1201,0)),"")</f>
        <v/>
      </c>
    </row>
    <row r="55" spans="2:26" x14ac:dyDescent="0.25">
      <c r="B55" s="51" t="str">
        <f>IFERROR(SMALL(Rhythm!$Z$8:$Z$207,46),"")</f>
        <v/>
      </c>
      <c r="C55" s="42" t="str">
        <f t="shared" si="4"/>
        <v/>
      </c>
      <c r="D55" s="44" t="str">
        <f>IF($B55="","",SUMIFS(Data!$N$2:$N$1201,Data!$S$2:$S$1201,$B55)/60)</f>
        <v/>
      </c>
      <c r="E55" s="52" t="str">
        <f>IF($B55="","",IF(SUMIFS(Data!$O$2:$O$1201,Data!$S$2:$S$1201,$B55,Data!$AP$2:$AP$1201,1)=0,"",SUMIFS(Data!$O$2:$O$1201,Data!$S$2:$S$1201,$B55,Data!$AP$2:$AP$1201,1)-$B55))</f>
        <v/>
      </c>
      <c r="F55" s="52" t="str">
        <f>IF($B55="","",IF(SUMIFS(Data!$P$2:$P$1201,Data!$S$2:$S$1201,$B55,Data!$AQ$2:$AQ$1201,1)=0,"",SUMIFS(Data!$P$2:$P$1201,Data!$S$2:$S$1201,$B55,Data!$AQ$2:$AQ$1201,1)-$B55))</f>
        <v/>
      </c>
      <c r="G55" s="53" t="str">
        <f t="shared" si="5"/>
        <v/>
      </c>
      <c r="H55" s="53" t="str">
        <f t="shared" si="6"/>
        <v/>
      </c>
      <c r="I55" s="45" t="str">
        <f t="shared" si="7"/>
        <v/>
      </c>
      <c r="J55" s="47" t="str">
        <f>IF($B55="","",COUNTIFS(Data!$S$2:$S$1201,$B55,Data!$E$2:$E$1201,"timed"))</f>
        <v/>
      </c>
      <c r="K55" s="47" t="str">
        <f>IF($B55="","",SUMIFS(Data!$AG$2:$AG$1201,Data!$S$2:$S$1201,$B55))</f>
        <v/>
      </c>
      <c r="L55" s="45" t="str">
        <f>IF(OR($B55="",$D55=0),"",SUMIFS(Data!$N$2:$N$1201,Data!$S$2:$S$1201,$B55,Data!$AI$2:$AI$1201,1)/60/$D55)</f>
        <v/>
      </c>
      <c r="M55" s="49" t="str">
        <f>IF($B55="","",SUMIFS(Data!$AL$2:$AL$1201,Data!$S$2:$S$1201,$B55))</f>
        <v/>
      </c>
      <c r="Z55" t="str">
        <f>IFERROR(INDEX(Data!$S$2:$S$1201,MATCH(48,Data!$Y$2:$Y$1201,0)),"")</f>
        <v/>
      </c>
    </row>
    <row r="56" spans="2:26" x14ac:dyDescent="0.25">
      <c r="B56" s="51" t="str">
        <f>IFERROR(SMALL(Rhythm!$Z$8:$Z$207,47),"")</f>
        <v/>
      </c>
      <c r="C56" s="42" t="str">
        <f t="shared" si="4"/>
        <v/>
      </c>
      <c r="D56" s="44" t="str">
        <f>IF($B56="","",SUMIFS(Data!$N$2:$N$1201,Data!$S$2:$S$1201,$B56)/60)</f>
        <v/>
      </c>
      <c r="E56" s="52" t="str">
        <f>IF($B56="","",IF(SUMIFS(Data!$O$2:$O$1201,Data!$S$2:$S$1201,$B56,Data!$AP$2:$AP$1201,1)=0,"",SUMIFS(Data!$O$2:$O$1201,Data!$S$2:$S$1201,$B56,Data!$AP$2:$AP$1201,1)-$B56))</f>
        <v/>
      </c>
      <c r="F56" s="52" t="str">
        <f>IF($B56="","",IF(SUMIFS(Data!$P$2:$P$1201,Data!$S$2:$S$1201,$B56,Data!$AQ$2:$AQ$1201,1)=0,"",SUMIFS(Data!$P$2:$P$1201,Data!$S$2:$S$1201,$B56,Data!$AQ$2:$AQ$1201,1)-$B56))</f>
        <v/>
      </c>
      <c r="G56" s="53" t="str">
        <f t="shared" si="5"/>
        <v/>
      </c>
      <c r="H56" s="53" t="str">
        <f t="shared" si="6"/>
        <v/>
      </c>
      <c r="I56" s="45" t="str">
        <f t="shared" si="7"/>
        <v/>
      </c>
      <c r="J56" s="47" t="str">
        <f>IF($B56="","",COUNTIFS(Data!$S$2:$S$1201,$B56,Data!$E$2:$E$1201,"timed"))</f>
        <v/>
      </c>
      <c r="K56" s="47" t="str">
        <f>IF($B56="","",SUMIFS(Data!$AG$2:$AG$1201,Data!$S$2:$S$1201,$B56))</f>
        <v/>
      </c>
      <c r="L56" s="45" t="str">
        <f>IF(OR($B56="",$D56=0),"",SUMIFS(Data!$N$2:$N$1201,Data!$S$2:$S$1201,$B56,Data!$AI$2:$AI$1201,1)/60/$D56)</f>
        <v/>
      </c>
      <c r="M56" s="49" t="str">
        <f>IF($B56="","",SUMIFS(Data!$AL$2:$AL$1201,Data!$S$2:$S$1201,$B56))</f>
        <v/>
      </c>
      <c r="Z56" t="str">
        <f>IFERROR(INDEX(Data!$S$2:$S$1201,MATCH(49,Data!$Y$2:$Y$1201,0)),"")</f>
        <v/>
      </c>
    </row>
    <row r="57" spans="2:26" x14ac:dyDescent="0.25">
      <c r="B57" s="51" t="str">
        <f>IFERROR(SMALL(Rhythm!$Z$8:$Z$207,48),"")</f>
        <v/>
      </c>
      <c r="C57" s="42" t="str">
        <f t="shared" si="4"/>
        <v/>
      </c>
      <c r="D57" s="44" t="str">
        <f>IF($B57="","",SUMIFS(Data!$N$2:$N$1201,Data!$S$2:$S$1201,$B57)/60)</f>
        <v/>
      </c>
      <c r="E57" s="52" t="str">
        <f>IF($B57="","",IF(SUMIFS(Data!$O$2:$O$1201,Data!$S$2:$S$1201,$B57,Data!$AP$2:$AP$1201,1)=0,"",SUMIFS(Data!$O$2:$O$1201,Data!$S$2:$S$1201,$B57,Data!$AP$2:$AP$1201,1)-$B57))</f>
        <v/>
      </c>
      <c r="F57" s="52" t="str">
        <f>IF($B57="","",IF(SUMIFS(Data!$P$2:$P$1201,Data!$S$2:$S$1201,$B57,Data!$AQ$2:$AQ$1201,1)=0,"",SUMIFS(Data!$P$2:$P$1201,Data!$S$2:$S$1201,$B57,Data!$AQ$2:$AQ$1201,1)-$B57))</f>
        <v/>
      </c>
      <c r="G57" s="53" t="str">
        <f t="shared" si="5"/>
        <v/>
      </c>
      <c r="H57" s="53" t="str">
        <f t="shared" si="6"/>
        <v/>
      </c>
      <c r="I57" s="45" t="str">
        <f t="shared" si="7"/>
        <v/>
      </c>
      <c r="J57" s="47" t="str">
        <f>IF($B57="","",COUNTIFS(Data!$S$2:$S$1201,$B57,Data!$E$2:$E$1201,"timed"))</f>
        <v/>
      </c>
      <c r="K57" s="47" t="str">
        <f>IF($B57="","",SUMIFS(Data!$AG$2:$AG$1201,Data!$S$2:$S$1201,$B57))</f>
        <v/>
      </c>
      <c r="L57" s="45" t="str">
        <f>IF(OR($B57="",$D57=0),"",SUMIFS(Data!$N$2:$N$1201,Data!$S$2:$S$1201,$B57,Data!$AI$2:$AI$1201,1)/60/$D57)</f>
        <v/>
      </c>
      <c r="M57" s="49" t="str">
        <f>IF($B57="","",SUMIFS(Data!$AL$2:$AL$1201,Data!$S$2:$S$1201,$B57))</f>
        <v/>
      </c>
      <c r="Z57" t="str">
        <f>IFERROR(INDEX(Data!$S$2:$S$1201,MATCH(50,Data!$Y$2:$Y$1201,0)),"")</f>
        <v/>
      </c>
    </row>
    <row r="58" spans="2:26" x14ac:dyDescent="0.25">
      <c r="B58" s="51" t="str">
        <f>IFERROR(SMALL(Rhythm!$Z$8:$Z$207,49),"")</f>
        <v/>
      </c>
      <c r="C58" s="42" t="str">
        <f t="shared" si="4"/>
        <v/>
      </c>
      <c r="D58" s="44" t="str">
        <f>IF($B58="","",SUMIFS(Data!$N$2:$N$1201,Data!$S$2:$S$1201,$B58)/60)</f>
        <v/>
      </c>
      <c r="E58" s="52" t="str">
        <f>IF($B58="","",IF(SUMIFS(Data!$O$2:$O$1201,Data!$S$2:$S$1201,$B58,Data!$AP$2:$AP$1201,1)=0,"",SUMIFS(Data!$O$2:$O$1201,Data!$S$2:$S$1201,$B58,Data!$AP$2:$AP$1201,1)-$B58))</f>
        <v/>
      </c>
      <c r="F58" s="52" t="str">
        <f>IF($B58="","",IF(SUMIFS(Data!$P$2:$P$1201,Data!$S$2:$S$1201,$B58,Data!$AQ$2:$AQ$1201,1)=0,"",SUMIFS(Data!$P$2:$P$1201,Data!$S$2:$S$1201,$B58,Data!$AQ$2:$AQ$1201,1)-$B58))</f>
        <v/>
      </c>
      <c r="G58" s="53" t="str">
        <f t="shared" si="5"/>
        <v/>
      </c>
      <c r="H58" s="53" t="str">
        <f t="shared" si="6"/>
        <v/>
      </c>
      <c r="I58" s="45" t="str">
        <f t="shared" si="7"/>
        <v/>
      </c>
      <c r="J58" s="47" t="str">
        <f>IF($B58="","",COUNTIFS(Data!$S$2:$S$1201,$B58,Data!$E$2:$E$1201,"timed"))</f>
        <v/>
      </c>
      <c r="K58" s="47" t="str">
        <f>IF($B58="","",SUMIFS(Data!$AG$2:$AG$1201,Data!$S$2:$S$1201,$B58))</f>
        <v/>
      </c>
      <c r="L58" s="45" t="str">
        <f>IF(OR($B58="",$D58=0),"",SUMIFS(Data!$N$2:$N$1201,Data!$S$2:$S$1201,$B58,Data!$AI$2:$AI$1201,1)/60/$D58)</f>
        <v/>
      </c>
      <c r="M58" s="49" t="str">
        <f>IF($B58="","",SUMIFS(Data!$AL$2:$AL$1201,Data!$S$2:$S$1201,$B58))</f>
        <v/>
      </c>
      <c r="Z58" t="str">
        <f>IFERROR(INDEX(Data!$S$2:$S$1201,MATCH(51,Data!$Y$2:$Y$1201,0)),"")</f>
        <v/>
      </c>
    </row>
    <row r="59" spans="2:26" x14ac:dyDescent="0.25">
      <c r="B59" s="51" t="str">
        <f>IFERROR(SMALL(Rhythm!$Z$8:$Z$207,50),"")</f>
        <v/>
      </c>
      <c r="C59" s="42" t="str">
        <f t="shared" si="4"/>
        <v/>
      </c>
      <c r="D59" s="44" t="str">
        <f>IF($B59="","",SUMIFS(Data!$N$2:$N$1201,Data!$S$2:$S$1201,$B59)/60)</f>
        <v/>
      </c>
      <c r="E59" s="52" t="str">
        <f>IF($B59="","",IF(SUMIFS(Data!$O$2:$O$1201,Data!$S$2:$S$1201,$B59,Data!$AP$2:$AP$1201,1)=0,"",SUMIFS(Data!$O$2:$O$1201,Data!$S$2:$S$1201,$B59,Data!$AP$2:$AP$1201,1)-$B59))</f>
        <v/>
      </c>
      <c r="F59" s="52" t="str">
        <f>IF($B59="","",IF(SUMIFS(Data!$P$2:$P$1201,Data!$S$2:$S$1201,$B59,Data!$AQ$2:$AQ$1201,1)=0,"",SUMIFS(Data!$P$2:$P$1201,Data!$S$2:$S$1201,$B59,Data!$AQ$2:$AQ$1201,1)-$B59))</f>
        <v/>
      </c>
      <c r="G59" s="53" t="str">
        <f t="shared" si="5"/>
        <v/>
      </c>
      <c r="H59" s="53" t="str">
        <f t="shared" si="6"/>
        <v/>
      </c>
      <c r="I59" s="45" t="str">
        <f t="shared" si="7"/>
        <v/>
      </c>
      <c r="J59" s="47" t="str">
        <f>IF($B59="","",COUNTIFS(Data!$S$2:$S$1201,$B59,Data!$E$2:$E$1201,"timed"))</f>
        <v/>
      </c>
      <c r="K59" s="47" t="str">
        <f>IF($B59="","",SUMIFS(Data!$AG$2:$AG$1201,Data!$S$2:$S$1201,$B59))</f>
        <v/>
      </c>
      <c r="L59" s="45" t="str">
        <f>IF(OR($B59="",$D59=0),"",SUMIFS(Data!$N$2:$N$1201,Data!$S$2:$S$1201,$B59,Data!$AI$2:$AI$1201,1)/60/$D59)</f>
        <v/>
      </c>
      <c r="M59" s="49" t="str">
        <f>IF($B59="","",SUMIFS(Data!$AL$2:$AL$1201,Data!$S$2:$S$1201,$B59))</f>
        <v/>
      </c>
      <c r="Z59" t="str">
        <f>IFERROR(INDEX(Data!$S$2:$S$1201,MATCH(52,Data!$Y$2:$Y$1201,0)),"")</f>
        <v/>
      </c>
    </row>
    <row r="60" spans="2:26" x14ac:dyDescent="0.25">
      <c r="B60" s="51" t="str">
        <f>IFERROR(SMALL(Rhythm!$Z$8:$Z$207,51),"")</f>
        <v/>
      </c>
      <c r="C60" s="42" t="str">
        <f t="shared" si="4"/>
        <v/>
      </c>
      <c r="D60" s="44" t="str">
        <f>IF($B60="","",SUMIFS(Data!$N$2:$N$1201,Data!$S$2:$S$1201,$B60)/60)</f>
        <v/>
      </c>
      <c r="E60" s="52" t="str">
        <f>IF($B60="","",IF(SUMIFS(Data!$O$2:$O$1201,Data!$S$2:$S$1201,$B60,Data!$AP$2:$AP$1201,1)=0,"",SUMIFS(Data!$O$2:$O$1201,Data!$S$2:$S$1201,$B60,Data!$AP$2:$AP$1201,1)-$B60))</f>
        <v/>
      </c>
      <c r="F60" s="52" t="str">
        <f>IF($B60="","",IF(SUMIFS(Data!$P$2:$P$1201,Data!$S$2:$S$1201,$B60,Data!$AQ$2:$AQ$1201,1)=0,"",SUMIFS(Data!$P$2:$P$1201,Data!$S$2:$S$1201,$B60,Data!$AQ$2:$AQ$1201,1)-$B60))</f>
        <v/>
      </c>
      <c r="G60" s="53" t="str">
        <f t="shared" si="5"/>
        <v/>
      </c>
      <c r="H60" s="53" t="str">
        <f t="shared" si="6"/>
        <v/>
      </c>
      <c r="I60" s="45" t="str">
        <f t="shared" si="7"/>
        <v/>
      </c>
      <c r="J60" s="47" t="str">
        <f>IF($B60="","",COUNTIFS(Data!$S$2:$S$1201,$B60,Data!$E$2:$E$1201,"timed"))</f>
        <v/>
      </c>
      <c r="K60" s="47" t="str">
        <f>IF($B60="","",SUMIFS(Data!$AG$2:$AG$1201,Data!$S$2:$S$1201,$B60))</f>
        <v/>
      </c>
      <c r="L60" s="45" t="str">
        <f>IF(OR($B60="",$D60=0),"",SUMIFS(Data!$N$2:$N$1201,Data!$S$2:$S$1201,$B60,Data!$AI$2:$AI$1201,1)/60/$D60)</f>
        <v/>
      </c>
      <c r="M60" s="49" t="str">
        <f>IF($B60="","",SUMIFS(Data!$AL$2:$AL$1201,Data!$S$2:$S$1201,$B60))</f>
        <v/>
      </c>
      <c r="Z60" t="str">
        <f>IFERROR(INDEX(Data!$S$2:$S$1201,MATCH(53,Data!$Y$2:$Y$1201,0)),"")</f>
        <v/>
      </c>
    </row>
    <row r="61" spans="2:26" x14ac:dyDescent="0.25">
      <c r="B61" s="51" t="str">
        <f>IFERROR(SMALL(Rhythm!$Z$8:$Z$207,52),"")</f>
        <v/>
      </c>
      <c r="C61" s="42" t="str">
        <f t="shared" si="4"/>
        <v/>
      </c>
      <c r="D61" s="44" t="str">
        <f>IF($B61="","",SUMIFS(Data!$N$2:$N$1201,Data!$S$2:$S$1201,$B61)/60)</f>
        <v/>
      </c>
      <c r="E61" s="52" t="str">
        <f>IF($B61="","",IF(SUMIFS(Data!$O$2:$O$1201,Data!$S$2:$S$1201,$B61,Data!$AP$2:$AP$1201,1)=0,"",SUMIFS(Data!$O$2:$O$1201,Data!$S$2:$S$1201,$B61,Data!$AP$2:$AP$1201,1)-$B61))</f>
        <v/>
      </c>
      <c r="F61" s="52" t="str">
        <f>IF($B61="","",IF(SUMIFS(Data!$P$2:$P$1201,Data!$S$2:$S$1201,$B61,Data!$AQ$2:$AQ$1201,1)=0,"",SUMIFS(Data!$P$2:$P$1201,Data!$S$2:$S$1201,$B61,Data!$AQ$2:$AQ$1201,1)-$B61))</f>
        <v/>
      </c>
      <c r="G61" s="53" t="str">
        <f t="shared" si="5"/>
        <v/>
      </c>
      <c r="H61" s="53" t="str">
        <f t="shared" si="6"/>
        <v/>
      </c>
      <c r="I61" s="45" t="str">
        <f t="shared" si="7"/>
        <v/>
      </c>
      <c r="J61" s="47" t="str">
        <f>IF($B61="","",COUNTIFS(Data!$S$2:$S$1201,$B61,Data!$E$2:$E$1201,"timed"))</f>
        <v/>
      </c>
      <c r="K61" s="47" t="str">
        <f>IF($B61="","",SUMIFS(Data!$AG$2:$AG$1201,Data!$S$2:$S$1201,$B61))</f>
        <v/>
      </c>
      <c r="L61" s="45" t="str">
        <f>IF(OR($B61="",$D61=0),"",SUMIFS(Data!$N$2:$N$1201,Data!$S$2:$S$1201,$B61,Data!$AI$2:$AI$1201,1)/60/$D61)</f>
        <v/>
      </c>
      <c r="M61" s="49" t="str">
        <f>IF($B61="","",SUMIFS(Data!$AL$2:$AL$1201,Data!$S$2:$S$1201,$B61))</f>
        <v/>
      </c>
      <c r="Z61" t="str">
        <f>IFERROR(INDEX(Data!$S$2:$S$1201,MATCH(54,Data!$Y$2:$Y$1201,0)),"")</f>
        <v/>
      </c>
    </row>
    <row r="62" spans="2:26" x14ac:dyDescent="0.25">
      <c r="B62" s="51" t="str">
        <f>IFERROR(SMALL(Rhythm!$Z$8:$Z$207,53),"")</f>
        <v/>
      </c>
      <c r="C62" s="42" t="str">
        <f t="shared" si="4"/>
        <v/>
      </c>
      <c r="D62" s="44" t="str">
        <f>IF($B62="","",SUMIFS(Data!$N$2:$N$1201,Data!$S$2:$S$1201,$B62)/60)</f>
        <v/>
      </c>
      <c r="E62" s="52" t="str">
        <f>IF($B62="","",IF(SUMIFS(Data!$O$2:$O$1201,Data!$S$2:$S$1201,$B62,Data!$AP$2:$AP$1201,1)=0,"",SUMIFS(Data!$O$2:$O$1201,Data!$S$2:$S$1201,$B62,Data!$AP$2:$AP$1201,1)-$B62))</f>
        <v/>
      </c>
      <c r="F62" s="52" t="str">
        <f>IF($B62="","",IF(SUMIFS(Data!$P$2:$P$1201,Data!$S$2:$S$1201,$B62,Data!$AQ$2:$AQ$1201,1)=0,"",SUMIFS(Data!$P$2:$P$1201,Data!$S$2:$S$1201,$B62,Data!$AQ$2:$AQ$1201,1)-$B62))</f>
        <v/>
      </c>
      <c r="G62" s="53" t="str">
        <f t="shared" si="5"/>
        <v/>
      </c>
      <c r="H62" s="53" t="str">
        <f t="shared" si="6"/>
        <v/>
      </c>
      <c r="I62" s="45" t="str">
        <f t="shared" si="7"/>
        <v/>
      </c>
      <c r="J62" s="47" t="str">
        <f>IF($B62="","",COUNTIFS(Data!$S$2:$S$1201,$B62,Data!$E$2:$E$1201,"timed"))</f>
        <v/>
      </c>
      <c r="K62" s="47" t="str">
        <f>IF($B62="","",SUMIFS(Data!$AG$2:$AG$1201,Data!$S$2:$S$1201,$B62))</f>
        <v/>
      </c>
      <c r="L62" s="45" t="str">
        <f>IF(OR($B62="",$D62=0),"",SUMIFS(Data!$N$2:$N$1201,Data!$S$2:$S$1201,$B62,Data!$AI$2:$AI$1201,1)/60/$D62)</f>
        <v/>
      </c>
      <c r="M62" s="49" t="str">
        <f>IF($B62="","",SUMIFS(Data!$AL$2:$AL$1201,Data!$S$2:$S$1201,$B62))</f>
        <v/>
      </c>
      <c r="Z62" t="str">
        <f>IFERROR(INDEX(Data!$S$2:$S$1201,MATCH(55,Data!$Y$2:$Y$1201,0)),"")</f>
        <v/>
      </c>
    </row>
    <row r="63" spans="2:26" x14ac:dyDescent="0.25">
      <c r="B63" s="51" t="str">
        <f>IFERROR(SMALL(Rhythm!$Z$8:$Z$207,54),"")</f>
        <v/>
      </c>
      <c r="C63" s="42" t="str">
        <f t="shared" si="4"/>
        <v/>
      </c>
      <c r="D63" s="44" t="str">
        <f>IF($B63="","",SUMIFS(Data!$N$2:$N$1201,Data!$S$2:$S$1201,$B63)/60)</f>
        <v/>
      </c>
      <c r="E63" s="52" t="str">
        <f>IF($B63="","",IF(SUMIFS(Data!$O$2:$O$1201,Data!$S$2:$S$1201,$B63,Data!$AP$2:$AP$1201,1)=0,"",SUMIFS(Data!$O$2:$O$1201,Data!$S$2:$S$1201,$B63,Data!$AP$2:$AP$1201,1)-$B63))</f>
        <v/>
      </c>
      <c r="F63" s="52" t="str">
        <f>IF($B63="","",IF(SUMIFS(Data!$P$2:$P$1201,Data!$S$2:$S$1201,$B63,Data!$AQ$2:$AQ$1201,1)=0,"",SUMIFS(Data!$P$2:$P$1201,Data!$S$2:$S$1201,$B63,Data!$AQ$2:$AQ$1201,1)-$B63))</f>
        <v/>
      </c>
      <c r="G63" s="53" t="str">
        <f t="shared" si="5"/>
        <v/>
      </c>
      <c r="H63" s="53" t="str">
        <f t="shared" si="6"/>
        <v/>
      </c>
      <c r="I63" s="45" t="str">
        <f t="shared" si="7"/>
        <v/>
      </c>
      <c r="J63" s="47" t="str">
        <f>IF($B63="","",COUNTIFS(Data!$S$2:$S$1201,$B63,Data!$E$2:$E$1201,"timed"))</f>
        <v/>
      </c>
      <c r="K63" s="47" t="str">
        <f>IF($B63="","",SUMIFS(Data!$AG$2:$AG$1201,Data!$S$2:$S$1201,$B63))</f>
        <v/>
      </c>
      <c r="L63" s="45" t="str">
        <f>IF(OR($B63="",$D63=0),"",SUMIFS(Data!$N$2:$N$1201,Data!$S$2:$S$1201,$B63,Data!$AI$2:$AI$1201,1)/60/$D63)</f>
        <v/>
      </c>
      <c r="M63" s="49" t="str">
        <f>IF($B63="","",SUMIFS(Data!$AL$2:$AL$1201,Data!$S$2:$S$1201,$B63))</f>
        <v/>
      </c>
      <c r="Z63" t="str">
        <f>IFERROR(INDEX(Data!$S$2:$S$1201,MATCH(56,Data!$Y$2:$Y$1201,0)),"")</f>
        <v/>
      </c>
    </row>
    <row r="64" spans="2:26" x14ac:dyDescent="0.25">
      <c r="B64" s="51" t="str">
        <f>IFERROR(SMALL(Rhythm!$Z$8:$Z$207,55),"")</f>
        <v/>
      </c>
      <c r="C64" s="42" t="str">
        <f t="shared" si="4"/>
        <v/>
      </c>
      <c r="D64" s="44" t="str">
        <f>IF($B64="","",SUMIFS(Data!$N$2:$N$1201,Data!$S$2:$S$1201,$B64)/60)</f>
        <v/>
      </c>
      <c r="E64" s="52" t="str">
        <f>IF($B64="","",IF(SUMIFS(Data!$O$2:$O$1201,Data!$S$2:$S$1201,$B64,Data!$AP$2:$AP$1201,1)=0,"",SUMIFS(Data!$O$2:$O$1201,Data!$S$2:$S$1201,$B64,Data!$AP$2:$AP$1201,1)-$B64))</f>
        <v/>
      </c>
      <c r="F64" s="52" t="str">
        <f>IF($B64="","",IF(SUMIFS(Data!$P$2:$P$1201,Data!$S$2:$S$1201,$B64,Data!$AQ$2:$AQ$1201,1)=0,"",SUMIFS(Data!$P$2:$P$1201,Data!$S$2:$S$1201,$B64,Data!$AQ$2:$AQ$1201,1)-$B64))</f>
        <v/>
      </c>
      <c r="G64" s="53" t="str">
        <f t="shared" si="5"/>
        <v/>
      </c>
      <c r="H64" s="53" t="str">
        <f t="shared" si="6"/>
        <v/>
      </c>
      <c r="I64" s="45" t="str">
        <f t="shared" si="7"/>
        <v/>
      </c>
      <c r="J64" s="47" t="str">
        <f>IF($B64="","",COUNTIFS(Data!$S$2:$S$1201,$B64,Data!$E$2:$E$1201,"timed"))</f>
        <v/>
      </c>
      <c r="K64" s="47" t="str">
        <f>IF($B64="","",SUMIFS(Data!$AG$2:$AG$1201,Data!$S$2:$S$1201,$B64))</f>
        <v/>
      </c>
      <c r="L64" s="45" t="str">
        <f>IF(OR($B64="",$D64=0),"",SUMIFS(Data!$N$2:$N$1201,Data!$S$2:$S$1201,$B64,Data!$AI$2:$AI$1201,1)/60/$D64)</f>
        <v/>
      </c>
      <c r="M64" s="49" t="str">
        <f>IF($B64="","",SUMIFS(Data!$AL$2:$AL$1201,Data!$S$2:$S$1201,$B64))</f>
        <v/>
      </c>
      <c r="Z64" t="str">
        <f>IFERROR(INDEX(Data!$S$2:$S$1201,MATCH(57,Data!$Y$2:$Y$1201,0)),"")</f>
        <v/>
      </c>
    </row>
    <row r="65" spans="2:26" x14ac:dyDescent="0.25">
      <c r="B65" s="51" t="str">
        <f>IFERROR(SMALL(Rhythm!$Z$8:$Z$207,56),"")</f>
        <v/>
      </c>
      <c r="C65" s="42" t="str">
        <f t="shared" si="4"/>
        <v/>
      </c>
      <c r="D65" s="44" t="str">
        <f>IF($B65="","",SUMIFS(Data!$N$2:$N$1201,Data!$S$2:$S$1201,$B65)/60)</f>
        <v/>
      </c>
      <c r="E65" s="52" t="str">
        <f>IF($B65="","",IF(SUMIFS(Data!$O$2:$O$1201,Data!$S$2:$S$1201,$B65,Data!$AP$2:$AP$1201,1)=0,"",SUMIFS(Data!$O$2:$O$1201,Data!$S$2:$S$1201,$B65,Data!$AP$2:$AP$1201,1)-$B65))</f>
        <v/>
      </c>
      <c r="F65" s="52" t="str">
        <f>IF($B65="","",IF(SUMIFS(Data!$P$2:$P$1201,Data!$S$2:$S$1201,$B65,Data!$AQ$2:$AQ$1201,1)=0,"",SUMIFS(Data!$P$2:$P$1201,Data!$S$2:$S$1201,$B65,Data!$AQ$2:$AQ$1201,1)-$B65))</f>
        <v/>
      </c>
      <c r="G65" s="53" t="str">
        <f t="shared" si="5"/>
        <v/>
      </c>
      <c r="H65" s="53" t="str">
        <f t="shared" si="6"/>
        <v/>
      </c>
      <c r="I65" s="45" t="str">
        <f t="shared" si="7"/>
        <v/>
      </c>
      <c r="J65" s="47" t="str">
        <f>IF($B65="","",COUNTIFS(Data!$S$2:$S$1201,$B65,Data!$E$2:$E$1201,"timed"))</f>
        <v/>
      </c>
      <c r="K65" s="47" t="str">
        <f>IF($B65="","",SUMIFS(Data!$AG$2:$AG$1201,Data!$S$2:$S$1201,$B65))</f>
        <v/>
      </c>
      <c r="L65" s="45" t="str">
        <f>IF(OR($B65="",$D65=0),"",SUMIFS(Data!$N$2:$N$1201,Data!$S$2:$S$1201,$B65,Data!$AI$2:$AI$1201,1)/60/$D65)</f>
        <v/>
      </c>
      <c r="M65" s="49" t="str">
        <f>IF($B65="","",SUMIFS(Data!$AL$2:$AL$1201,Data!$S$2:$S$1201,$B65))</f>
        <v/>
      </c>
      <c r="Z65" t="str">
        <f>IFERROR(INDEX(Data!$S$2:$S$1201,MATCH(58,Data!$Y$2:$Y$1201,0)),"")</f>
        <v/>
      </c>
    </row>
    <row r="66" spans="2:26" x14ac:dyDescent="0.25">
      <c r="B66" s="51" t="str">
        <f>IFERROR(SMALL(Rhythm!$Z$8:$Z$207,57),"")</f>
        <v/>
      </c>
      <c r="C66" s="42" t="str">
        <f t="shared" si="4"/>
        <v/>
      </c>
      <c r="D66" s="44" t="str">
        <f>IF($B66="","",SUMIFS(Data!$N$2:$N$1201,Data!$S$2:$S$1201,$B66)/60)</f>
        <v/>
      </c>
      <c r="E66" s="52" t="str">
        <f>IF($B66="","",IF(SUMIFS(Data!$O$2:$O$1201,Data!$S$2:$S$1201,$B66,Data!$AP$2:$AP$1201,1)=0,"",SUMIFS(Data!$O$2:$O$1201,Data!$S$2:$S$1201,$B66,Data!$AP$2:$AP$1201,1)-$B66))</f>
        <v/>
      </c>
      <c r="F66" s="52" t="str">
        <f>IF($B66="","",IF(SUMIFS(Data!$P$2:$P$1201,Data!$S$2:$S$1201,$B66,Data!$AQ$2:$AQ$1201,1)=0,"",SUMIFS(Data!$P$2:$P$1201,Data!$S$2:$S$1201,$B66,Data!$AQ$2:$AQ$1201,1)-$B66))</f>
        <v/>
      </c>
      <c r="G66" s="53" t="str">
        <f t="shared" si="5"/>
        <v/>
      </c>
      <c r="H66" s="53" t="str">
        <f t="shared" si="6"/>
        <v/>
      </c>
      <c r="I66" s="45" t="str">
        <f t="shared" si="7"/>
        <v/>
      </c>
      <c r="J66" s="47" t="str">
        <f>IF($B66="","",COUNTIFS(Data!$S$2:$S$1201,$B66,Data!$E$2:$E$1201,"timed"))</f>
        <v/>
      </c>
      <c r="K66" s="47" t="str">
        <f>IF($B66="","",SUMIFS(Data!$AG$2:$AG$1201,Data!$S$2:$S$1201,$B66))</f>
        <v/>
      </c>
      <c r="L66" s="45" t="str">
        <f>IF(OR($B66="",$D66=0),"",SUMIFS(Data!$N$2:$N$1201,Data!$S$2:$S$1201,$B66,Data!$AI$2:$AI$1201,1)/60/$D66)</f>
        <v/>
      </c>
      <c r="M66" s="49" t="str">
        <f>IF($B66="","",SUMIFS(Data!$AL$2:$AL$1201,Data!$S$2:$S$1201,$B66))</f>
        <v/>
      </c>
      <c r="Z66" t="str">
        <f>IFERROR(INDEX(Data!$S$2:$S$1201,MATCH(59,Data!$Y$2:$Y$1201,0)),"")</f>
        <v/>
      </c>
    </row>
    <row r="67" spans="2:26" x14ac:dyDescent="0.25">
      <c r="B67" s="51" t="str">
        <f>IFERROR(SMALL(Rhythm!$Z$8:$Z$207,58),"")</f>
        <v/>
      </c>
      <c r="C67" s="42" t="str">
        <f t="shared" si="4"/>
        <v/>
      </c>
      <c r="D67" s="44" t="str">
        <f>IF($B67="","",SUMIFS(Data!$N$2:$N$1201,Data!$S$2:$S$1201,$B67)/60)</f>
        <v/>
      </c>
      <c r="E67" s="52" t="str">
        <f>IF($B67="","",IF(SUMIFS(Data!$O$2:$O$1201,Data!$S$2:$S$1201,$B67,Data!$AP$2:$AP$1201,1)=0,"",SUMIFS(Data!$O$2:$O$1201,Data!$S$2:$S$1201,$B67,Data!$AP$2:$AP$1201,1)-$B67))</f>
        <v/>
      </c>
      <c r="F67" s="52" t="str">
        <f>IF($B67="","",IF(SUMIFS(Data!$P$2:$P$1201,Data!$S$2:$S$1201,$B67,Data!$AQ$2:$AQ$1201,1)=0,"",SUMIFS(Data!$P$2:$P$1201,Data!$S$2:$S$1201,$B67,Data!$AQ$2:$AQ$1201,1)-$B67))</f>
        <v/>
      </c>
      <c r="G67" s="53" t="str">
        <f t="shared" si="5"/>
        <v/>
      </c>
      <c r="H67" s="53" t="str">
        <f t="shared" si="6"/>
        <v/>
      </c>
      <c r="I67" s="45" t="str">
        <f t="shared" si="7"/>
        <v/>
      </c>
      <c r="J67" s="47" t="str">
        <f>IF($B67="","",COUNTIFS(Data!$S$2:$S$1201,$B67,Data!$E$2:$E$1201,"timed"))</f>
        <v/>
      </c>
      <c r="K67" s="47" t="str">
        <f>IF($B67="","",SUMIFS(Data!$AG$2:$AG$1201,Data!$S$2:$S$1201,$B67))</f>
        <v/>
      </c>
      <c r="L67" s="45" t="str">
        <f>IF(OR($B67="",$D67=0),"",SUMIFS(Data!$N$2:$N$1201,Data!$S$2:$S$1201,$B67,Data!$AI$2:$AI$1201,1)/60/$D67)</f>
        <v/>
      </c>
      <c r="M67" s="49" t="str">
        <f>IF($B67="","",SUMIFS(Data!$AL$2:$AL$1201,Data!$S$2:$S$1201,$B67))</f>
        <v/>
      </c>
      <c r="Z67" t="str">
        <f>IFERROR(INDEX(Data!$S$2:$S$1201,MATCH(60,Data!$Y$2:$Y$1201,0)),"")</f>
        <v/>
      </c>
    </row>
    <row r="68" spans="2:26" x14ac:dyDescent="0.25">
      <c r="B68" s="51" t="str">
        <f>IFERROR(SMALL(Rhythm!$Z$8:$Z$207,59),"")</f>
        <v/>
      </c>
      <c r="C68" s="42" t="str">
        <f t="shared" si="4"/>
        <v/>
      </c>
      <c r="D68" s="44" t="str">
        <f>IF($B68="","",SUMIFS(Data!$N$2:$N$1201,Data!$S$2:$S$1201,$B68)/60)</f>
        <v/>
      </c>
      <c r="E68" s="52" t="str">
        <f>IF($B68="","",IF(SUMIFS(Data!$O$2:$O$1201,Data!$S$2:$S$1201,$B68,Data!$AP$2:$AP$1201,1)=0,"",SUMIFS(Data!$O$2:$O$1201,Data!$S$2:$S$1201,$B68,Data!$AP$2:$AP$1201,1)-$B68))</f>
        <v/>
      </c>
      <c r="F68" s="52" t="str">
        <f>IF($B68="","",IF(SUMIFS(Data!$P$2:$P$1201,Data!$S$2:$S$1201,$B68,Data!$AQ$2:$AQ$1201,1)=0,"",SUMIFS(Data!$P$2:$P$1201,Data!$S$2:$S$1201,$B68,Data!$AQ$2:$AQ$1201,1)-$B68))</f>
        <v/>
      </c>
      <c r="G68" s="53" t="str">
        <f t="shared" si="5"/>
        <v/>
      </c>
      <c r="H68" s="53" t="str">
        <f t="shared" si="6"/>
        <v/>
      </c>
      <c r="I68" s="45" t="str">
        <f t="shared" si="7"/>
        <v/>
      </c>
      <c r="J68" s="47" t="str">
        <f>IF($B68="","",COUNTIFS(Data!$S$2:$S$1201,$B68,Data!$E$2:$E$1201,"timed"))</f>
        <v/>
      </c>
      <c r="K68" s="47" t="str">
        <f>IF($B68="","",SUMIFS(Data!$AG$2:$AG$1201,Data!$S$2:$S$1201,$B68))</f>
        <v/>
      </c>
      <c r="L68" s="45" t="str">
        <f>IF(OR($B68="",$D68=0),"",SUMIFS(Data!$N$2:$N$1201,Data!$S$2:$S$1201,$B68,Data!$AI$2:$AI$1201,1)/60/$D68)</f>
        <v/>
      </c>
      <c r="M68" s="49" t="str">
        <f>IF($B68="","",SUMIFS(Data!$AL$2:$AL$1201,Data!$S$2:$S$1201,$B68))</f>
        <v/>
      </c>
      <c r="Z68" t="str">
        <f>IFERROR(INDEX(Data!$S$2:$S$1201,MATCH(61,Data!$Y$2:$Y$1201,0)),"")</f>
        <v/>
      </c>
    </row>
    <row r="69" spans="2:26" x14ac:dyDescent="0.25">
      <c r="B69" s="51" t="str">
        <f>IFERROR(SMALL(Rhythm!$Z$8:$Z$207,60),"")</f>
        <v/>
      </c>
      <c r="C69" s="42" t="str">
        <f t="shared" si="4"/>
        <v/>
      </c>
      <c r="D69" s="44" t="str">
        <f>IF($B69="","",SUMIFS(Data!$N$2:$N$1201,Data!$S$2:$S$1201,$B69)/60)</f>
        <v/>
      </c>
      <c r="E69" s="52" t="str">
        <f>IF($B69="","",IF(SUMIFS(Data!$O$2:$O$1201,Data!$S$2:$S$1201,$B69,Data!$AP$2:$AP$1201,1)=0,"",SUMIFS(Data!$O$2:$O$1201,Data!$S$2:$S$1201,$B69,Data!$AP$2:$AP$1201,1)-$B69))</f>
        <v/>
      </c>
      <c r="F69" s="52" t="str">
        <f>IF($B69="","",IF(SUMIFS(Data!$P$2:$P$1201,Data!$S$2:$S$1201,$B69,Data!$AQ$2:$AQ$1201,1)=0,"",SUMIFS(Data!$P$2:$P$1201,Data!$S$2:$S$1201,$B69,Data!$AQ$2:$AQ$1201,1)-$B69))</f>
        <v/>
      </c>
      <c r="G69" s="53" t="str">
        <f t="shared" si="5"/>
        <v/>
      </c>
      <c r="H69" s="53" t="str">
        <f t="shared" si="6"/>
        <v/>
      </c>
      <c r="I69" s="45" t="str">
        <f t="shared" si="7"/>
        <v/>
      </c>
      <c r="J69" s="47" t="str">
        <f>IF($B69="","",COUNTIFS(Data!$S$2:$S$1201,$B69,Data!$E$2:$E$1201,"timed"))</f>
        <v/>
      </c>
      <c r="K69" s="47" t="str">
        <f>IF($B69="","",SUMIFS(Data!$AG$2:$AG$1201,Data!$S$2:$S$1201,$B69))</f>
        <v/>
      </c>
      <c r="L69" s="45" t="str">
        <f>IF(OR($B69="",$D69=0),"",SUMIFS(Data!$N$2:$N$1201,Data!$S$2:$S$1201,$B69,Data!$AI$2:$AI$1201,1)/60/$D69)</f>
        <v/>
      </c>
      <c r="M69" s="49" t="str">
        <f>IF($B69="","",SUMIFS(Data!$AL$2:$AL$1201,Data!$S$2:$S$1201,$B69))</f>
        <v/>
      </c>
      <c r="Z69" t="str">
        <f>IFERROR(INDEX(Data!$S$2:$S$1201,MATCH(62,Data!$Y$2:$Y$1201,0)),"")</f>
        <v/>
      </c>
    </row>
    <row r="70" spans="2:26" x14ac:dyDescent="0.25">
      <c r="B70" s="51" t="str">
        <f>IFERROR(SMALL(Rhythm!$Z$8:$Z$207,61),"")</f>
        <v/>
      </c>
      <c r="C70" s="42" t="str">
        <f t="shared" si="4"/>
        <v/>
      </c>
      <c r="D70" s="44" t="str">
        <f>IF($B70="","",SUMIFS(Data!$N$2:$N$1201,Data!$S$2:$S$1201,$B70)/60)</f>
        <v/>
      </c>
      <c r="E70" s="52" t="str">
        <f>IF($B70="","",IF(SUMIFS(Data!$O$2:$O$1201,Data!$S$2:$S$1201,$B70,Data!$AP$2:$AP$1201,1)=0,"",SUMIFS(Data!$O$2:$O$1201,Data!$S$2:$S$1201,$B70,Data!$AP$2:$AP$1201,1)-$B70))</f>
        <v/>
      </c>
      <c r="F70" s="52" t="str">
        <f>IF($B70="","",IF(SUMIFS(Data!$P$2:$P$1201,Data!$S$2:$S$1201,$B70,Data!$AQ$2:$AQ$1201,1)=0,"",SUMIFS(Data!$P$2:$P$1201,Data!$S$2:$S$1201,$B70,Data!$AQ$2:$AQ$1201,1)-$B70))</f>
        <v/>
      </c>
      <c r="G70" s="53" t="str">
        <f t="shared" si="5"/>
        <v/>
      </c>
      <c r="H70" s="53" t="str">
        <f t="shared" si="6"/>
        <v/>
      </c>
      <c r="I70" s="45" t="str">
        <f t="shared" si="7"/>
        <v/>
      </c>
      <c r="J70" s="47" t="str">
        <f>IF($B70="","",COUNTIFS(Data!$S$2:$S$1201,$B70,Data!$E$2:$E$1201,"timed"))</f>
        <v/>
      </c>
      <c r="K70" s="47" t="str">
        <f>IF($B70="","",SUMIFS(Data!$AG$2:$AG$1201,Data!$S$2:$S$1201,$B70))</f>
        <v/>
      </c>
      <c r="L70" s="45" t="str">
        <f>IF(OR($B70="",$D70=0),"",SUMIFS(Data!$N$2:$N$1201,Data!$S$2:$S$1201,$B70,Data!$AI$2:$AI$1201,1)/60/$D70)</f>
        <v/>
      </c>
      <c r="M70" s="49" t="str">
        <f>IF($B70="","",SUMIFS(Data!$AL$2:$AL$1201,Data!$S$2:$S$1201,$B70))</f>
        <v/>
      </c>
      <c r="Z70" t="str">
        <f>IFERROR(INDEX(Data!$S$2:$S$1201,MATCH(63,Data!$Y$2:$Y$1201,0)),"")</f>
        <v/>
      </c>
    </row>
    <row r="71" spans="2:26" x14ac:dyDescent="0.25">
      <c r="B71" s="51" t="str">
        <f>IFERROR(SMALL(Rhythm!$Z$8:$Z$207,62),"")</f>
        <v/>
      </c>
      <c r="C71" s="42" t="str">
        <f t="shared" si="4"/>
        <v/>
      </c>
      <c r="D71" s="44" t="str">
        <f>IF($B71="","",SUMIFS(Data!$N$2:$N$1201,Data!$S$2:$S$1201,$B71)/60)</f>
        <v/>
      </c>
      <c r="E71" s="52" t="str">
        <f>IF($B71="","",IF(SUMIFS(Data!$O$2:$O$1201,Data!$S$2:$S$1201,$B71,Data!$AP$2:$AP$1201,1)=0,"",SUMIFS(Data!$O$2:$O$1201,Data!$S$2:$S$1201,$B71,Data!$AP$2:$AP$1201,1)-$B71))</f>
        <v/>
      </c>
      <c r="F71" s="52" t="str">
        <f>IF($B71="","",IF(SUMIFS(Data!$P$2:$P$1201,Data!$S$2:$S$1201,$B71,Data!$AQ$2:$AQ$1201,1)=0,"",SUMIFS(Data!$P$2:$P$1201,Data!$S$2:$S$1201,$B71,Data!$AQ$2:$AQ$1201,1)-$B71))</f>
        <v/>
      </c>
      <c r="G71" s="53" t="str">
        <f t="shared" si="5"/>
        <v/>
      </c>
      <c r="H71" s="53" t="str">
        <f t="shared" si="6"/>
        <v/>
      </c>
      <c r="I71" s="45" t="str">
        <f t="shared" si="7"/>
        <v/>
      </c>
      <c r="J71" s="47" t="str">
        <f>IF($B71="","",COUNTIFS(Data!$S$2:$S$1201,$B71,Data!$E$2:$E$1201,"timed"))</f>
        <v/>
      </c>
      <c r="K71" s="47" t="str">
        <f>IF($B71="","",SUMIFS(Data!$AG$2:$AG$1201,Data!$S$2:$S$1201,$B71))</f>
        <v/>
      </c>
      <c r="L71" s="45" t="str">
        <f>IF(OR($B71="",$D71=0),"",SUMIFS(Data!$N$2:$N$1201,Data!$S$2:$S$1201,$B71,Data!$AI$2:$AI$1201,1)/60/$D71)</f>
        <v/>
      </c>
      <c r="M71" s="49" t="str">
        <f>IF($B71="","",SUMIFS(Data!$AL$2:$AL$1201,Data!$S$2:$S$1201,$B71))</f>
        <v/>
      </c>
      <c r="Z71" t="str">
        <f>IFERROR(INDEX(Data!$S$2:$S$1201,MATCH(64,Data!$Y$2:$Y$1201,0)),"")</f>
        <v/>
      </c>
    </row>
    <row r="72" spans="2:26" x14ac:dyDescent="0.25">
      <c r="B72" s="51" t="str">
        <f>IFERROR(SMALL(Rhythm!$Z$8:$Z$207,63),"")</f>
        <v/>
      </c>
      <c r="C72" s="42" t="str">
        <f t="shared" si="4"/>
        <v/>
      </c>
      <c r="D72" s="44" t="str">
        <f>IF($B72="","",SUMIFS(Data!$N$2:$N$1201,Data!$S$2:$S$1201,$B72)/60)</f>
        <v/>
      </c>
      <c r="E72" s="52" t="str">
        <f>IF($B72="","",IF(SUMIFS(Data!$O$2:$O$1201,Data!$S$2:$S$1201,$B72,Data!$AP$2:$AP$1201,1)=0,"",SUMIFS(Data!$O$2:$O$1201,Data!$S$2:$S$1201,$B72,Data!$AP$2:$AP$1201,1)-$B72))</f>
        <v/>
      </c>
      <c r="F72" s="52" t="str">
        <f>IF($B72="","",IF(SUMIFS(Data!$P$2:$P$1201,Data!$S$2:$S$1201,$B72,Data!$AQ$2:$AQ$1201,1)=0,"",SUMIFS(Data!$P$2:$P$1201,Data!$S$2:$S$1201,$B72,Data!$AQ$2:$AQ$1201,1)-$B72))</f>
        <v/>
      </c>
      <c r="G72" s="53" t="str">
        <f t="shared" si="5"/>
        <v/>
      </c>
      <c r="H72" s="53" t="str">
        <f t="shared" si="6"/>
        <v/>
      </c>
      <c r="I72" s="45" t="str">
        <f t="shared" si="7"/>
        <v/>
      </c>
      <c r="J72" s="47" t="str">
        <f>IF($B72="","",COUNTIFS(Data!$S$2:$S$1201,$B72,Data!$E$2:$E$1201,"timed"))</f>
        <v/>
      </c>
      <c r="K72" s="47" t="str">
        <f>IF($B72="","",SUMIFS(Data!$AG$2:$AG$1201,Data!$S$2:$S$1201,$B72))</f>
        <v/>
      </c>
      <c r="L72" s="45" t="str">
        <f>IF(OR($B72="",$D72=0),"",SUMIFS(Data!$N$2:$N$1201,Data!$S$2:$S$1201,$B72,Data!$AI$2:$AI$1201,1)/60/$D72)</f>
        <v/>
      </c>
      <c r="M72" s="49" t="str">
        <f>IF($B72="","",SUMIFS(Data!$AL$2:$AL$1201,Data!$S$2:$S$1201,$B72))</f>
        <v/>
      </c>
      <c r="Z72" t="str">
        <f>IFERROR(INDEX(Data!$S$2:$S$1201,MATCH(65,Data!$Y$2:$Y$1201,0)),"")</f>
        <v/>
      </c>
    </row>
    <row r="73" spans="2:26" x14ac:dyDescent="0.25">
      <c r="B73" s="51" t="str">
        <f>IFERROR(SMALL(Rhythm!$Z$8:$Z$207,64),"")</f>
        <v/>
      </c>
      <c r="C73" s="42" t="str">
        <f t="shared" si="4"/>
        <v/>
      </c>
      <c r="D73" s="44" t="str">
        <f>IF($B73="","",SUMIFS(Data!$N$2:$N$1201,Data!$S$2:$S$1201,$B73)/60)</f>
        <v/>
      </c>
      <c r="E73" s="52" t="str">
        <f>IF($B73="","",IF(SUMIFS(Data!$O$2:$O$1201,Data!$S$2:$S$1201,$B73,Data!$AP$2:$AP$1201,1)=0,"",SUMIFS(Data!$O$2:$O$1201,Data!$S$2:$S$1201,$B73,Data!$AP$2:$AP$1201,1)-$B73))</f>
        <v/>
      </c>
      <c r="F73" s="52" t="str">
        <f>IF($B73="","",IF(SUMIFS(Data!$P$2:$P$1201,Data!$S$2:$S$1201,$B73,Data!$AQ$2:$AQ$1201,1)=0,"",SUMIFS(Data!$P$2:$P$1201,Data!$S$2:$S$1201,$B73,Data!$AQ$2:$AQ$1201,1)-$B73))</f>
        <v/>
      </c>
      <c r="G73" s="53" t="str">
        <f t="shared" si="5"/>
        <v/>
      </c>
      <c r="H73" s="53" t="str">
        <f t="shared" si="6"/>
        <v/>
      </c>
      <c r="I73" s="45" t="str">
        <f t="shared" si="7"/>
        <v/>
      </c>
      <c r="J73" s="47" t="str">
        <f>IF($B73="","",COUNTIFS(Data!$S$2:$S$1201,$B73,Data!$E$2:$E$1201,"timed"))</f>
        <v/>
      </c>
      <c r="K73" s="47" t="str">
        <f>IF($B73="","",SUMIFS(Data!$AG$2:$AG$1201,Data!$S$2:$S$1201,$B73))</f>
        <v/>
      </c>
      <c r="L73" s="45" t="str">
        <f>IF(OR($B73="",$D73=0),"",SUMIFS(Data!$N$2:$N$1201,Data!$S$2:$S$1201,$B73,Data!$AI$2:$AI$1201,1)/60/$D73)</f>
        <v/>
      </c>
      <c r="M73" s="49" t="str">
        <f>IF($B73="","",SUMIFS(Data!$AL$2:$AL$1201,Data!$S$2:$S$1201,$B73))</f>
        <v/>
      </c>
      <c r="Z73" t="str">
        <f>IFERROR(INDEX(Data!$S$2:$S$1201,MATCH(66,Data!$Y$2:$Y$1201,0)),"")</f>
        <v/>
      </c>
    </row>
    <row r="74" spans="2:26" x14ac:dyDescent="0.25">
      <c r="B74" s="51" t="str">
        <f>IFERROR(SMALL(Rhythm!$Z$8:$Z$207,65),"")</f>
        <v/>
      </c>
      <c r="C74" s="42" t="str">
        <f t="shared" ref="C74:C105" si="8">IF($B74="","",TEXT($B74,"ddd"))</f>
        <v/>
      </c>
      <c r="D74" s="44" t="str">
        <f>IF($B74="","",SUMIFS(Data!$N$2:$N$1201,Data!$S$2:$S$1201,$B74)/60)</f>
        <v/>
      </c>
      <c r="E74" s="52" t="str">
        <f>IF($B74="","",IF(SUMIFS(Data!$O$2:$O$1201,Data!$S$2:$S$1201,$B74,Data!$AP$2:$AP$1201,1)=0,"",SUMIFS(Data!$O$2:$O$1201,Data!$S$2:$S$1201,$B74,Data!$AP$2:$AP$1201,1)-$B74))</f>
        <v/>
      </c>
      <c r="F74" s="52" t="str">
        <f>IF($B74="","",IF(SUMIFS(Data!$P$2:$P$1201,Data!$S$2:$S$1201,$B74,Data!$AQ$2:$AQ$1201,1)=0,"",SUMIFS(Data!$P$2:$P$1201,Data!$S$2:$S$1201,$B74,Data!$AQ$2:$AQ$1201,1)-$B74))</f>
        <v/>
      </c>
      <c r="G74" s="53" t="str">
        <f t="shared" ref="G74:G105" si="9">IF($B74="","",MAX($D74,IF(OR($E74="",$F74="",$F74&lt;=$E74),0,($F74-$E74)*24)))</f>
        <v/>
      </c>
      <c r="H74" s="53" t="str">
        <f t="shared" ref="H74:H105" si="10">IF($G74="","",$G74-$D74)</f>
        <v/>
      </c>
      <c r="I74" s="45" t="str">
        <f t="shared" ref="I74:I105" si="11">IF(OR($G74="",$G74=0),"",$D74/$G74)</f>
        <v/>
      </c>
      <c r="J74" s="47" t="str">
        <f>IF($B74="","",COUNTIFS(Data!$S$2:$S$1201,$B74,Data!$E$2:$E$1201,"timed"))</f>
        <v/>
      </c>
      <c r="K74" s="47" t="str">
        <f>IF($B74="","",SUMIFS(Data!$AG$2:$AG$1201,Data!$S$2:$S$1201,$B74))</f>
        <v/>
      </c>
      <c r="L74" s="45" t="str">
        <f>IF(OR($B74="",$D74=0),"",SUMIFS(Data!$N$2:$N$1201,Data!$S$2:$S$1201,$B74,Data!$AI$2:$AI$1201,1)/60/$D74)</f>
        <v/>
      </c>
      <c r="M74" s="49" t="str">
        <f>IF($B74="","",SUMIFS(Data!$AL$2:$AL$1201,Data!$S$2:$S$1201,$B74))</f>
        <v/>
      </c>
      <c r="Z74" t="str">
        <f>IFERROR(INDEX(Data!$S$2:$S$1201,MATCH(67,Data!$Y$2:$Y$1201,0)),"")</f>
        <v/>
      </c>
    </row>
    <row r="75" spans="2:26" x14ac:dyDescent="0.25">
      <c r="B75" s="51" t="str">
        <f>IFERROR(SMALL(Rhythm!$Z$8:$Z$207,66),"")</f>
        <v/>
      </c>
      <c r="C75" s="42" t="str">
        <f t="shared" si="8"/>
        <v/>
      </c>
      <c r="D75" s="44" t="str">
        <f>IF($B75="","",SUMIFS(Data!$N$2:$N$1201,Data!$S$2:$S$1201,$B75)/60)</f>
        <v/>
      </c>
      <c r="E75" s="52" t="str">
        <f>IF($B75="","",IF(SUMIFS(Data!$O$2:$O$1201,Data!$S$2:$S$1201,$B75,Data!$AP$2:$AP$1201,1)=0,"",SUMIFS(Data!$O$2:$O$1201,Data!$S$2:$S$1201,$B75,Data!$AP$2:$AP$1201,1)-$B75))</f>
        <v/>
      </c>
      <c r="F75" s="52" t="str">
        <f>IF($B75="","",IF(SUMIFS(Data!$P$2:$P$1201,Data!$S$2:$S$1201,$B75,Data!$AQ$2:$AQ$1201,1)=0,"",SUMIFS(Data!$P$2:$P$1201,Data!$S$2:$S$1201,$B75,Data!$AQ$2:$AQ$1201,1)-$B75))</f>
        <v/>
      </c>
      <c r="G75" s="53" t="str">
        <f t="shared" si="9"/>
        <v/>
      </c>
      <c r="H75" s="53" t="str">
        <f t="shared" si="10"/>
        <v/>
      </c>
      <c r="I75" s="45" t="str">
        <f t="shared" si="11"/>
        <v/>
      </c>
      <c r="J75" s="47" t="str">
        <f>IF($B75="","",COUNTIFS(Data!$S$2:$S$1201,$B75,Data!$E$2:$E$1201,"timed"))</f>
        <v/>
      </c>
      <c r="K75" s="47" t="str">
        <f>IF($B75="","",SUMIFS(Data!$AG$2:$AG$1201,Data!$S$2:$S$1201,$B75))</f>
        <v/>
      </c>
      <c r="L75" s="45" t="str">
        <f>IF(OR($B75="",$D75=0),"",SUMIFS(Data!$N$2:$N$1201,Data!$S$2:$S$1201,$B75,Data!$AI$2:$AI$1201,1)/60/$D75)</f>
        <v/>
      </c>
      <c r="M75" s="49" t="str">
        <f>IF($B75="","",SUMIFS(Data!$AL$2:$AL$1201,Data!$S$2:$S$1201,$B75))</f>
        <v/>
      </c>
      <c r="Z75" t="str">
        <f>IFERROR(INDEX(Data!$S$2:$S$1201,MATCH(68,Data!$Y$2:$Y$1201,0)),"")</f>
        <v/>
      </c>
    </row>
    <row r="76" spans="2:26" x14ac:dyDescent="0.25">
      <c r="B76" s="51" t="str">
        <f>IFERROR(SMALL(Rhythm!$Z$8:$Z$207,67),"")</f>
        <v/>
      </c>
      <c r="C76" s="42" t="str">
        <f t="shared" si="8"/>
        <v/>
      </c>
      <c r="D76" s="44" t="str">
        <f>IF($B76="","",SUMIFS(Data!$N$2:$N$1201,Data!$S$2:$S$1201,$B76)/60)</f>
        <v/>
      </c>
      <c r="E76" s="52" t="str">
        <f>IF($B76="","",IF(SUMIFS(Data!$O$2:$O$1201,Data!$S$2:$S$1201,$B76,Data!$AP$2:$AP$1201,1)=0,"",SUMIFS(Data!$O$2:$O$1201,Data!$S$2:$S$1201,$B76,Data!$AP$2:$AP$1201,1)-$B76))</f>
        <v/>
      </c>
      <c r="F76" s="52" t="str">
        <f>IF($B76="","",IF(SUMIFS(Data!$P$2:$P$1201,Data!$S$2:$S$1201,$B76,Data!$AQ$2:$AQ$1201,1)=0,"",SUMIFS(Data!$P$2:$P$1201,Data!$S$2:$S$1201,$B76,Data!$AQ$2:$AQ$1201,1)-$B76))</f>
        <v/>
      </c>
      <c r="G76" s="53" t="str">
        <f t="shared" si="9"/>
        <v/>
      </c>
      <c r="H76" s="53" t="str">
        <f t="shared" si="10"/>
        <v/>
      </c>
      <c r="I76" s="45" t="str">
        <f t="shared" si="11"/>
        <v/>
      </c>
      <c r="J76" s="47" t="str">
        <f>IF($B76="","",COUNTIFS(Data!$S$2:$S$1201,$B76,Data!$E$2:$E$1201,"timed"))</f>
        <v/>
      </c>
      <c r="K76" s="47" t="str">
        <f>IF($B76="","",SUMIFS(Data!$AG$2:$AG$1201,Data!$S$2:$S$1201,$B76))</f>
        <v/>
      </c>
      <c r="L76" s="45" t="str">
        <f>IF(OR($B76="",$D76=0),"",SUMIFS(Data!$N$2:$N$1201,Data!$S$2:$S$1201,$B76,Data!$AI$2:$AI$1201,1)/60/$D76)</f>
        <v/>
      </c>
      <c r="M76" s="49" t="str">
        <f>IF($B76="","",SUMIFS(Data!$AL$2:$AL$1201,Data!$S$2:$S$1201,$B76))</f>
        <v/>
      </c>
      <c r="Z76" t="str">
        <f>IFERROR(INDEX(Data!$S$2:$S$1201,MATCH(69,Data!$Y$2:$Y$1201,0)),"")</f>
        <v/>
      </c>
    </row>
    <row r="77" spans="2:26" x14ac:dyDescent="0.25">
      <c r="B77" s="51" t="str">
        <f>IFERROR(SMALL(Rhythm!$Z$8:$Z$207,68),"")</f>
        <v/>
      </c>
      <c r="C77" s="42" t="str">
        <f t="shared" si="8"/>
        <v/>
      </c>
      <c r="D77" s="44" t="str">
        <f>IF($B77="","",SUMIFS(Data!$N$2:$N$1201,Data!$S$2:$S$1201,$B77)/60)</f>
        <v/>
      </c>
      <c r="E77" s="52" t="str">
        <f>IF($B77="","",IF(SUMIFS(Data!$O$2:$O$1201,Data!$S$2:$S$1201,$B77,Data!$AP$2:$AP$1201,1)=0,"",SUMIFS(Data!$O$2:$O$1201,Data!$S$2:$S$1201,$B77,Data!$AP$2:$AP$1201,1)-$B77))</f>
        <v/>
      </c>
      <c r="F77" s="52" t="str">
        <f>IF($B77="","",IF(SUMIFS(Data!$P$2:$P$1201,Data!$S$2:$S$1201,$B77,Data!$AQ$2:$AQ$1201,1)=0,"",SUMIFS(Data!$P$2:$P$1201,Data!$S$2:$S$1201,$B77,Data!$AQ$2:$AQ$1201,1)-$B77))</f>
        <v/>
      </c>
      <c r="G77" s="53" t="str">
        <f t="shared" si="9"/>
        <v/>
      </c>
      <c r="H77" s="53" t="str">
        <f t="shared" si="10"/>
        <v/>
      </c>
      <c r="I77" s="45" t="str">
        <f t="shared" si="11"/>
        <v/>
      </c>
      <c r="J77" s="47" t="str">
        <f>IF($B77="","",COUNTIFS(Data!$S$2:$S$1201,$B77,Data!$E$2:$E$1201,"timed"))</f>
        <v/>
      </c>
      <c r="K77" s="47" t="str">
        <f>IF($B77="","",SUMIFS(Data!$AG$2:$AG$1201,Data!$S$2:$S$1201,$B77))</f>
        <v/>
      </c>
      <c r="L77" s="45" t="str">
        <f>IF(OR($B77="",$D77=0),"",SUMIFS(Data!$N$2:$N$1201,Data!$S$2:$S$1201,$B77,Data!$AI$2:$AI$1201,1)/60/$D77)</f>
        <v/>
      </c>
      <c r="M77" s="49" t="str">
        <f>IF($B77="","",SUMIFS(Data!$AL$2:$AL$1201,Data!$S$2:$S$1201,$B77))</f>
        <v/>
      </c>
      <c r="Z77" t="str">
        <f>IFERROR(INDEX(Data!$S$2:$S$1201,MATCH(70,Data!$Y$2:$Y$1201,0)),"")</f>
        <v/>
      </c>
    </row>
    <row r="78" spans="2:26" x14ac:dyDescent="0.25">
      <c r="B78" s="51" t="str">
        <f>IFERROR(SMALL(Rhythm!$Z$8:$Z$207,69),"")</f>
        <v/>
      </c>
      <c r="C78" s="42" t="str">
        <f t="shared" si="8"/>
        <v/>
      </c>
      <c r="D78" s="44" t="str">
        <f>IF($B78="","",SUMIFS(Data!$N$2:$N$1201,Data!$S$2:$S$1201,$B78)/60)</f>
        <v/>
      </c>
      <c r="E78" s="52" t="str">
        <f>IF($B78="","",IF(SUMIFS(Data!$O$2:$O$1201,Data!$S$2:$S$1201,$B78,Data!$AP$2:$AP$1201,1)=0,"",SUMIFS(Data!$O$2:$O$1201,Data!$S$2:$S$1201,$B78,Data!$AP$2:$AP$1201,1)-$B78))</f>
        <v/>
      </c>
      <c r="F78" s="52" t="str">
        <f>IF($B78="","",IF(SUMIFS(Data!$P$2:$P$1201,Data!$S$2:$S$1201,$B78,Data!$AQ$2:$AQ$1201,1)=0,"",SUMIFS(Data!$P$2:$P$1201,Data!$S$2:$S$1201,$B78,Data!$AQ$2:$AQ$1201,1)-$B78))</f>
        <v/>
      </c>
      <c r="G78" s="53" t="str">
        <f t="shared" si="9"/>
        <v/>
      </c>
      <c r="H78" s="53" t="str">
        <f t="shared" si="10"/>
        <v/>
      </c>
      <c r="I78" s="45" t="str">
        <f t="shared" si="11"/>
        <v/>
      </c>
      <c r="J78" s="47" t="str">
        <f>IF($B78="","",COUNTIFS(Data!$S$2:$S$1201,$B78,Data!$E$2:$E$1201,"timed"))</f>
        <v/>
      </c>
      <c r="K78" s="47" t="str">
        <f>IF($B78="","",SUMIFS(Data!$AG$2:$AG$1201,Data!$S$2:$S$1201,$B78))</f>
        <v/>
      </c>
      <c r="L78" s="45" t="str">
        <f>IF(OR($B78="",$D78=0),"",SUMIFS(Data!$N$2:$N$1201,Data!$S$2:$S$1201,$B78,Data!$AI$2:$AI$1201,1)/60/$D78)</f>
        <v/>
      </c>
      <c r="M78" s="49" t="str">
        <f>IF($B78="","",SUMIFS(Data!$AL$2:$AL$1201,Data!$S$2:$S$1201,$B78))</f>
        <v/>
      </c>
      <c r="Z78" t="str">
        <f>IFERROR(INDEX(Data!$S$2:$S$1201,MATCH(71,Data!$Y$2:$Y$1201,0)),"")</f>
        <v/>
      </c>
    </row>
    <row r="79" spans="2:26" x14ac:dyDescent="0.25">
      <c r="B79" s="51" t="str">
        <f>IFERROR(SMALL(Rhythm!$Z$8:$Z$207,70),"")</f>
        <v/>
      </c>
      <c r="C79" s="42" t="str">
        <f t="shared" si="8"/>
        <v/>
      </c>
      <c r="D79" s="44" t="str">
        <f>IF($B79="","",SUMIFS(Data!$N$2:$N$1201,Data!$S$2:$S$1201,$B79)/60)</f>
        <v/>
      </c>
      <c r="E79" s="52" t="str">
        <f>IF($B79="","",IF(SUMIFS(Data!$O$2:$O$1201,Data!$S$2:$S$1201,$B79,Data!$AP$2:$AP$1201,1)=0,"",SUMIFS(Data!$O$2:$O$1201,Data!$S$2:$S$1201,$B79,Data!$AP$2:$AP$1201,1)-$B79))</f>
        <v/>
      </c>
      <c r="F79" s="52" t="str">
        <f>IF($B79="","",IF(SUMIFS(Data!$P$2:$P$1201,Data!$S$2:$S$1201,$B79,Data!$AQ$2:$AQ$1201,1)=0,"",SUMIFS(Data!$P$2:$P$1201,Data!$S$2:$S$1201,$B79,Data!$AQ$2:$AQ$1201,1)-$B79))</f>
        <v/>
      </c>
      <c r="G79" s="53" t="str">
        <f t="shared" si="9"/>
        <v/>
      </c>
      <c r="H79" s="53" t="str">
        <f t="shared" si="10"/>
        <v/>
      </c>
      <c r="I79" s="45" t="str">
        <f t="shared" si="11"/>
        <v/>
      </c>
      <c r="J79" s="47" t="str">
        <f>IF($B79="","",COUNTIFS(Data!$S$2:$S$1201,$B79,Data!$E$2:$E$1201,"timed"))</f>
        <v/>
      </c>
      <c r="K79" s="47" t="str">
        <f>IF($B79="","",SUMIFS(Data!$AG$2:$AG$1201,Data!$S$2:$S$1201,$B79))</f>
        <v/>
      </c>
      <c r="L79" s="45" t="str">
        <f>IF(OR($B79="",$D79=0),"",SUMIFS(Data!$N$2:$N$1201,Data!$S$2:$S$1201,$B79,Data!$AI$2:$AI$1201,1)/60/$D79)</f>
        <v/>
      </c>
      <c r="M79" s="49" t="str">
        <f>IF($B79="","",SUMIFS(Data!$AL$2:$AL$1201,Data!$S$2:$S$1201,$B79))</f>
        <v/>
      </c>
      <c r="Z79" t="str">
        <f>IFERROR(INDEX(Data!$S$2:$S$1201,MATCH(72,Data!$Y$2:$Y$1201,0)),"")</f>
        <v/>
      </c>
    </row>
    <row r="80" spans="2:26" x14ac:dyDescent="0.25">
      <c r="B80" s="51" t="str">
        <f>IFERROR(SMALL(Rhythm!$Z$8:$Z$207,71),"")</f>
        <v/>
      </c>
      <c r="C80" s="42" t="str">
        <f t="shared" si="8"/>
        <v/>
      </c>
      <c r="D80" s="44" t="str">
        <f>IF($B80="","",SUMIFS(Data!$N$2:$N$1201,Data!$S$2:$S$1201,$B80)/60)</f>
        <v/>
      </c>
      <c r="E80" s="52" t="str">
        <f>IF($B80="","",IF(SUMIFS(Data!$O$2:$O$1201,Data!$S$2:$S$1201,$B80,Data!$AP$2:$AP$1201,1)=0,"",SUMIFS(Data!$O$2:$O$1201,Data!$S$2:$S$1201,$B80,Data!$AP$2:$AP$1201,1)-$B80))</f>
        <v/>
      </c>
      <c r="F80" s="52" t="str">
        <f>IF($B80="","",IF(SUMIFS(Data!$P$2:$P$1201,Data!$S$2:$S$1201,$B80,Data!$AQ$2:$AQ$1201,1)=0,"",SUMIFS(Data!$P$2:$P$1201,Data!$S$2:$S$1201,$B80,Data!$AQ$2:$AQ$1201,1)-$B80))</f>
        <v/>
      </c>
      <c r="G80" s="53" t="str">
        <f t="shared" si="9"/>
        <v/>
      </c>
      <c r="H80" s="53" t="str">
        <f t="shared" si="10"/>
        <v/>
      </c>
      <c r="I80" s="45" t="str">
        <f t="shared" si="11"/>
        <v/>
      </c>
      <c r="J80" s="47" t="str">
        <f>IF($B80="","",COUNTIFS(Data!$S$2:$S$1201,$B80,Data!$E$2:$E$1201,"timed"))</f>
        <v/>
      </c>
      <c r="K80" s="47" t="str">
        <f>IF($B80="","",SUMIFS(Data!$AG$2:$AG$1201,Data!$S$2:$S$1201,$B80))</f>
        <v/>
      </c>
      <c r="L80" s="45" t="str">
        <f>IF(OR($B80="",$D80=0),"",SUMIFS(Data!$N$2:$N$1201,Data!$S$2:$S$1201,$B80,Data!$AI$2:$AI$1201,1)/60/$D80)</f>
        <v/>
      </c>
      <c r="M80" s="49" t="str">
        <f>IF($B80="","",SUMIFS(Data!$AL$2:$AL$1201,Data!$S$2:$S$1201,$B80))</f>
        <v/>
      </c>
      <c r="Z80" t="str">
        <f>IFERROR(INDEX(Data!$S$2:$S$1201,MATCH(73,Data!$Y$2:$Y$1201,0)),"")</f>
        <v/>
      </c>
    </row>
    <row r="81" spans="2:26" x14ac:dyDescent="0.25">
      <c r="B81" s="51" t="str">
        <f>IFERROR(SMALL(Rhythm!$Z$8:$Z$207,72),"")</f>
        <v/>
      </c>
      <c r="C81" s="42" t="str">
        <f t="shared" si="8"/>
        <v/>
      </c>
      <c r="D81" s="44" t="str">
        <f>IF($B81="","",SUMIFS(Data!$N$2:$N$1201,Data!$S$2:$S$1201,$B81)/60)</f>
        <v/>
      </c>
      <c r="E81" s="52" t="str">
        <f>IF($B81="","",IF(SUMIFS(Data!$O$2:$O$1201,Data!$S$2:$S$1201,$B81,Data!$AP$2:$AP$1201,1)=0,"",SUMIFS(Data!$O$2:$O$1201,Data!$S$2:$S$1201,$B81,Data!$AP$2:$AP$1201,1)-$B81))</f>
        <v/>
      </c>
      <c r="F81" s="52" t="str">
        <f>IF($B81="","",IF(SUMIFS(Data!$P$2:$P$1201,Data!$S$2:$S$1201,$B81,Data!$AQ$2:$AQ$1201,1)=0,"",SUMIFS(Data!$P$2:$P$1201,Data!$S$2:$S$1201,$B81,Data!$AQ$2:$AQ$1201,1)-$B81))</f>
        <v/>
      </c>
      <c r="G81" s="53" t="str">
        <f t="shared" si="9"/>
        <v/>
      </c>
      <c r="H81" s="53" t="str">
        <f t="shared" si="10"/>
        <v/>
      </c>
      <c r="I81" s="45" t="str">
        <f t="shared" si="11"/>
        <v/>
      </c>
      <c r="J81" s="47" t="str">
        <f>IF($B81="","",COUNTIFS(Data!$S$2:$S$1201,$B81,Data!$E$2:$E$1201,"timed"))</f>
        <v/>
      </c>
      <c r="K81" s="47" t="str">
        <f>IF($B81="","",SUMIFS(Data!$AG$2:$AG$1201,Data!$S$2:$S$1201,$B81))</f>
        <v/>
      </c>
      <c r="L81" s="45" t="str">
        <f>IF(OR($B81="",$D81=0),"",SUMIFS(Data!$N$2:$N$1201,Data!$S$2:$S$1201,$B81,Data!$AI$2:$AI$1201,1)/60/$D81)</f>
        <v/>
      </c>
      <c r="M81" s="49" t="str">
        <f>IF($B81="","",SUMIFS(Data!$AL$2:$AL$1201,Data!$S$2:$S$1201,$B81))</f>
        <v/>
      </c>
      <c r="Z81" t="str">
        <f>IFERROR(INDEX(Data!$S$2:$S$1201,MATCH(74,Data!$Y$2:$Y$1201,0)),"")</f>
        <v/>
      </c>
    </row>
    <row r="82" spans="2:26" x14ac:dyDescent="0.25">
      <c r="B82" s="51" t="str">
        <f>IFERROR(SMALL(Rhythm!$Z$8:$Z$207,73),"")</f>
        <v/>
      </c>
      <c r="C82" s="42" t="str">
        <f t="shared" si="8"/>
        <v/>
      </c>
      <c r="D82" s="44" t="str">
        <f>IF($B82="","",SUMIFS(Data!$N$2:$N$1201,Data!$S$2:$S$1201,$B82)/60)</f>
        <v/>
      </c>
      <c r="E82" s="52" t="str">
        <f>IF($B82="","",IF(SUMIFS(Data!$O$2:$O$1201,Data!$S$2:$S$1201,$B82,Data!$AP$2:$AP$1201,1)=0,"",SUMIFS(Data!$O$2:$O$1201,Data!$S$2:$S$1201,$B82,Data!$AP$2:$AP$1201,1)-$B82))</f>
        <v/>
      </c>
      <c r="F82" s="52" t="str">
        <f>IF($B82="","",IF(SUMIFS(Data!$P$2:$P$1201,Data!$S$2:$S$1201,$B82,Data!$AQ$2:$AQ$1201,1)=0,"",SUMIFS(Data!$P$2:$P$1201,Data!$S$2:$S$1201,$B82,Data!$AQ$2:$AQ$1201,1)-$B82))</f>
        <v/>
      </c>
      <c r="G82" s="53" t="str">
        <f t="shared" si="9"/>
        <v/>
      </c>
      <c r="H82" s="53" t="str">
        <f t="shared" si="10"/>
        <v/>
      </c>
      <c r="I82" s="45" t="str">
        <f t="shared" si="11"/>
        <v/>
      </c>
      <c r="J82" s="47" t="str">
        <f>IF($B82="","",COUNTIFS(Data!$S$2:$S$1201,$B82,Data!$E$2:$E$1201,"timed"))</f>
        <v/>
      </c>
      <c r="K82" s="47" t="str">
        <f>IF($B82="","",SUMIFS(Data!$AG$2:$AG$1201,Data!$S$2:$S$1201,$B82))</f>
        <v/>
      </c>
      <c r="L82" s="45" t="str">
        <f>IF(OR($B82="",$D82=0),"",SUMIFS(Data!$N$2:$N$1201,Data!$S$2:$S$1201,$B82,Data!$AI$2:$AI$1201,1)/60/$D82)</f>
        <v/>
      </c>
      <c r="M82" s="49" t="str">
        <f>IF($B82="","",SUMIFS(Data!$AL$2:$AL$1201,Data!$S$2:$S$1201,$B82))</f>
        <v/>
      </c>
      <c r="Z82" t="str">
        <f>IFERROR(INDEX(Data!$S$2:$S$1201,MATCH(75,Data!$Y$2:$Y$1201,0)),"")</f>
        <v/>
      </c>
    </row>
    <row r="83" spans="2:26" x14ac:dyDescent="0.25">
      <c r="B83" s="51" t="str">
        <f>IFERROR(SMALL(Rhythm!$Z$8:$Z$207,74),"")</f>
        <v/>
      </c>
      <c r="C83" s="42" t="str">
        <f t="shared" si="8"/>
        <v/>
      </c>
      <c r="D83" s="44" t="str">
        <f>IF($B83="","",SUMIFS(Data!$N$2:$N$1201,Data!$S$2:$S$1201,$B83)/60)</f>
        <v/>
      </c>
      <c r="E83" s="52" t="str">
        <f>IF($B83="","",IF(SUMIFS(Data!$O$2:$O$1201,Data!$S$2:$S$1201,$B83,Data!$AP$2:$AP$1201,1)=0,"",SUMIFS(Data!$O$2:$O$1201,Data!$S$2:$S$1201,$B83,Data!$AP$2:$AP$1201,1)-$B83))</f>
        <v/>
      </c>
      <c r="F83" s="52" t="str">
        <f>IF($B83="","",IF(SUMIFS(Data!$P$2:$P$1201,Data!$S$2:$S$1201,$B83,Data!$AQ$2:$AQ$1201,1)=0,"",SUMIFS(Data!$P$2:$P$1201,Data!$S$2:$S$1201,$B83,Data!$AQ$2:$AQ$1201,1)-$B83))</f>
        <v/>
      </c>
      <c r="G83" s="53" t="str">
        <f t="shared" si="9"/>
        <v/>
      </c>
      <c r="H83" s="53" t="str">
        <f t="shared" si="10"/>
        <v/>
      </c>
      <c r="I83" s="45" t="str">
        <f t="shared" si="11"/>
        <v/>
      </c>
      <c r="J83" s="47" t="str">
        <f>IF($B83="","",COUNTIFS(Data!$S$2:$S$1201,$B83,Data!$E$2:$E$1201,"timed"))</f>
        <v/>
      </c>
      <c r="K83" s="47" t="str">
        <f>IF($B83="","",SUMIFS(Data!$AG$2:$AG$1201,Data!$S$2:$S$1201,$B83))</f>
        <v/>
      </c>
      <c r="L83" s="45" t="str">
        <f>IF(OR($B83="",$D83=0),"",SUMIFS(Data!$N$2:$N$1201,Data!$S$2:$S$1201,$B83,Data!$AI$2:$AI$1201,1)/60/$D83)</f>
        <v/>
      </c>
      <c r="M83" s="49" t="str">
        <f>IF($B83="","",SUMIFS(Data!$AL$2:$AL$1201,Data!$S$2:$S$1201,$B83))</f>
        <v/>
      </c>
      <c r="Z83" t="str">
        <f>IFERROR(INDEX(Data!$S$2:$S$1201,MATCH(76,Data!$Y$2:$Y$1201,0)),"")</f>
        <v/>
      </c>
    </row>
    <row r="84" spans="2:26" x14ac:dyDescent="0.25">
      <c r="B84" s="51" t="str">
        <f>IFERROR(SMALL(Rhythm!$Z$8:$Z$207,75),"")</f>
        <v/>
      </c>
      <c r="C84" s="42" t="str">
        <f t="shared" si="8"/>
        <v/>
      </c>
      <c r="D84" s="44" t="str">
        <f>IF($B84="","",SUMIFS(Data!$N$2:$N$1201,Data!$S$2:$S$1201,$B84)/60)</f>
        <v/>
      </c>
      <c r="E84" s="52" t="str">
        <f>IF($B84="","",IF(SUMIFS(Data!$O$2:$O$1201,Data!$S$2:$S$1201,$B84,Data!$AP$2:$AP$1201,1)=0,"",SUMIFS(Data!$O$2:$O$1201,Data!$S$2:$S$1201,$B84,Data!$AP$2:$AP$1201,1)-$B84))</f>
        <v/>
      </c>
      <c r="F84" s="52" t="str">
        <f>IF($B84="","",IF(SUMIFS(Data!$P$2:$P$1201,Data!$S$2:$S$1201,$B84,Data!$AQ$2:$AQ$1201,1)=0,"",SUMIFS(Data!$P$2:$P$1201,Data!$S$2:$S$1201,$B84,Data!$AQ$2:$AQ$1201,1)-$B84))</f>
        <v/>
      </c>
      <c r="G84" s="53" t="str">
        <f t="shared" si="9"/>
        <v/>
      </c>
      <c r="H84" s="53" t="str">
        <f t="shared" si="10"/>
        <v/>
      </c>
      <c r="I84" s="45" t="str">
        <f t="shared" si="11"/>
        <v/>
      </c>
      <c r="J84" s="47" t="str">
        <f>IF($B84="","",COUNTIFS(Data!$S$2:$S$1201,$B84,Data!$E$2:$E$1201,"timed"))</f>
        <v/>
      </c>
      <c r="K84" s="47" t="str">
        <f>IF($B84="","",SUMIFS(Data!$AG$2:$AG$1201,Data!$S$2:$S$1201,$B84))</f>
        <v/>
      </c>
      <c r="L84" s="45" t="str">
        <f>IF(OR($B84="",$D84=0),"",SUMIFS(Data!$N$2:$N$1201,Data!$S$2:$S$1201,$B84,Data!$AI$2:$AI$1201,1)/60/$D84)</f>
        <v/>
      </c>
      <c r="M84" s="49" t="str">
        <f>IF($B84="","",SUMIFS(Data!$AL$2:$AL$1201,Data!$S$2:$S$1201,$B84))</f>
        <v/>
      </c>
      <c r="Z84" t="str">
        <f>IFERROR(INDEX(Data!$S$2:$S$1201,MATCH(77,Data!$Y$2:$Y$1201,0)),"")</f>
        <v/>
      </c>
    </row>
    <row r="85" spans="2:26" x14ac:dyDescent="0.25">
      <c r="B85" s="51" t="str">
        <f>IFERROR(SMALL(Rhythm!$Z$8:$Z$207,76),"")</f>
        <v/>
      </c>
      <c r="C85" s="42" t="str">
        <f t="shared" si="8"/>
        <v/>
      </c>
      <c r="D85" s="44" t="str">
        <f>IF($B85="","",SUMIFS(Data!$N$2:$N$1201,Data!$S$2:$S$1201,$B85)/60)</f>
        <v/>
      </c>
      <c r="E85" s="52" t="str">
        <f>IF($B85="","",IF(SUMIFS(Data!$O$2:$O$1201,Data!$S$2:$S$1201,$B85,Data!$AP$2:$AP$1201,1)=0,"",SUMIFS(Data!$O$2:$O$1201,Data!$S$2:$S$1201,$B85,Data!$AP$2:$AP$1201,1)-$B85))</f>
        <v/>
      </c>
      <c r="F85" s="52" t="str">
        <f>IF($B85="","",IF(SUMIFS(Data!$P$2:$P$1201,Data!$S$2:$S$1201,$B85,Data!$AQ$2:$AQ$1201,1)=0,"",SUMIFS(Data!$P$2:$P$1201,Data!$S$2:$S$1201,$B85,Data!$AQ$2:$AQ$1201,1)-$B85))</f>
        <v/>
      </c>
      <c r="G85" s="53" t="str">
        <f t="shared" si="9"/>
        <v/>
      </c>
      <c r="H85" s="53" t="str">
        <f t="shared" si="10"/>
        <v/>
      </c>
      <c r="I85" s="45" t="str">
        <f t="shared" si="11"/>
        <v/>
      </c>
      <c r="J85" s="47" t="str">
        <f>IF($B85="","",COUNTIFS(Data!$S$2:$S$1201,$B85,Data!$E$2:$E$1201,"timed"))</f>
        <v/>
      </c>
      <c r="K85" s="47" t="str">
        <f>IF($B85="","",SUMIFS(Data!$AG$2:$AG$1201,Data!$S$2:$S$1201,$B85))</f>
        <v/>
      </c>
      <c r="L85" s="45" t="str">
        <f>IF(OR($B85="",$D85=0),"",SUMIFS(Data!$N$2:$N$1201,Data!$S$2:$S$1201,$B85,Data!$AI$2:$AI$1201,1)/60/$D85)</f>
        <v/>
      </c>
      <c r="M85" s="49" t="str">
        <f>IF($B85="","",SUMIFS(Data!$AL$2:$AL$1201,Data!$S$2:$S$1201,$B85))</f>
        <v/>
      </c>
      <c r="Z85" t="str">
        <f>IFERROR(INDEX(Data!$S$2:$S$1201,MATCH(78,Data!$Y$2:$Y$1201,0)),"")</f>
        <v/>
      </c>
    </row>
    <row r="86" spans="2:26" x14ac:dyDescent="0.25">
      <c r="B86" s="51" t="str">
        <f>IFERROR(SMALL(Rhythm!$Z$8:$Z$207,77),"")</f>
        <v/>
      </c>
      <c r="C86" s="42" t="str">
        <f t="shared" si="8"/>
        <v/>
      </c>
      <c r="D86" s="44" t="str">
        <f>IF($B86="","",SUMIFS(Data!$N$2:$N$1201,Data!$S$2:$S$1201,$B86)/60)</f>
        <v/>
      </c>
      <c r="E86" s="52" t="str">
        <f>IF($B86="","",IF(SUMIFS(Data!$O$2:$O$1201,Data!$S$2:$S$1201,$B86,Data!$AP$2:$AP$1201,1)=0,"",SUMIFS(Data!$O$2:$O$1201,Data!$S$2:$S$1201,$B86,Data!$AP$2:$AP$1201,1)-$B86))</f>
        <v/>
      </c>
      <c r="F86" s="52" t="str">
        <f>IF($B86="","",IF(SUMIFS(Data!$P$2:$P$1201,Data!$S$2:$S$1201,$B86,Data!$AQ$2:$AQ$1201,1)=0,"",SUMIFS(Data!$P$2:$P$1201,Data!$S$2:$S$1201,$B86,Data!$AQ$2:$AQ$1201,1)-$B86))</f>
        <v/>
      </c>
      <c r="G86" s="53" t="str">
        <f t="shared" si="9"/>
        <v/>
      </c>
      <c r="H86" s="53" t="str">
        <f t="shared" si="10"/>
        <v/>
      </c>
      <c r="I86" s="45" t="str">
        <f t="shared" si="11"/>
        <v/>
      </c>
      <c r="J86" s="47" t="str">
        <f>IF($B86="","",COUNTIFS(Data!$S$2:$S$1201,$B86,Data!$E$2:$E$1201,"timed"))</f>
        <v/>
      </c>
      <c r="K86" s="47" t="str">
        <f>IF($B86="","",SUMIFS(Data!$AG$2:$AG$1201,Data!$S$2:$S$1201,$B86))</f>
        <v/>
      </c>
      <c r="L86" s="45" t="str">
        <f>IF(OR($B86="",$D86=0),"",SUMIFS(Data!$N$2:$N$1201,Data!$S$2:$S$1201,$B86,Data!$AI$2:$AI$1201,1)/60/$D86)</f>
        <v/>
      </c>
      <c r="M86" s="49" t="str">
        <f>IF($B86="","",SUMIFS(Data!$AL$2:$AL$1201,Data!$S$2:$S$1201,$B86))</f>
        <v/>
      </c>
      <c r="Z86" t="str">
        <f>IFERROR(INDEX(Data!$S$2:$S$1201,MATCH(79,Data!$Y$2:$Y$1201,0)),"")</f>
        <v/>
      </c>
    </row>
    <row r="87" spans="2:26" x14ac:dyDescent="0.25">
      <c r="B87" s="51" t="str">
        <f>IFERROR(SMALL(Rhythm!$Z$8:$Z$207,78),"")</f>
        <v/>
      </c>
      <c r="C87" s="42" t="str">
        <f t="shared" si="8"/>
        <v/>
      </c>
      <c r="D87" s="44" t="str">
        <f>IF($B87="","",SUMIFS(Data!$N$2:$N$1201,Data!$S$2:$S$1201,$B87)/60)</f>
        <v/>
      </c>
      <c r="E87" s="52" t="str">
        <f>IF($B87="","",IF(SUMIFS(Data!$O$2:$O$1201,Data!$S$2:$S$1201,$B87,Data!$AP$2:$AP$1201,1)=0,"",SUMIFS(Data!$O$2:$O$1201,Data!$S$2:$S$1201,$B87,Data!$AP$2:$AP$1201,1)-$B87))</f>
        <v/>
      </c>
      <c r="F87" s="52" t="str">
        <f>IF($B87="","",IF(SUMIFS(Data!$P$2:$P$1201,Data!$S$2:$S$1201,$B87,Data!$AQ$2:$AQ$1201,1)=0,"",SUMIFS(Data!$P$2:$P$1201,Data!$S$2:$S$1201,$B87,Data!$AQ$2:$AQ$1201,1)-$B87))</f>
        <v/>
      </c>
      <c r="G87" s="53" t="str">
        <f t="shared" si="9"/>
        <v/>
      </c>
      <c r="H87" s="53" t="str">
        <f t="shared" si="10"/>
        <v/>
      </c>
      <c r="I87" s="45" t="str">
        <f t="shared" si="11"/>
        <v/>
      </c>
      <c r="J87" s="47" t="str">
        <f>IF($B87="","",COUNTIFS(Data!$S$2:$S$1201,$B87,Data!$E$2:$E$1201,"timed"))</f>
        <v/>
      </c>
      <c r="K87" s="47" t="str">
        <f>IF($B87="","",SUMIFS(Data!$AG$2:$AG$1201,Data!$S$2:$S$1201,$B87))</f>
        <v/>
      </c>
      <c r="L87" s="45" t="str">
        <f>IF(OR($B87="",$D87=0),"",SUMIFS(Data!$N$2:$N$1201,Data!$S$2:$S$1201,$B87,Data!$AI$2:$AI$1201,1)/60/$D87)</f>
        <v/>
      </c>
      <c r="M87" s="49" t="str">
        <f>IF($B87="","",SUMIFS(Data!$AL$2:$AL$1201,Data!$S$2:$S$1201,$B87))</f>
        <v/>
      </c>
      <c r="Z87" t="str">
        <f>IFERROR(INDEX(Data!$S$2:$S$1201,MATCH(80,Data!$Y$2:$Y$1201,0)),"")</f>
        <v/>
      </c>
    </row>
    <row r="88" spans="2:26" x14ac:dyDescent="0.25">
      <c r="B88" s="51" t="str">
        <f>IFERROR(SMALL(Rhythm!$Z$8:$Z$207,79),"")</f>
        <v/>
      </c>
      <c r="C88" s="42" t="str">
        <f t="shared" si="8"/>
        <v/>
      </c>
      <c r="D88" s="44" t="str">
        <f>IF($B88="","",SUMIFS(Data!$N$2:$N$1201,Data!$S$2:$S$1201,$B88)/60)</f>
        <v/>
      </c>
      <c r="E88" s="52" t="str">
        <f>IF($B88="","",IF(SUMIFS(Data!$O$2:$O$1201,Data!$S$2:$S$1201,$B88,Data!$AP$2:$AP$1201,1)=0,"",SUMIFS(Data!$O$2:$O$1201,Data!$S$2:$S$1201,$B88,Data!$AP$2:$AP$1201,1)-$B88))</f>
        <v/>
      </c>
      <c r="F88" s="52" t="str">
        <f>IF($B88="","",IF(SUMIFS(Data!$P$2:$P$1201,Data!$S$2:$S$1201,$B88,Data!$AQ$2:$AQ$1201,1)=0,"",SUMIFS(Data!$P$2:$P$1201,Data!$S$2:$S$1201,$B88,Data!$AQ$2:$AQ$1201,1)-$B88))</f>
        <v/>
      </c>
      <c r="G88" s="53" t="str">
        <f t="shared" si="9"/>
        <v/>
      </c>
      <c r="H88" s="53" t="str">
        <f t="shared" si="10"/>
        <v/>
      </c>
      <c r="I88" s="45" t="str">
        <f t="shared" si="11"/>
        <v/>
      </c>
      <c r="J88" s="47" t="str">
        <f>IF($B88="","",COUNTIFS(Data!$S$2:$S$1201,$B88,Data!$E$2:$E$1201,"timed"))</f>
        <v/>
      </c>
      <c r="K88" s="47" t="str">
        <f>IF($B88="","",SUMIFS(Data!$AG$2:$AG$1201,Data!$S$2:$S$1201,$B88))</f>
        <v/>
      </c>
      <c r="L88" s="45" t="str">
        <f>IF(OR($B88="",$D88=0),"",SUMIFS(Data!$N$2:$N$1201,Data!$S$2:$S$1201,$B88,Data!$AI$2:$AI$1201,1)/60/$D88)</f>
        <v/>
      </c>
      <c r="M88" s="49" t="str">
        <f>IF($B88="","",SUMIFS(Data!$AL$2:$AL$1201,Data!$S$2:$S$1201,$B88))</f>
        <v/>
      </c>
      <c r="Z88" t="str">
        <f>IFERROR(INDEX(Data!$S$2:$S$1201,MATCH(81,Data!$Y$2:$Y$1201,0)),"")</f>
        <v/>
      </c>
    </row>
    <row r="89" spans="2:26" x14ac:dyDescent="0.25">
      <c r="B89" s="51" t="str">
        <f>IFERROR(SMALL(Rhythm!$Z$8:$Z$207,80),"")</f>
        <v/>
      </c>
      <c r="C89" s="42" t="str">
        <f t="shared" si="8"/>
        <v/>
      </c>
      <c r="D89" s="44" t="str">
        <f>IF($B89="","",SUMIFS(Data!$N$2:$N$1201,Data!$S$2:$S$1201,$B89)/60)</f>
        <v/>
      </c>
      <c r="E89" s="52" t="str">
        <f>IF($B89="","",IF(SUMIFS(Data!$O$2:$O$1201,Data!$S$2:$S$1201,$B89,Data!$AP$2:$AP$1201,1)=0,"",SUMIFS(Data!$O$2:$O$1201,Data!$S$2:$S$1201,$B89,Data!$AP$2:$AP$1201,1)-$B89))</f>
        <v/>
      </c>
      <c r="F89" s="52" t="str">
        <f>IF($B89="","",IF(SUMIFS(Data!$P$2:$P$1201,Data!$S$2:$S$1201,$B89,Data!$AQ$2:$AQ$1201,1)=0,"",SUMIFS(Data!$P$2:$P$1201,Data!$S$2:$S$1201,$B89,Data!$AQ$2:$AQ$1201,1)-$B89))</f>
        <v/>
      </c>
      <c r="G89" s="53" t="str">
        <f t="shared" si="9"/>
        <v/>
      </c>
      <c r="H89" s="53" t="str">
        <f t="shared" si="10"/>
        <v/>
      </c>
      <c r="I89" s="45" t="str">
        <f t="shared" si="11"/>
        <v/>
      </c>
      <c r="J89" s="47" t="str">
        <f>IF($B89="","",COUNTIFS(Data!$S$2:$S$1201,$B89,Data!$E$2:$E$1201,"timed"))</f>
        <v/>
      </c>
      <c r="K89" s="47" t="str">
        <f>IF($B89="","",SUMIFS(Data!$AG$2:$AG$1201,Data!$S$2:$S$1201,$B89))</f>
        <v/>
      </c>
      <c r="L89" s="45" t="str">
        <f>IF(OR($B89="",$D89=0),"",SUMIFS(Data!$N$2:$N$1201,Data!$S$2:$S$1201,$B89,Data!$AI$2:$AI$1201,1)/60/$D89)</f>
        <v/>
      </c>
      <c r="M89" s="49" t="str">
        <f>IF($B89="","",SUMIFS(Data!$AL$2:$AL$1201,Data!$S$2:$S$1201,$B89))</f>
        <v/>
      </c>
      <c r="Z89" t="str">
        <f>IFERROR(INDEX(Data!$S$2:$S$1201,MATCH(82,Data!$Y$2:$Y$1201,0)),"")</f>
        <v/>
      </c>
    </row>
    <row r="90" spans="2:26" x14ac:dyDescent="0.25">
      <c r="B90" s="51" t="str">
        <f>IFERROR(SMALL(Rhythm!$Z$8:$Z$207,81),"")</f>
        <v/>
      </c>
      <c r="C90" s="42" t="str">
        <f t="shared" si="8"/>
        <v/>
      </c>
      <c r="D90" s="44" t="str">
        <f>IF($B90="","",SUMIFS(Data!$N$2:$N$1201,Data!$S$2:$S$1201,$B90)/60)</f>
        <v/>
      </c>
      <c r="E90" s="52" t="str">
        <f>IF($B90="","",IF(SUMIFS(Data!$O$2:$O$1201,Data!$S$2:$S$1201,$B90,Data!$AP$2:$AP$1201,1)=0,"",SUMIFS(Data!$O$2:$O$1201,Data!$S$2:$S$1201,$B90,Data!$AP$2:$AP$1201,1)-$B90))</f>
        <v/>
      </c>
      <c r="F90" s="52" t="str">
        <f>IF($B90="","",IF(SUMIFS(Data!$P$2:$P$1201,Data!$S$2:$S$1201,$B90,Data!$AQ$2:$AQ$1201,1)=0,"",SUMIFS(Data!$P$2:$P$1201,Data!$S$2:$S$1201,$B90,Data!$AQ$2:$AQ$1201,1)-$B90))</f>
        <v/>
      </c>
      <c r="G90" s="53" t="str">
        <f t="shared" si="9"/>
        <v/>
      </c>
      <c r="H90" s="53" t="str">
        <f t="shared" si="10"/>
        <v/>
      </c>
      <c r="I90" s="45" t="str">
        <f t="shared" si="11"/>
        <v/>
      </c>
      <c r="J90" s="47" t="str">
        <f>IF($B90="","",COUNTIFS(Data!$S$2:$S$1201,$B90,Data!$E$2:$E$1201,"timed"))</f>
        <v/>
      </c>
      <c r="K90" s="47" t="str">
        <f>IF($B90="","",SUMIFS(Data!$AG$2:$AG$1201,Data!$S$2:$S$1201,$B90))</f>
        <v/>
      </c>
      <c r="L90" s="45" t="str">
        <f>IF(OR($B90="",$D90=0),"",SUMIFS(Data!$N$2:$N$1201,Data!$S$2:$S$1201,$B90,Data!$AI$2:$AI$1201,1)/60/$D90)</f>
        <v/>
      </c>
      <c r="M90" s="49" t="str">
        <f>IF($B90="","",SUMIFS(Data!$AL$2:$AL$1201,Data!$S$2:$S$1201,$B90))</f>
        <v/>
      </c>
      <c r="Z90" t="str">
        <f>IFERROR(INDEX(Data!$S$2:$S$1201,MATCH(83,Data!$Y$2:$Y$1201,0)),"")</f>
        <v/>
      </c>
    </row>
    <row r="91" spans="2:26" x14ac:dyDescent="0.25">
      <c r="B91" s="51" t="str">
        <f>IFERROR(SMALL(Rhythm!$Z$8:$Z$207,82),"")</f>
        <v/>
      </c>
      <c r="C91" s="42" t="str">
        <f t="shared" si="8"/>
        <v/>
      </c>
      <c r="D91" s="44" t="str">
        <f>IF($B91="","",SUMIFS(Data!$N$2:$N$1201,Data!$S$2:$S$1201,$B91)/60)</f>
        <v/>
      </c>
      <c r="E91" s="52" t="str">
        <f>IF($B91="","",IF(SUMIFS(Data!$O$2:$O$1201,Data!$S$2:$S$1201,$B91,Data!$AP$2:$AP$1201,1)=0,"",SUMIFS(Data!$O$2:$O$1201,Data!$S$2:$S$1201,$B91,Data!$AP$2:$AP$1201,1)-$B91))</f>
        <v/>
      </c>
      <c r="F91" s="52" t="str">
        <f>IF($B91="","",IF(SUMIFS(Data!$P$2:$P$1201,Data!$S$2:$S$1201,$B91,Data!$AQ$2:$AQ$1201,1)=0,"",SUMIFS(Data!$P$2:$P$1201,Data!$S$2:$S$1201,$B91,Data!$AQ$2:$AQ$1201,1)-$B91))</f>
        <v/>
      </c>
      <c r="G91" s="53" t="str">
        <f t="shared" si="9"/>
        <v/>
      </c>
      <c r="H91" s="53" t="str">
        <f t="shared" si="10"/>
        <v/>
      </c>
      <c r="I91" s="45" t="str">
        <f t="shared" si="11"/>
        <v/>
      </c>
      <c r="J91" s="47" t="str">
        <f>IF($B91="","",COUNTIFS(Data!$S$2:$S$1201,$B91,Data!$E$2:$E$1201,"timed"))</f>
        <v/>
      </c>
      <c r="K91" s="47" t="str">
        <f>IF($B91="","",SUMIFS(Data!$AG$2:$AG$1201,Data!$S$2:$S$1201,$B91))</f>
        <v/>
      </c>
      <c r="L91" s="45" t="str">
        <f>IF(OR($B91="",$D91=0),"",SUMIFS(Data!$N$2:$N$1201,Data!$S$2:$S$1201,$B91,Data!$AI$2:$AI$1201,1)/60/$D91)</f>
        <v/>
      </c>
      <c r="M91" s="49" t="str">
        <f>IF($B91="","",SUMIFS(Data!$AL$2:$AL$1201,Data!$S$2:$S$1201,$B91))</f>
        <v/>
      </c>
      <c r="Z91" t="str">
        <f>IFERROR(INDEX(Data!$S$2:$S$1201,MATCH(84,Data!$Y$2:$Y$1201,0)),"")</f>
        <v/>
      </c>
    </row>
    <row r="92" spans="2:26" x14ac:dyDescent="0.25">
      <c r="B92" s="51" t="str">
        <f>IFERROR(SMALL(Rhythm!$Z$8:$Z$207,83),"")</f>
        <v/>
      </c>
      <c r="C92" s="42" t="str">
        <f t="shared" si="8"/>
        <v/>
      </c>
      <c r="D92" s="44" t="str">
        <f>IF($B92="","",SUMIFS(Data!$N$2:$N$1201,Data!$S$2:$S$1201,$B92)/60)</f>
        <v/>
      </c>
      <c r="E92" s="52" t="str">
        <f>IF($B92="","",IF(SUMIFS(Data!$O$2:$O$1201,Data!$S$2:$S$1201,$B92,Data!$AP$2:$AP$1201,1)=0,"",SUMIFS(Data!$O$2:$O$1201,Data!$S$2:$S$1201,$B92,Data!$AP$2:$AP$1201,1)-$B92))</f>
        <v/>
      </c>
      <c r="F92" s="52" t="str">
        <f>IF($B92="","",IF(SUMIFS(Data!$P$2:$P$1201,Data!$S$2:$S$1201,$B92,Data!$AQ$2:$AQ$1201,1)=0,"",SUMIFS(Data!$P$2:$P$1201,Data!$S$2:$S$1201,$B92,Data!$AQ$2:$AQ$1201,1)-$B92))</f>
        <v/>
      </c>
      <c r="G92" s="53" t="str">
        <f t="shared" si="9"/>
        <v/>
      </c>
      <c r="H92" s="53" t="str">
        <f t="shared" si="10"/>
        <v/>
      </c>
      <c r="I92" s="45" t="str">
        <f t="shared" si="11"/>
        <v/>
      </c>
      <c r="J92" s="47" t="str">
        <f>IF($B92="","",COUNTIFS(Data!$S$2:$S$1201,$B92,Data!$E$2:$E$1201,"timed"))</f>
        <v/>
      </c>
      <c r="K92" s="47" t="str">
        <f>IF($B92="","",SUMIFS(Data!$AG$2:$AG$1201,Data!$S$2:$S$1201,$B92))</f>
        <v/>
      </c>
      <c r="L92" s="45" t="str">
        <f>IF(OR($B92="",$D92=0),"",SUMIFS(Data!$N$2:$N$1201,Data!$S$2:$S$1201,$B92,Data!$AI$2:$AI$1201,1)/60/$D92)</f>
        <v/>
      </c>
      <c r="M92" s="49" t="str">
        <f>IF($B92="","",SUMIFS(Data!$AL$2:$AL$1201,Data!$S$2:$S$1201,$B92))</f>
        <v/>
      </c>
      <c r="Z92" t="str">
        <f>IFERROR(INDEX(Data!$S$2:$S$1201,MATCH(85,Data!$Y$2:$Y$1201,0)),"")</f>
        <v/>
      </c>
    </row>
    <row r="93" spans="2:26" x14ac:dyDescent="0.25">
      <c r="B93" s="51" t="str">
        <f>IFERROR(SMALL(Rhythm!$Z$8:$Z$207,84),"")</f>
        <v/>
      </c>
      <c r="C93" s="42" t="str">
        <f t="shared" si="8"/>
        <v/>
      </c>
      <c r="D93" s="44" t="str">
        <f>IF($B93="","",SUMIFS(Data!$N$2:$N$1201,Data!$S$2:$S$1201,$B93)/60)</f>
        <v/>
      </c>
      <c r="E93" s="52" t="str">
        <f>IF($B93="","",IF(SUMIFS(Data!$O$2:$O$1201,Data!$S$2:$S$1201,$B93,Data!$AP$2:$AP$1201,1)=0,"",SUMIFS(Data!$O$2:$O$1201,Data!$S$2:$S$1201,$B93,Data!$AP$2:$AP$1201,1)-$B93))</f>
        <v/>
      </c>
      <c r="F93" s="52" t="str">
        <f>IF($B93="","",IF(SUMIFS(Data!$P$2:$P$1201,Data!$S$2:$S$1201,$B93,Data!$AQ$2:$AQ$1201,1)=0,"",SUMIFS(Data!$P$2:$P$1201,Data!$S$2:$S$1201,$B93,Data!$AQ$2:$AQ$1201,1)-$B93))</f>
        <v/>
      </c>
      <c r="G93" s="53" t="str">
        <f t="shared" si="9"/>
        <v/>
      </c>
      <c r="H93" s="53" t="str">
        <f t="shared" si="10"/>
        <v/>
      </c>
      <c r="I93" s="45" t="str">
        <f t="shared" si="11"/>
        <v/>
      </c>
      <c r="J93" s="47" t="str">
        <f>IF($B93="","",COUNTIFS(Data!$S$2:$S$1201,$B93,Data!$E$2:$E$1201,"timed"))</f>
        <v/>
      </c>
      <c r="K93" s="47" t="str">
        <f>IF($B93="","",SUMIFS(Data!$AG$2:$AG$1201,Data!$S$2:$S$1201,$B93))</f>
        <v/>
      </c>
      <c r="L93" s="45" t="str">
        <f>IF(OR($B93="",$D93=0),"",SUMIFS(Data!$N$2:$N$1201,Data!$S$2:$S$1201,$B93,Data!$AI$2:$AI$1201,1)/60/$D93)</f>
        <v/>
      </c>
      <c r="M93" s="49" t="str">
        <f>IF($B93="","",SUMIFS(Data!$AL$2:$AL$1201,Data!$S$2:$S$1201,$B93))</f>
        <v/>
      </c>
      <c r="Z93" t="str">
        <f>IFERROR(INDEX(Data!$S$2:$S$1201,MATCH(86,Data!$Y$2:$Y$1201,0)),"")</f>
        <v/>
      </c>
    </row>
    <row r="94" spans="2:26" x14ac:dyDescent="0.25">
      <c r="B94" s="51" t="str">
        <f>IFERROR(SMALL(Rhythm!$Z$8:$Z$207,85),"")</f>
        <v/>
      </c>
      <c r="C94" s="42" t="str">
        <f t="shared" si="8"/>
        <v/>
      </c>
      <c r="D94" s="44" t="str">
        <f>IF($B94="","",SUMIFS(Data!$N$2:$N$1201,Data!$S$2:$S$1201,$B94)/60)</f>
        <v/>
      </c>
      <c r="E94" s="52" t="str">
        <f>IF($B94="","",IF(SUMIFS(Data!$O$2:$O$1201,Data!$S$2:$S$1201,$B94,Data!$AP$2:$AP$1201,1)=0,"",SUMIFS(Data!$O$2:$O$1201,Data!$S$2:$S$1201,$B94,Data!$AP$2:$AP$1201,1)-$B94))</f>
        <v/>
      </c>
      <c r="F94" s="52" t="str">
        <f>IF($B94="","",IF(SUMIFS(Data!$P$2:$P$1201,Data!$S$2:$S$1201,$B94,Data!$AQ$2:$AQ$1201,1)=0,"",SUMIFS(Data!$P$2:$P$1201,Data!$S$2:$S$1201,$B94,Data!$AQ$2:$AQ$1201,1)-$B94))</f>
        <v/>
      </c>
      <c r="G94" s="53" t="str">
        <f t="shared" si="9"/>
        <v/>
      </c>
      <c r="H94" s="53" t="str">
        <f t="shared" si="10"/>
        <v/>
      </c>
      <c r="I94" s="45" t="str">
        <f t="shared" si="11"/>
        <v/>
      </c>
      <c r="J94" s="47" t="str">
        <f>IF($B94="","",COUNTIFS(Data!$S$2:$S$1201,$B94,Data!$E$2:$E$1201,"timed"))</f>
        <v/>
      </c>
      <c r="K94" s="47" t="str">
        <f>IF($B94="","",SUMIFS(Data!$AG$2:$AG$1201,Data!$S$2:$S$1201,$B94))</f>
        <v/>
      </c>
      <c r="L94" s="45" t="str">
        <f>IF(OR($B94="",$D94=0),"",SUMIFS(Data!$N$2:$N$1201,Data!$S$2:$S$1201,$B94,Data!$AI$2:$AI$1201,1)/60/$D94)</f>
        <v/>
      </c>
      <c r="M94" s="49" t="str">
        <f>IF($B94="","",SUMIFS(Data!$AL$2:$AL$1201,Data!$S$2:$S$1201,$B94))</f>
        <v/>
      </c>
      <c r="Z94" t="str">
        <f>IFERROR(INDEX(Data!$S$2:$S$1201,MATCH(87,Data!$Y$2:$Y$1201,0)),"")</f>
        <v/>
      </c>
    </row>
    <row r="95" spans="2:26" x14ac:dyDescent="0.25">
      <c r="B95" s="51" t="str">
        <f>IFERROR(SMALL(Rhythm!$Z$8:$Z$207,86),"")</f>
        <v/>
      </c>
      <c r="C95" s="42" t="str">
        <f t="shared" si="8"/>
        <v/>
      </c>
      <c r="D95" s="44" t="str">
        <f>IF($B95="","",SUMIFS(Data!$N$2:$N$1201,Data!$S$2:$S$1201,$B95)/60)</f>
        <v/>
      </c>
      <c r="E95" s="52" t="str">
        <f>IF($B95="","",IF(SUMIFS(Data!$O$2:$O$1201,Data!$S$2:$S$1201,$B95,Data!$AP$2:$AP$1201,1)=0,"",SUMIFS(Data!$O$2:$O$1201,Data!$S$2:$S$1201,$B95,Data!$AP$2:$AP$1201,1)-$B95))</f>
        <v/>
      </c>
      <c r="F95" s="52" t="str">
        <f>IF($B95="","",IF(SUMIFS(Data!$P$2:$P$1201,Data!$S$2:$S$1201,$B95,Data!$AQ$2:$AQ$1201,1)=0,"",SUMIFS(Data!$P$2:$P$1201,Data!$S$2:$S$1201,$B95,Data!$AQ$2:$AQ$1201,1)-$B95))</f>
        <v/>
      </c>
      <c r="G95" s="53" t="str">
        <f t="shared" si="9"/>
        <v/>
      </c>
      <c r="H95" s="53" t="str">
        <f t="shared" si="10"/>
        <v/>
      </c>
      <c r="I95" s="45" t="str">
        <f t="shared" si="11"/>
        <v/>
      </c>
      <c r="J95" s="47" t="str">
        <f>IF($B95="","",COUNTIFS(Data!$S$2:$S$1201,$B95,Data!$E$2:$E$1201,"timed"))</f>
        <v/>
      </c>
      <c r="K95" s="47" t="str">
        <f>IF($B95="","",SUMIFS(Data!$AG$2:$AG$1201,Data!$S$2:$S$1201,$B95))</f>
        <v/>
      </c>
      <c r="L95" s="45" t="str">
        <f>IF(OR($B95="",$D95=0),"",SUMIFS(Data!$N$2:$N$1201,Data!$S$2:$S$1201,$B95,Data!$AI$2:$AI$1201,1)/60/$D95)</f>
        <v/>
      </c>
      <c r="M95" s="49" t="str">
        <f>IF($B95="","",SUMIFS(Data!$AL$2:$AL$1201,Data!$S$2:$S$1201,$B95))</f>
        <v/>
      </c>
      <c r="Z95" t="str">
        <f>IFERROR(INDEX(Data!$S$2:$S$1201,MATCH(88,Data!$Y$2:$Y$1201,0)),"")</f>
        <v/>
      </c>
    </row>
    <row r="96" spans="2:26" x14ac:dyDescent="0.25">
      <c r="B96" s="51" t="str">
        <f>IFERROR(SMALL(Rhythm!$Z$8:$Z$207,87),"")</f>
        <v/>
      </c>
      <c r="C96" s="42" t="str">
        <f t="shared" si="8"/>
        <v/>
      </c>
      <c r="D96" s="44" t="str">
        <f>IF($B96="","",SUMIFS(Data!$N$2:$N$1201,Data!$S$2:$S$1201,$B96)/60)</f>
        <v/>
      </c>
      <c r="E96" s="52" t="str">
        <f>IF($B96="","",IF(SUMIFS(Data!$O$2:$O$1201,Data!$S$2:$S$1201,$B96,Data!$AP$2:$AP$1201,1)=0,"",SUMIFS(Data!$O$2:$O$1201,Data!$S$2:$S$1201,$B96,Data!$AP$2:$AP$1201,1)-$B96))</f>
        <v/>
      </c>
      <c r="F96" s="52" t="str">
        <f>IF($B96="","",IF(SUMIFS(Data!$P$2:$P$1201,Data!$S$2:$S$1201,$B96,Data!$AQ$2:$AQ$1201,1)=0,"",SUMIFS(Data!$P$2:$P$1201,Data!$S$2:$S$1201,$B96,Data!$AQ$2:$AQ$1201,1)-$B96))</f>
        <v/>
      </c>
      <c r="G96" s="53" t="str">
        <f t="shared" si="9"/>
        <v/>
      </c>
      <c r="H96" s="53" t="str">
        <f t="shared" si="10"/>
        <v/>
      </c>
      <c r="I96" s="45" t="str">
        <f t="shared" si="11"/>
        <v/>
      </c>
      <c r="J96" s="47" t="str">
        <f>IF($B96="","",COUNTIFS(Data!$S$2:$S$1201,$B96,Data!$E$2:$E$1201,"timed"))</f>
        <v/>
      </c>
      <c r="K96" s="47" t="str">
        <f>IF($B96="","",SUMIFS(Data!$AG$2:$AG$1201,Data!$S$2:$S$1201,$B96))</f>
        <v/>
      </c>
      <c r="L96" s="45" t="str">
        <f>IF(OR($B96="",$D96=0),"",SUMIFS(Data!$N$2:$N$1201,Data!$S$2:$S$1201,$B96,Data!$AI$2:$AI$1201,1)/60/$D96)</f>
        <v/>
      </c>
      <c r="M96" s="49" t="str">
        <f>IF($B96="","",SUMIFS(Data!$AL$2:$AL$1201,Data!$S$2:$S$1201,$B96))</f>
        <v/>
      </c>
      <c r="Z96" t="str">
        <f>IFERROR(INDEX(Data!$S$2:$S$1201,MATCH(89,Data!$Y$2:$Y$1201,0)),"")</f>
        <v/>
      </c>
    </row>
    <row r="97" spans="2:26" x14ac:dyDescent="0.25">
      <c r="B97" s="51" t="str">
        <f>IFERROR(SMALL(Rhythm!$Z$8:$Z$207,88),"")</f>
        <v/>
      </c>
      <c r="C97" s="42" t="str">
        <f t="shared" si="8"/>
        <v/>
      </c>
      <c r="D97" s="44" t="str">
        <f>IF($B97="","",SUMIFS(Data!$N$2:$N$1201,Data!$S$2:$S$1201,$B97)/60)</f>
        <v/>
      </c>
      <c r="E97" s="52" t="str">
        <f>IF($B97="","",IF(SUMIFS(Data!$O$2:$O$1201,Data!$S$2:$S$1201,$B97,Data!$AP$2:$AP$1201,1)=0,"",SUMIFS(Data!$O$2:$O$1201,Data!$S$2:$S$1201,$B97,Data!$AP$2:$AP$1201,1)-$B97))</f>
        <v/>
      </c>
      <c r="F97" s="52" t="str">
        <f>IF($B97="","",IF(SUMIFS(Data!$P$2:$P$1201,Data!$S$2:$S$1201,$B97,Data!$AQ$2:$AQ$1201,1)=0,"",SUMIFS(Data!$P$2:$P$1201,Data!$S$2:$S$1201,$B97,Data!$AQ$2:$AQ$1201,1)-$B97))</f>
        <v/>
      </c>
      <c r="G97" s="53" t="str">
        <f t="shared" si="9"/>
        <v/>
      </c>
      <c r="H97" s="53" t="str">
        <f t="shared" si="10"/>
        <v/>
      </c>
      <c r="I97" s="45" t="str">
        <f t="shared" si="11"/>
        <v/>
      </c>
      <c r="J97" s="47" t="str">
        <f>IF($B97="","",COUNTIFS(Data!$S$2:$S$1201,$B97,Data!$E$2:$E$1201,"timed"))</f>
        <v/>
      </c>
      <c r="K97" s="47" t="str">
        <f>IF($B97="","",SUMIFS(Data!$AG$2:$AG$1201,Data!$S$2:$S$1201,$B97))</f>
        <v/>
      </c>
      <c r="L97" s="45" t="str">
        <f>IF(OR($B97="",$D97=0),"",SUMIFS(Data!$N$2:$N$1201,Data!$S$2:$S$1201,$B97,Data!$AI$2:$AI$1201,1)/60/$D97)</f>
        <v/>
      </c>
      <c r="M97" s="49" t="str">
        <f>IF($B97="","",SUMIFS(Data!$AL$2:$AL$1201,Data!$S$2:$S$1201,$B97))</f>
        <v/>
      </c>
      <c r="Z97" t="str">
        <f>IFERROR(INDEX(Data!$S$2:$S$1201,MATCH(90,Data!$Y$2:$Y$1201,0)),"")</f>
        <v/>
      </c>
    </row>
    <row r="98" spans="2:26" x14ac:dyDescent="0.25">
      <c r="B98" s="51" t="str">
        <f>IFERROR(SMALL(Rhythm!$Z$8:$Z$207,89),"")</f>
        <v/>
      </c>
      <c r="C98" s="42" t="str">
        <f t="shared" si="8"/>
        <v/>
      </c>
      <c r="D98" s="44" t="str">
        <f>IF($B98="","",SUMIFS(Data!$N$2:$N$1201,Data!$S$2:$S$1201,$B98)/60)</f>
        <v/>
      </c>
      <c r="E98" s="52" t="str">
        <f>IF($B98="","",IF(SUMIFS(Data!$O$2:$O$1201,Data!$S$2:$S$1201,$B98,Data!$AP$2:$AP$1201,1)=0,"",SUMIFS(Data!$O$2:$O$1201,Data!$S$2:$S$1201,$B98,Data!$AP$2:$AP$1201,1)-$B98))</f>
        <v/>
      </c>
      <c r="F98" s="52" t="str">
        <f>IF($B98="","",IF(SUMIFS(Data!$P$2:$P$1201,Data!$S$2:$S$1201,$B98,Data!$AQ$2:$AQ$1201,1)=0,"",SUMIFS(Data!$P$2:$P$1201,Data!$S$2:$S$1201,$B98,Data!$AQ$2:$AQ$1201,1)-$B98))</f>
        <v/>
      </c>
      <c r="G98" s="53" t="str">
        <f t="shared" si="9"/>
        <v/>
      </c>
      <c r="H98" s="53" t="str">
        <f t="shared" si="10"/>
        <v/>
      </c>
      <c r="I98" s="45" t="str">
        <f t="shared" si="11"/>
        <v/>
      </c>
      <c r="J98" s="47" t="str">
        <f>IF($B98="","",COUNTIFS(Data!$S$2:$S$1201,$B98,Data!$E$2:$E$1201,"timed"))</f>
        <v/>
      </c>
      <c r="K98" s="47" t="str">
        <f>IF($B98="","",SUMIFS(Data!$AG$2:$AG$1201,Data!$S$2:$S$1201,$B98))</f>
        <v/>
      </c>
      <c r="L98" s="45" t="str">
        <f>IF(OR($B98="",$D98=0),"",SUMIFS(Data!$N$2:$N$1201,Data!$S$2:$S$1201,$B98,Data!$AI$2:$AI$1201,1)/60/$D98)</f>
        <v/>
      </c>
      <c r="M98" s="49" t="str">
        <f>IF($B98="","",SUMIFS(Data!$AL$2:$AL$1201,Data!$S$2:$S$1201,$B98))</f>
        <v/>
      </c>
      <c r="Z98" t="str">
        <f>IFERROR(INDEX(Data!$S$2:$S$1201,MATCH(91,Data!$Y$2:$Y$1201,0)),"")</f>
        <v/>
      </c>
    </row>
    <row r="99" spans="2:26" x14ac:dyDescent="0.25">
      <c r="B99" s="51" t="str">
        <f>IFERROR(SMALL(Rhythm!$Z$8:$Z$207,90),"")</f>
        <v/>
      </c>
      <c r="C99" s="42" t="str">
        <f t="shared" si="8"/>
        <v/>
      </c>
      <c r="D99" s="44" t="str">
        <f>IF($B99="","",SUMIFS(Data!$N$2:$N$1201,Data!$S$2:$S$1201,$B99)/60)</f>
        <v/>
      </c>
      <c r="E99" s="52" t="str">
        <f>IF($B99="","",IF(SUMIFS(Data!$O$2:$O$1201,Data!$S$2:$S$1201,$B99,Data!$AP$2:$AP$1201,1)=0,"",SUMIFS(Data!$O$2:$O$1201,Data!$S$2:$S$1201,$B99,Data!$AP$2:$AP$1201,1)-$B99))</f>
        <v/>
      </c>
      <c r="F99" s="52" t="str">
        <f>IF($B99="","",IF(SUMIFS(Data!$P$2:$P$1201,Data!$S$2:$S$1201,$B99,Data!$AQ$2:$AQ$1201,1)=0,"",SUMIFS(Data!$P$2:$P$1201,Data!$S$2:$S$1201,$B99,Data!$AQ$2:$AQ$1201,1)-$B99))</f>
        <v/>
      </c>
      <c r="G99" s="53" t="str">
        <f t="shared" si="9"/>
        <v/>
      </c>
      <c r="H99" s="53" t="str">
        <f t="shared" si="10"/>
        <v/>
      </c>
      <c r="I99" s="45" t="str">
        <f t="shared" si="11"/>
        <v/>
      </c>
      <c r="J99" s="47" t="str">
        <f>IF($B99="","",COUNTIFS(Data!$S$2:$S$1201,$B99,Data!$E$2:$E$1201,"timed"))</f>
        <v/>
      </c>
      <c r="K99" s="47" t="str">
        <f>IF($B99="","",SUMIFS(Data!$AG$2:$AG$1201,Data!$S$2:$S$1201,$B99))</f>
        <v/>
      </c>
      <c r="L99" s="45" t="str">
        <f>IF(OR($B99="",$D99=0),"",SUMIFS(Data!$N$2:$N$1201,Data!$S$2:$S$1201,$B99,Data!$AI$2:$AI$1201,1)/60/$D99)</f>
        <v/>
      </c>
      <c r="M99" s="49" t="str">
        <f>IF($B99="","",SUMIFS(Data!$AL$2:$AL$1201,Data!$S$2:$S$1201,$B99))</f>
        <v/>
      </c>
      <c r="Z99" t="str">
        <f>IFERROR(INDEX(Data!$S$2:$S$1201,MATCH(92,Data!$Y$2:$Y$1201,0)),"")</f>
        <v/>
      </c>
    </row>
    <row r="100" spans="2:26" x14ac:dyDescent="0.25">
      <c r="B100" s="51" t="str">
        <f>IFERROR(SMALL(Rhythm!$Z$8:$Z$207,91),"")</f>
        <v/>
      </c>
      <c r="C100" s="42" t="str">
        <f t="shared" si="8"/>
        <v/>
      </c>
      <c r="D100" s="44" t="str">
        <f>IF($B100="","",SUMIFS(Data!$N$2:$N$1201,Data!$S$2:$S$1201,$B100)/60)</f>
        <v/>
      </c>
      <c r="E100" s="52" t="str">
        <f>IF($B100="","",IF(SUMIFS(Data!$O$2:$O$1201,Data!$S$2:$S$1201,$B100,Data!$AP$2:$AP$1201,1)=0,"",SUMIFS(Data!$O$2:$O$1201,Data!$S$2:$S$1201,$B100,Data!$AP$2:$AP$1201,1)-$B100))</f>
        <v/>
      </c>
      <c r="F100" s="52" t="str">
        <f>IF($B100="","",IF(SUMIFS(Data!$P$2:$P$1201,Data!$S$2:$S$1201,$B100,Data!$AQ$2:$AQ$1201,1)=0,"",SUMIFS(Data!$P$2:$P$1201,Data!$S$2:$S$1201,$B100,Data!$AQ$2:$AQ$1201,1)-$B100))</f>
        <v/>
      </c>
      <c r="G100" s="53" t="str">
        <f t="shared" si="9"/>
        <v/>
      </c>
      <c r="H100" s="53" t="str">
        <f t="shared" si="10"/>
        <v/>
      </c>
      <c r="I100" s="45" t="str">
        <f t="shared" si="11"/>
        <v/>
      </c>
      <c r="J100" s="47" t="str">
        <f>IF($B100="","",COUNTIFS(Data!$S$2:$S$1201,$B100,Data!$E$2:$E$1201,"timed"))</f>
        <v/>
      </c>
      <c r="K100" s="47" t="str">
        <f>IF($B100="","",SUMIFS(Data!$AG$2:$AG$1201,Data!$S$2:$S$1201,$B100))</f>
        <v/>
      </c>
      <c r="L100" s="45" t="str">
        <f>IF(OR($B100="",$D100=0),"",SUMIFS(Data!$N$2:$N$1201,Data!$S$2:$S$1201,$B100,Data!$AI$2:$AI$1201,1)/60/$D100)</f>
        <v/>
      </c>
      <c r="M100" s="49" t="str">
        <f>IF($B100="","",SUMIFS(Data!$AL$2:$AL$1201,Data!$S$2:$S$1201,$B100))</f>
        <v/>
      </c>
      <c r="Z100" t="str">
        <f>IFERROR(INDEX(Data!$S$2:$S$1201,MATCH(93,Data!$Y$2:$Y$1201,0)),"")</f>
        <v/>
      </c>
    </row>
    <row r="101" spans="2:26" x14ac:dyDescent="0.25">
      <c r="B101" s="51" t="str">
        <f>IFERROR(SMALL(Rhythm!$Z$8:$Z$207,92),"")</f>
        <v/>
      </c>
      <c r="C101" s="42" t="str">
        <f t="shared" si="8"/>
        <v/>
      </c>
      <c r="D101" s="44" t="str">
        <f>IF($B101="","",SUMIFS(Data!$N$2:$N$1201,Data!$S$2:$S$1201,$B101)/60)</f>
        <v/>
      </c>
      <c r="E101" s="52" t="str">
        <f>IF($B101="","",IF(SUMIFS(Data!$O$2:$O$1201,Data!$S$2:$S$1201,$B101,Data!$AP$2:$AP$1201,1)=0,"",SUMIFS(Data!$O$2:$O$1201,Data!$S$2:$S$1201,$B101,Data!$AP$2:$AP$1201,1)-$B101))</f>
        <v/>
      </c>
      <c r="F101" s="52" t="str">
        <f>IF($B101="","",IF(SUMIFS(Data!$P$2:$P$1201,Data!$S$2:$S$1201,$B101,Data!$AQ$2:$AQ$1201,1)=0,"",SUMIFS(Data!$P$2:$P$1201,Data!$S$2:$S$1201,$B101,Data!$AQ$2:$AQ$1201,1)-$B101))</f>
        <v/>
      </c>
      <c r="G101" s="53" t="str">
        <f t="shared" si="9"/>
        <v/>
      </c>
      <c r="H101" s="53" t="str">
        <f t="shared" si="10"/>
        <v/>
      </c>
      <c r="I101" s="45" t="str">
        <f t="shared" si="11"/>
        <v/>
      </c>
      <c r="J101" s="47" t="str">
        <f>IF($B101="","",COUNTIFS(Data!$S$2:$S$1201,$B101,Data!$E$2:$E$1201,"timed"))</f>
        <v/>
      </c>
      <c r="K101" s="47" t="str">
        <f>IF($B101="","",SUMIFS(Data!$AG$2:$AG$1201,Data!$S$2:$S$1201,$B101))</f>
        <v/>
      </c>
      <c r="L101" s="45" t="str">
        <f>IF(OR($B101="",$D101=0),"",SUMIFS(Data!$N$2:$N$1201,Data!$S$2:$S$1201,$B101,Data!$AI$2:$AI$1201,1)/60/$D101)</f>
        <v/>
      </c>
      <c r="M101" s="49" t="str">
        <f>IF($B101="","",SUMIFS(Data!$AL$2:$AL$1201,Data!$S$2:$S$1201,$B101))</f>
        <v/>
      </c>
      <c r="Z101" t="str">
        <f>IFERROR(INDEX(Data!$S$2:$S$1201,MATCH(94,Data!$Y$2:$Y$1201,0)),"")</f>
        <v/>
      </c>
    </row>
    <row r="102" spans="2:26" x14ac:dyDescent="0.25">
      <c r="B102" s="51" t="str">
        <f>IFERROR(SMALL(Rhythm!$Z$8:$Z$207,93),"")</f>
        <v/>
      </c>
      <c r="C102" s="42" t="str">
        <f t="shared" si="8"/>
        <v/>
      </c>
      <c r="D102" s="44" t="str">
        <f>IF($B102="","",SUMIFS(Data!$N$2:$N$1201,Data!$S$2:$S$1201,$B102)/60)</f>
        <v/>
      </c>
      <c r="E102" s="52" t="str">
        <f>IF($B102="","",IF(SUMIFS(Data!$O$2:$O$1201,Data!$S$2:$S$1201,$B102,Data!$AP$2:$AP$1201,1)=0,"",SUMIFS(Data!$O$2:$O$1201,Data!$S$2:$S$1201,$B102,Data!$AP$2:$AP$1201,1)-$B102))</f>
        <v/>
      </c>
      <c r="F102" s="52" t="str">
        <f>IF($B102="","",IF(SUMIFS(Data!$P$2:$P$1201,Data!$S$2:$S$1201,$B102,Data!$AQ$2:$AQ$1201,1)=0,"",SUMIFS(Data!$P$2:$P$1201,Data!$S$2:$S$1201,$B102,Data!$AQ$2:$AQ$1201,1)-$B102))</f>
        <v/>
      </c>
      <c r="G102" s="53" t="str">
        <f t="shared" si="9"/>
        <v/>
      </c>
      <c r="H102" s="53" t="str">
        <f t="shared" si="10"/>
        <v/>
      </c>
      <c r="I102" s="45" t="str">
        <f t="shared" si="11"/>
        <v/>
      </c>
      <c r="J102" s="47" t="str">
        <f>IF($B102="","",COUNTIFS(Data!$S$2:$S$1201,$B102,Data!$E$2:$E$1201,"timed"))</f>
        <v/>
      </c>
      <c r="K102" s="47" t="str">
        <f>IF($B102="","",SUMIFS(Data!$AG$2:$AG$1201,Data!$S$2:$S$1201,$B102))</f>
        <v/>
      </c>
      <c r="L102" s="45" t="str">
        <f>IF(OR($B102="",$D102=0),"",SUMIFS(Data!$N$2:$N$1201,Data!$S$2:$S$1201,$B102,Data!$AI$2:$AI$1201,1)/60/$D102)</f>
        <v/>
      </c>
      <c r="M102" s="49" t="str">
        <f>IF($B102="","",SUMIFS(Data!$AL$2:$AL$1201,Data!$S$2:$S$1201,$B102))</f>
        <v/>
      </c>
      <c r="Z102" t="str">
        <f>IFERROR(INDEX(Data!$S$2:$S$1201,MATCH(95,Data!$Y$2:$Y$1201,0)),"")</f>
        <v/>
      </c>
    </row>
    <row r="103" spans="2:26" x14ac:dyDescent="0.25">
      <c r="B103" s="51" t="str">
        <f>IFERROR(SMALL(Rhythm!$Z$8:$Z$207,94),"")</f>
        <v/>
      </c>
      <c r="C103" s="42" t="str">
        <f t="shared" si="8"/>
        <v/>
      </c>
      <c r="D103" s="44" t="str">
        <f>IF($B103="","",SUMIFS(Data!$N$2:$N$1201,Data!$S$2:$S$1201,$B103)/60)</f>
        <v/>
      </c>
      <c r="E103" s="52" t="str">
        <f>IF($B103="","",IF(SUMIFS(Data!$O$2:$O$1201,Data!$S$2:$S$1201,$B103,Data!$AP$2:$AP$1201,1)=0,"",SUMIFS(Data!$O$2:$O$1201,Data!$S$2:$S$1201,$B103,Data!$AP$2:$AP$1201,1)-$B103))</f>
        <v/>
      </c>
      <c r="F103" s="52" t="str">
        <f>IF($B103="","",IF(SUMIFS(Data!$P$2:$P$1201,Data!$S$2:$S$1201,$B103,Data!$AQ$2:$AQ$1201,1)=0,"",SUMIFS(Data!$P$2:$P$1201,Data!$S$2:$S$1201,$B103,Data!$AQ$2:$AQ$1201,1)-$B103))</f>
        <v/>
      </c>
      <c r="G103" s="53" t="str">
        <f t="shared" si="9"/>
        <v/>
      </c>
      <c r="H103" s="53" t="str">
        <f t="shared" si="10"/>
        <v/>
      </c>
      <c r="I103" s="45" t="str">
        <f t="shared" si="11"/>
        <v/>
      </c>
      <c r="J103" s="47" t="str">
        <f>IF($B103="","",COUNTIFS(Data!$S$2:$S$1201,$B103,Data!$E$2:$E$1201,"timed"))</f>
        <v/>
      </c>
      <c r="K103" s="47" t="str">
        <f>IF($B103="","",SUMIFS(Data!$AG$2:$AG$1201,Data!$S$2:$S$1201,$B103))</f>
        <v/>
      </c>
      <c r="L103" s="45" t="str">
        <f>IF(OR($B103="",$D103=0),"",SUMIFS(Data!$N$2:$N$1201,Data!$S$2:$S$1201,$B103,Data!$AI$2:$AI$1201,1)/60/$D103)</f>
        <v/>
      </c>
      <c r="M103" s="49" t="str">
        <f>IF($B103="","",SUMIFS(Data!$AL$2:$AL$1201,Data!$S$2:$S$1201,$B103))</f>
        <v/>
      </c>
      <c r="Z103" t="str">
        <f>IFERROR(INDEX(Data!$S$2:$S$1201,MATCH(96,Data!$Y$2:$Y$1201,0)),"")</f>
        <v/>
      </c>
    </row>
    <row r="104" spans="2:26" x14ac:dyDescent="0.25">
      <c r="B104" s="51" t="str">
        <f>IFERROR(SMALL(Rhythm!$Z$8:$Z$207,95),"")</f>
        <v/>
      </c>
      <c r="C104" s="42" t="str">
        <f t="shared" si="8"/>
        <v/>
      </c>
      <c r="D104" s="44" t="str">
        <f>IF($B104="","",SUMIFS(Data!$N$2:$N$1201,Data!$S$2:$S$1201,$B104)/60)</f>
        <v/>
      </c>
      <c r="E104" s="52" t="str">
        <f>IF($B104="","",IF(SUMIFS(Data!$O$2:$O$1201,Data!$S$2:$S$1201,$B104,Data!$AP$2:$AP$1201,1)=0,"",SUMIFS(Data!$O$2:$O$1201,Data!$S$2:$S$1201,$B104,Data!$AP$2:$AP$1201,1)-$B104))</f>
        <v/>
      </c>
      <c r="F104" s="52" t="str">
        <f>IF($B104="","",IF(SUMIFS(Data!$P$2:$P$1201,Data!$S$2:$S$1201,$B104,Data!$AQ$2:$AQ$1201,1)=0,"",SUMIFS(Data!$P$2:$P$1201,Data!$S$2:$S$1201,$B104,Data!$AQ$2:$AQ$1201,1)-$B104))</f>
        <v/>
      </c>
      <c r="G104" s="53" t="str">
        <f t="shared" si="9"/>
        <v/>
      </c>
      <c r="H104" s="53" t="str">
        <f t="shared" si="10"/>
        <v/>
      </c>
      <c r="I104" s="45" t="str">
        <f t="shared" si="11"/>
        <v/>
      </c>
      <c r="J104" s="47" t="str">
        <f>IF($B104="","",COUNTIFS(Data!$S$2:$S$1201,$B104,Data!$E$2:$E$1201,"timed"))</f>
        <v/>
      </c>
      <c r="K104" s="47" t="str">
        <f>IF($B104="","",SUMIFS(Data!$AG$2:$AG$1201,Data!$S$2:$S$1201,$B104))</f>
        <v/>
      </c>
      <c r="L104" s="45" t="str">
        <f>IF(OR($B104="",$D104=0),"",SUMIFS(Data!$N$2:$N$1201,Data!$S$2:$S$1201,$B104,Data!$AI$2:$AI$1201,1)/60/$D104)</f>
        <v/>
      </c>
      <c r="M104" s="49" t="str">
        <f>IF($B104="","",SUMIFS(Data!$AL$2:$AL$1201,Data!$S$2:$S$1201,$B104))</f>
        <v/>
      </c>
      <c r="Z104" t="str">
        <f>IFERROR(INDEX(Data!$S$2:$S$1201,MATCH(97,Data!$Y$2:$Y$1201,0)),"")</f>
        <v/>
      </c>
    </row>
    <row r="105" spans="2:26" x14ac:dyDescent="0.25">
      <c r="B105" s="51" t="str">
        <f>IFERROR(SMALL(Rhythm!$Z$8:$Z$207,96),"")</f>
        <v/>
      </c>
      <c r="C105" s="42" t="str">
        <f t="shared" si="8"/>
        <v/>
      </c>
      <c r="D105" s="44" t="str">
        <f>IF($B105="","",SUMIFS(Data!$N$2:$N$1201,Data!$S$2:$S$1201,$B105)/60)</f>
        <v/>
      </c>
      <c r="E105" s="52" t="str">
        <f>IF($B105="","",IF(SUMIFS(Data!$O$2:$O$1201,Data!$S$2:$S$1201,$B105,Data!$AP$2:$AP$1201,1)=0,"",SUMIFS(Data!$O$2:$O$1201,Data!$S$2:$S$1201,$B105,Data!$AP$2:$AP$1201,1)-$B105))</f>
        <v/>
      </c>
      <c r="F105" s="52" t="str">
        <f>IF($B105="","",IF(SUMIFS(Data!$P$2:$P$1201,Data!$S$2:$S$1201,$B105,Data!$AQ$2:$AQ$1201,1)=0,"",SUMIFS(Data!$P$2:$P$1201,Data!$S$2:$S$1201,$B105,Data!$AQ$2:$AQ$1201,1)-$B105))</f>
        <v/>
      </c>
      <c r="G105" s="53" t="str">
        <f t="shared" si="9"/>
        <v/>
      </c>
      <c r="H105" s="53" t="str">
        <f t="shared" si="10"/>
        <v/>
      </c>
      <c r="I105" s="45" t="str">
        <f t="shared" si="11"/>
        <v/>
      </c>
      <c r="J105" s="47" t="str">
        <f>IF($B105="","",COUNTIFS(Data!$S$2:$S$1201,$B105,Data!$E$2:$E$1201,"timed"))</f>
        <v/>
      </c>
      <c r="K105" s="47" t="str">
        <f>IF($B105="","",SUMIFS(Data!$AG$2:$AG$1201,Data!$S$2:$S$1201,$B105))</f>
        <v/>
      </c>
      <c r="L105" s="45" t="str">
        <f>IF(OR($B105="",$D105=0),"",SUMIFS(Data!$N$2:$N$1201,Data!$S$2:$S$1201,$B105,Data!$AI$2:$AI$1201,1)/60/$D105)</f>
        <v/>
      </c>
      <c r="M105" s="49" t="str">
        <f>IF($B105="","",SUMIFS(Data!$AL$2:$AL$1201,Data!$S$2:$S$1201,$B105))</f>
        <v/>
      </c>
      <c r="Z105" t="str">
        <f>IFERROR(INDEX(Data!$S$2:$S$1201,MATCH(98,Data!$Y$2:$Y$1201,0)),"")</f>
        <v/>
      </c>
    </row>
    <row r="106" spans="2:26" x14ac:dyDescent="0.25">
      <c r="B106" s="51" t="str">
        <f>IFERROR(SMALL(Rhythm!$Z$8:$Z$207,97),"")</f>
        <v/>
      </c>
      <c r="C106" s="42" t="str">
        <f t="shared" ref="C106:C137" si="12">IF($B106="","",TEXT($B106,"ddd"))</f>
        <v/>
      </c>
      <c r="D106" s="44" t="str">
        <f>IF($B106="","",SUMIFS(Data!$N$2:$N$1201,Data!$S$2:$S$1201,$B106)/60)</f>
        <v/>
      </c>
      <c r="E106" s="52" t="str">
        <f>IF($B106="","",IF(SUMIFS(Data!$O$2:$O$1201,Data!$S$2:$S$1201,$B106,Data!$AP$2:$AP$1201,1)=0,"",SUMIFS(Data!$O$2:$O$1201,Data!$S$2:$S$1201,$B106,Data!$AP$2:$AP$1201,1)-$B106))</f>
        <v/>
      </c>
      <c r="F106" s="52" t="str">
        <f>IF($B106="","",IF(SUMIFS(Data!$P$2:$P$1201,Data!$S$2:$S$1201,$B106,Data!$AQ$2:$AQ$1201,1)=0,"",SUMIFS(Data!$P$2:$P$1201,Data!$S$2:$S$1201,$B106,Data!$AQ$2:$AQ$1201,1)-$B106))</f>
        <v/>
      </c>
      <c r="G106" s="53" t="str">
        <f t="shared" ref="G106:G137" si="13">IF($B106="","",MAX($D106,IF(OR($E106="",$F106="",$F106&lt;=$E106),0,($F106-$E106)*24)))</f>
        <v/>
      </c>
      <c r="H106" s="53" t="str">
        <f t="shared" ref="H106:H137" si="14">IF($G106="","",$G106-$D106)</f>
        <v/>
      </c>
      <c r="I106" s="45" t="str">
        <f t="shared" ref="I106:I137" si="15">IF(OR($G106="",$G106=0),"",$D106/$G106)</f>
        <v/>
      </c>
      <c r="J106" s="47" t="str">
        <f>IF($B106="","",COUNTIFS(Data!$S$2:$S$1201,$B106,Data!$E$2:$E$1201,"timed"))</f>
        <v/>
      </c>
      <c r="K106" s="47" t="str">
        <f>IF($B106="","",SUMIFS(Data!$AG$2:$AG$1201,Data!$S$2:$S$1201,$B106))</f>
        <v/>
      </c>
      <c r="L106" s="45" t="str">
        <f>IF(OR($B106="",$D106=0),"",SUMIFS(Data!$N$2:$N$1201,Data!$S$2:$S$1201,$B106,Data!$AI$2:$AI$1201,1)/60/$D106)</f>
        <v/>
      </c>
      <c r="M106" s="49" t="str">
        <f>IF($B106="","",SUMIFS(Data!$AL$2:$AL$1201,Data!$S$2:$S$1201,$B106))</f>
        <v/>
      </c>
      <c r="Z106" t="str">
        <f>IFERROR(INDEX(Data!$S$2:$S$1201,MATCH(99,Data!$Y$2:$Y$1201,0)),"")</f>
        <v/>
      </c>
    </row>
    <row r="107" spans="2:26" x14ac:dyDescent="0.25">
      <c r="B107" s="51" t="str">
        <f>IFERROR(SMALL(Rhythm!$Z$8:$Z$207,98),"")</f>
        <v/>
      </c>
      <c r="C107" s="42" t="str">
        <f t="shared" si="12"/>
        <v/>
      </c>
      <c r="D107" s="44" t="str">
        <f>IF($B107="","",SUMIFS(Data!$N$2:$N$1201,Data!$S$2:$S$1201,$B107)/60)</f>
        <v/>
      </c>
      <c r="E107" s="52" t="str">
        <f>IF($B107="","",IF(SUMIFS(Data!$O$2:$O$1201,Data!$S$2:$S$1201,$B107,Data!$AP$2:$AP$1201,1)=0,"",SUMIFS(Data!$O$2:$O$1201,Data!$S$2:$S$1201,$B107,Data!$AP$2:$AP$1201,1)-$B107))</f>
        <v/>
      </c>
      <c r="F107" s="52" t="str">
        <f>IF($B107="","",IF(SUMIFS(Data!$P$2:$P$1201,Data!$S$2:$S$1201,$B107,Data!$AQ$2:$AQ$1201,1)=0,"",SUMIFS(Data!$P$2:$P$1201,Data!$S$2:$S$1201,$B107,Data!$AQ$2:$AQ$1201,1)-$B107))</f>
        <v/>
      </c>
      <c r="G107" s="53" t="str">
        <f t="shared" si="13"/>
        <v/>
      </c>
      <c r="H107" s="53" t="str">
        <f t="shared" si="14"/>
        <v/>
      </c>
      <c r="I107" s="45" t="str">
        <f t="shared" si="15"/>
        <v/>
      </c>
      <c r="J107" s="47" t="str">
        <f>IF($B107="","",COUNTIFS(Data!$S$2:$S$1201,$B107,Data!$E$2:$E$1201,"timed"))</f>
        <v/>
      </c>
      <c r="K107" s="47" t="str">
        <f>IF($B107="","",SUMIFS(Data!$AG$2:$AG$1201,Data!$S$2:$S$1201,$B107))</f>
        <v/>
      </c>
      <c r="L107" s="45" t="str">
        <f>IF(OR($B107="",$D107=0),"",SUMIFS(Data!$N$2:$N$1201,Data!$S$2:$S$1201,$B107,Data!$AI$2:$AI$1201,1)/60/$D107)</f>
        <v/>
      </c>
      <c r="M107" s="49" t="str">
        <f>IF($B107="","",SUMIFS(Data!$AL$2:$AL$1201,Data!$S$2:$S$1201,$B107))</f>
        <v/>
      </c>
      <c r="Z107" t="str">
        <f>IFERROR(INDEX(Data!$S$2:$S$1201,MATCH(100,Data!$Y$2:$Y$1201,0)),"")</f>
        <v/>
      </c>
    </row>
    <row r="108" spans="2:26" x14ac:dyDescent="0.25">
      <c r="B108" s="51" t="str">
        <f>IFERROR(SMALL(Rhythm!$Z$8:$Z$207,99),"")</f>
        <v/>
      </c>
      <c r="C108" s="42" t="str">
        <f t="shared" si="12"/>
        <v/>
      </c>
      <c r="D108" s="44" t="str">
        <f>IF($B108="","",SUMIFS(Data!$N$2:$N$1201,Data!$S$2:$S$1201,$B108)/60)</f>
        <v/>
      </c>
      <c r="E108" s="52" t="str">
        <f>IF($B108="","",IF(SUMIFS(Data!$O$2:$O$1201,Data!$S$2:$S$1201,$B108,Data!$AP$2:$AP$1201,1)=0,"",SUMIFS(Data!$O$2:$O$1201,Data!$S$2:$S$1201,$B108,Data!$AP$2:$AP$1201,1)-$B108))</f>
        <v/>
      </c>
      <c r="F108" s="52" t="str">
        <f>IF($B108="","",IF(SUMIFS(Data!$P$2:$P$1201,Data!$S$2:$S$1201,$B108,Data!$AQ$2:$AQ$1201,1)=0,"",SUMIFS(Data!$P$2:$P$1201,Data!$S$2:$S$1201,$B108,Data!$AQ$2:$AQ$1201,1)-$B108))</f>
        <v/>
      </c>
      <c r="G108" s="53" t="str">
        <f t="shared" si="13"/>
        <v/>
      </c>
      <c r="H108" s="53" t="str">
        <f t="shared" si="14"/>
        <v/>
      </c>
      <c r="I108" s="45" t="str">
        <f t="shared" si="15"/>
        <v/>
      </c>
      <c r="J108" s="47" t="str">
        <f>IF($B108="","",COUNTIFS(Data!$S$2:$S$1201,$B108,Data!$E$2:$E$1201,"timed"))</f>
        <v/>
      </c>
      <c r="K108" s="47" t="str">
        <f>IF($B108="","",SUMIFS(Data!$AG$2:$AG$1201,Data!$S$2:$S$1201,$B108))</f>
        <v/>
      </c>
      <c r="L108" s="45" t="str">
        <f>IF(OR($B108="",$D108=0),"",SUMIFS(Data!$N$2:$N$1201,Data!$S$2:$S$1201,$B108,Data!$AI$2:$AI$1201,1)/60/$D108)</f>
        <v/>
      </c>
      <c r="M108" s="49" t="str">
        <f>IF($B108="","",SUMIFS(Data!$AL$2:$AL$1201,Data!$S$2:$S$1201,$B108))</f>
        <v/>
      </c>
      <c r="Z108" t="str">
        <f>IFERROR(INDEX(Data!$S$2:$S$1201,MATCH(101,Data!$Y$2:$Y$1201,0)),"")</f>
        <v/>
      </c>
    </row>
    <row r="109" spans="2:26" x14ac:dyDescent="0.25">
      <c r="B109" s="51" t="str">
        <f>IFERROR(SMALL(Rhythm!$Z$8:$Z$207,100),"")</f>
        <v/>
      </c>
      <c r="C109" s="42" t="str">
        <f t="shared" si="12"/>
        <v/>
      </c>
      <c r="D109" s="44" t="str">
        <f>IF($B109="","",SUMIFS(Data!$N$2:$N$1201,Data!$S$2:$S$1201,$B109)/60)</f>
        <v/>
      </c>
      <c r="E109" s="52" t="str">
        <f>IF($B109="","",IF(SUMIFS(Data!$O$2:$O$1201,Data!$S$2:$S$1201,$B109,Data!$AP$2:$AP$1201,1)=0,"",SUMIFS(Data!$O$2:$O$1201,Data!$S$2:$S$1201,$B109,Data!$AP$2:$AP$1201,1)-$B109))</f>
        <v/>
      </c>
      <c r="F109" s="52" t="str">
        <f>IF($B109="","",IF(SUMIFS(Data!$P$2:$P$1201,Data!$S$2:$S$1201,$B109,Data!$AQ$2:$AQ$1201,1)=0,"",SUMIFS(Data!$P$2:$P$1201,Data!$S$2:$S$1201,$B109,Data!$AQ$2:$AQ$1201,1)-$B109))</f>
        <v/>
      </c>
      <c r="G109" s="53" t="str">
        <f t="shared" si="13"/>
        <v/>
      </c>
      <c r="H109" s="53" t="str">
        <f t="shared" si="14"/>
        <v/>
      </c>
      <c r="I109" s="45" t="str">
        <f t="shared" si="15"/>
        <v/>
      </c>
      <c r="J109" s="47" t="str">
        <f>IF($B109="","",COUNTIFS(Data!$S$2:$S$1201,$B109,Data!$E$2:$E$1201,"timed"))</f>
        <v/>
      </c>
      <c r="K109" s="47" t="str">
        <f>IF($B109="","",SUMIFS(Data!$AG$2:$AG$1201,Data!$S$2:$S$1201,$B109))</f>
        <v/>
      </c>
      <c r="L109" s="45" t="str">
        <f>IF(OR($B109="",$D109=0),"",SUMIFS(Data!$N$2:$N$1201,Data!$S$2:$S$1201,$B109,Data!$AI$2:$AI$1201,1)/60/$D109)</f>
        <v/>
      </c>
      <c r="M109" s="49" t="str">
        <f>IF($B109="","",SUMIFS(Data!$AL$2:$AL$1201,Data!$S$2:$S$1201,$B109))</f>
        <v/>
      </c>
      <c r="Z109" t="str">
        <f>IFERROR(INDEX(Data!$S$2:$S$1201,MATCH(102,Data!$Y$2:$Y$1201,0)),"")</f>
        <v/>
      </c>
    </row>
    <row r="110" spans="2:26" x14ac:dyDescent="0.25">
      <c r="B110" s="51" t="str">
        <f>IFERROR(SMALL(Rhythm!$Z$8:$Z$207,101),"")</f>
        <v/>
      </c>
      <c r="C110" s="42" t="str">
        <f t="shared" si="12"/>
        <v/>
      </c>
      <c r="D110" s="44" t="str">
        <f>IF($B110="","",SUMIFS(Data!$N$2:$N$1201,Data!$S$2:$S$1201,$B110)/60)</f>
        <v/>
      </c>
      <c r="E110" s="52" t="str">
        <f>IF($B110="","",IF(SUMIFS(Data!$O$2:$O$1201,Data!$S$2:$S$1201,$B110,Data!$AP$2:$AP$1201,1)=0,"",SUMIFS(Data!$O$2:$O$1201,Data!$S$2:$S$1201,$B110,Data!$AP$2:$AP$1201,1)-$B110))</f>
        <v/>
      </c>
      <c r="F110" s="52" t="str">
        <f>IF($B110="","",IF(SUMIFS(Data!$P$2:$P$1201,Data!$S$2:$S$1201,$B110,Data!$AQ$2:$AQ$1201,1)=0,"",SUMIFS(Data!$P$2:$P$1201,Data!$S$2:$S$1201,$B110,Data!$AQ$2:$AQ$1201,1)-$B110))</f>
        <v/>
      </c>
      <c r="G110" s="53" t="str">
        <f t="shared" si="13"/>
        <v/>
      </c>
      <c r="H110" s="53" t="str">
        <f t="shared" si="14"/>
        <v/>
      </c>
      <c r="I110" s="45" t="str">
        <f t="shared" si="15"/>
        <v/>
      </c>
      <c r="J110" s="47" t="str">
        <f>IF($B110="","",COUNTIFS(Data!$S$2:$S$1201,$B110,Data!$E$2:$E$1201,"timed"))</f>
        <v/>
      </c>
      <c r="K110" s="47" t="str">
        <f>IF($B110="","",SUMIFS(Data!$AG$2:$AG$1201,Data!$S$2:$S$1201,$B110))</f>
        <v/>
      </c>
      <c r="L110" s="45" t="str">
        <f>IF(OR($B110="",$D110=0),"",SUMIFS(Data!$N$2:$N$1201,Data!$S$2:$S$1201,$B110,Data!$AI$2:$AI$1201,1)/60/$D110)</f>
        <v/>
      </c>
      <c r="M110" s="49" t="str">
        <f>IF($B110="","",SUMIFS(Data!$AL$2:$AL$1201,Data!$S$2:$S$1201,$B110))</f>
        <v/>
      </c>
      <c r="Z110" t="str">
        <f>IFERROR(INDEX(Data!$S$2:$S$1201,MATCH(103,Data!$Y$2:$Y$1201,0)),"")</f>
        <v/>
      </c>
    </row>
    <row r="111" spans="2:26" x14ac:dyDescent="0.25">
      <c r="B111" s="51" t="str">
        <f>IFERROR(SMALL(Rhythm!$Z$8:$Z$207,102),"")</f>
        <v/>
      </c>
      <c r="C111" s="42" t="str">
        <f t="shared" si="12"/>
        <v/>
      </c>
      <c r="D111" s="44" t="str">
        <f>IF($B111="","",SUMIFS(Data!$N$2:$N$1201,Data!$S$2:$S$1201,$B111)/60)</f>
        <v/>
      </c>
      <c r="E111" s="52" t="str">
        <f>IF($B111="","",IF(SUMIFS(Data!$O$2:$O$1201,Data!$S$2:$S$1201,$B111,Data!$AP$2:$AP$1201,1)=0,"",SUMIFS(Data!$O$2:$O$1201,Data!$S$2:$S$1201,$B111,Data!$AP$2:$AP$1201,1)-$B111))</f>
        <v/>
      </c>
      <c r="F111" s="52" t="str">
        <f>IF($B111="","",IF(SUMIFS(Data!$P$2:$P$1201,Data!$S$2:$S$1201,$B111,Data!$AQ$2:$AQ$1201,1)=0,"",SUMIFS(Data!$P$2:$P$1201,Data!$S$2:$S$1201,$B111,Data!$AQ$2:$AQ$1201,1)-$B111))</f>
        <v/>
      </c>
      <c r="G111" s="53" t="str">
        <f t="shared" si="13"/>
        <v/>
      </c>
      <c r="H111" s="53" t="str">
        <f t="shared" si="14"/>
        <v/>
      </c>
      <c r="I111" s="45" t="str">
        <f t="shared" si="15"/>
        <v/>
      </c>
      <c r="J111" s="47" t="str">
        <f>IF($B111="","",COUNTIFS(Data!$S$2:$S$1201,$B111,Data!$E$2:$E$1201,"timed"))</f>
        <v/>
      </c>
      <c r="K111" s="47" t="str">
        <f>IF($B111="","",SUMIFS(Data!$AG$2:$AG$1201,Data!$S$2:$S$1201,$B111))</f>
        <v/>
      </c>
      <c r="L111" s="45" t="str">
        <f>IF(OR($B111="",$D111=0),"",SUMIFS(Data!$N$2:$N$1201,Data!$S$2:$S$1201,$B111,Data!$AI$2:$AI$1201,1)/60/$D111)</f>
        <v/>
      </c>
      <c r="M111" s="49" t="str">
        <f>IF($B111="","",SUMIFS(Data!$AL$2:$AL$1201,Data!$S$2:$S$1201,$B111))</f>
        <v/>
      </c>
      <c r="Z111" t="str">
        <f>IFERROR(INDEX(Data!$S$2:$S$1201,MATCH(104,Data!$Y$2:$Y$1201,0)),"")</f>
        <v/>
      </c>
    </row>
    <row r="112" spans="2:26" x14ac:dyDescent="0.25">
      <c r="B112" s="51" t="str">
        <f>IFERROR(SMALL(Rhythm!$Z$8:$Z$207,103),"")</f>
        <v/>
      </c>
      <c r="C112" s="42" t="str">
        <f t="shared" si="12"/>
        <v/>
      </c>
      <c r="D112" s="44" t="str">
        <f>IF($B112="","",SUMIFS(Data!$N$2:$N$1201,Data!$S$2:$S$1201,$B112)/60)</f>
        <v/>
      </c>
      <c r="E112" s="52" t="str">
        <f>IF($B112="","",IF(SUMIFS(Data!$O$2:$O$1201,Data!$S$2:$S$1201,$B112,Data!$AP$2:$AP$1201,1)=0,"",SUMIFS(Data!$O$2:$O$1201,Data!$S$2:$S$1201,$B112,Data!$AP$2:$AP$1201,1)-$B112))</f>
        <v/>
      </c>
      <c r="F112" s="52" t="str">
        <f>IF($B112="","",IF(SUMIFS(Data!$P$2:$P$1201,Data!$S$2:$S$1201,$B112,Data!$AQ$2:$AQ$1201,1)=0,"",SUMIFS(Data!$P$2:$P$1201,Data!$S$2:$S$1201,$B112,Data!$AQ$2:$AQ$1201,1)-$B112))</f>
        <v/>
      </c>
      <c r="G112" s="53" t="str">
        <f t="shared" si="13"/>
        <v/>
      </c>
      <c r="H112" s="53" t="str">
        <f t="shared" si="14"/>
        <v/>
      </c>
      <c r="I112" s="45" t="str">
        <f t="shared" si="15"/>
        <v/>
      </c>
      <c r="J112" s="47" t="str">
        <f>IF($B112="","",COUNTIFS(Data!$S$2:$S$1201,$B112,Data!$E$2:$E$1201,"timed"))</f>
        <v/>
      </c>
      <c r="K112" s="47" t="str">
        <f>IF($B112="","",SUMIFS(Data!$AG$2:$AG$1201,Data!$S$2:$S$1201,$B112))</f>
        <v/>
      </c>
      <c r="L112" s="45" t="str">
        <f>IF(OR($B112="",$D112=0),"",SUMIFS(Data!$N$2:$N$1201,Data!$S$2:$S$1201,$B112,Data!$AI$2:$AI$1201,1)/60/$D112)</f>
        <v/>
      </c>
      <c r="M112" s="49" t="str">
        <f>IF($B112="","",SUMIFS(Data!$AL$2:$AL$1201,Data!$S$2:$S$1201,$B112))</f>
        <v/>
      </c>
      <c r="Z112" t="str">
        <f>IFERROR(INDEX(Data!$S$2:$S$1201,MATCH(105,Data!$Y$2:$Y$1201,0)),"")</f>
        <v/>
      </c>
    </row>
    <row r="113" spans="2:26" x14ac:dyDescent="0.25">
      <c r="B113" s="51" t="str">
        <f>IFERROR(SMALL(Rhythm!$Z$8:$Z$207,104),"")</f>
        <v/>
      </c>
      <c r="C113" s="42" t="str">
        <f t="shared" si="12"/>
        <v/>
      </c>
      <c r="D113" s="44" t="str">
        <f>IF($B113="","",SUMIFS(Data!$N$2:$N$1201,Data!$S$2:$S$1201,$B113)/60)</f>
        <v/>
      </c>
      <c r="E113" s="52" t="str">
        <f>IF($B113="","",IF(SUMIFS(Data!$O$2:$O$1201,Data!$S$2:$S$1201,$B113,Data!$AP$2:$AP$1201,1)=0,"",SUMIFS(Data!$O$2:$O$1201,Data!$S$2:$S$1201,$B113,Data!$AP$2:$AP$1201,1)-$B113))</f>
        <v/>
      </c>
      <c r="F113" s="52" t="str">
        <f>IF($B113="","",IF(SUMIFS(Data!$P$2:$P$1201,Data!$S$2:$S$1201,$B113,Data!$AQ$2:$AQ$1201,1)=0,"",SUMIFS(Data!$P$2:$P$1201,Data!$S$2:$S$1201,$B113,Data!$AQ$2:$AQ$1201,1)-$B113))</f>
        <v/>
      </c>
      <c r="G113" s="53" t="str">
        <f t="shared" si="13"/>
        <v/>
      </c>
      <c r="H113" s="53" t="str">
        <f t="shared" si="14"/>
        <v/>
      </c>
      <c r="I113" s="45" t="str">
        <f t="shared" si="15"/>
        <v/>
      </c>
      <c r="J113" s="47" t="str">
        <f>IF($B113="","",COUNTIFS(Data!$S$2:$S$1201,$B113,Data!$E$2:$E$1201,"timed"))</f>
        <v/>
      </c>
      <c r="K113" s="47" t="str">
        <f>IF($B113="","",SUMIFS(Data!$AG$2:$AG$1201,Data!$S$2:$S$1201,$B113))</f>
        <v/>
      </c>
      <c r="L113" s="45" t="str">
        <f>IF(OR($B113="",$D113=0),"",SUMIFS(Data!$N$2:$N$1201,Data!$S$2:$S$1201,$B113,Data!$AI$2:$AI$1201,1)/60/$D113)</f>
        <v/>
      </c>
      <c r="M113" s="49" t="str">
        <f>IF($B113="","",SUMIFS(Data!$AL$2:$AL$1201,Data!$S$2:$S$1201,$B113))</f>
        <v/>
      </c>
      <c r="Z113" t="str">
        <f>IFERROR(INDEX(Data!$S$2:$S$1201,MATCH(106,Data!$Y$2:$Y$1201,0)),"")</f>
        <v/>
      </c>
    </row>
    <row r="114" spans="2:26" x14ac:dyDescent="0.25">
      <c r="B114" s="51" t="str">
        <f>IFERROR(SMALL(Rhythm!$Z$8:$Z$207,105),"")</f>
        <v/>
      </c>
      <c r="C114" s="42" t="str">
        <f t="shared" si="12"/>
        <v/>
      </c>
      <c r="D114" s="44" t="str">
        <f>IF($B114="","",SUMIFS(Data!$N$2:$N$1201,Data!$S$2:$S$1201,$B114)/60)</f>
        <v/>
      </c>
      <c r="E114" s="52" t="str">
        <f>IF($B114="","",IF(SUMIFS(Data!$O$2:$O$1201,Data!$S$2:$S$1201,$B114,Data!$AP$2:$AP$1201,1)=0,"",SUMIFS(Data!$O$2:$O$1201,Data!$S$2:$S$1201,$B114,Data!$AP$2:$AP$1201,1)-$B114))</f>
        <v/>
      </c>
      <c r="F114" s="52" t="str">
        <f>IF($B114="","",IF(SUMIFS(Data!$P$2:$P$1201,Data!$S$2:$S$1201,$B114,Data!$AQ$2:$AQ$1201,1)=0,"",SUMIFS(Data!$P$2:$P$1201,Data!$S$2:$S$1201,$B114,Data!$AQ$2:$AQ$1201,1)-$B114))</f>
        <v/>
      </c>
      <c r="G114" s="53" t="str">
        <f t="shared" si="13"/>
        <v/>
      </c>
      <c r="H114" s="53" t="str">
        <f t="shared" si="14"/>
        <v/>
      </c>
      <c r="I114" s="45" t="str">
        <f t="shared" si="15"/>
        <v/>
      </c>
      <c r="J114" s="47" t="str">
        <f>IF($B114="","",COUNTIFS(Data!$S$2:$S$1201,$B114,Data!$E$2:$E$1201,"timed"))</f>
        <v/>
      </c>
      <c r="K114" s="47" t="str">
        <f>IF($B114="","",SUMIFS(Data!$AG$2:$AG$1201,Data!$S$2:$S$1201,$B114))</f>
        <v/>
      </c>
      <c r="L114" s="45" t="str">
        <f>IF(OR($B114="",$D114=0),"",SUMIFS(Data!$N$2:$N$1201,Data!$S$2:$S$1201,$B114,Data!$AI$2:$AI$1201,1)/60/$D114)</f>
        <v/>
      </c>
      <c r="M114" s="49" t="str">
        <f>IF($B114="","",SUMIFS(Data!$AL$2:$AL$1201,Data!$S$2:$S$1201,$B114))</f>
        <v/>
      </c>
      <c r="Z114" t="str">
        <f>IFERROR(INDEX(Data!$S$2:$S$1201,MATCH(107,Data!$Y$2:$Y$1201,0)),"")</f>
        <v/>
      </c>
    </row>
    <row r="115" spans="2:26" x14ac:dyDescent="0.25">
      <c r="B115" s="51" t="str">
        <f>IFERROR(SMALL(Rhythm!$Z$8:$Z$207,106),"")</f>
        <v/>
      </c>
      <c r="C115" s="42" t="str">
        <f t="shared" si="12"/>
        <v/>
      </c>
      <c r="D115" s="44" t="str">
        <f>IF($B115="","",SUMIFS(Data!$N$2:$N$1201,Data!$S$2:$S$1201,$B115)/60)</f>
        <v/>
      </c>
      <c r="E115" s="52" t="str">
        <f>IF($B115="","",IF(SUMIFS(Data!$O$2:$O$1201,Data!$S$2:$S$1201,$B115,Data!$AP$2:$AP$1201,1)=0,"",SUMIFS(Data!$O$2:$O$1201,Data!$S$2:$S$1201,$B115,Data!$AP$2:$AP$1201,1)-$B115))</f>
        <v/>
      </c>
      <c r="F115" s="52" t="str">
        <f>IF($B115="","",IF(SUMIFS(Data!$P$2:$P$1201,Data!$S$2:$S$1201,$B115,Data!$AQ$2:$AQ$1201,1)=0,"",SUMIFS(Data!$P$2:$P$1201,Data!$S$2:$S$1201,$B115,Data!$AQ$2:$AQ$1201,1)-$B115))</f>
        <v/>
      </c>
      <c r="G115" s="53" t="str">
        <f t="shared" si="13"/>
        <v/>
      </c>
      <c r="H115" s="53" t="str">
        <f t="shared" si="14"/>
        <v/>
      </c>
      <c r="I115" s="45" t="str">
        <f t="shared" si="15"/>
        <v/>
      </c>
      <c r="J115" s="47" t="str">
        <f>IF($B115="","",COUNTIFS(Data!$S$2:$S$1201,$B115,Data!$E$2:$E$1201,"timed"))</f>
        <v/>
      </c>
      <c r="K115" s="47" t="str">
        <f>IF($B115="","",SUMIFS(Data!$AG$2:$AG$1201,Data!$S$2:$S$1201,$B115))</f>
        <v/>
      </c>
      <c r="L115" s="45" t="str">
        <f>IF(OR($B115="",$D115=0),"",SUMIFS(Data!$N$2:$N$1201,Data!$S$2:$S$1201,$B115,Data!$AI$2:$AI$1201,1)/60/$D115)</f>
        <v/>
      </c>
      <c r="M115" s="49" t="str">
        <f>IF($B115="","",SUMIFS(Data!$AL$2:$AL$1201,Data!$S$2:$S$1201,$B115))</f>
        <v/>
      </c>
      <c r="Z115" t="str">
        <f>IFERROR(INDEX(Data!$S$2:$S$1201,MATCH(108,Data!$Y$2:$Y$1201,0)),"")</f>
        <v/>
      </c>
    </row>
    <row r="116" spans="2:26" x14ac:dyDescent="0.25">
      <c r="B116" s="51" t="str">
        <f>IFERROR(SMALL(Rhythm!$Z$8:$Z$207,107),"")</f>
        <v/>
      </c>
      <c r="C116" s="42" t="str">
        <f t="shared" si="12"/>
        <v/>
      </c>
      <c r="D116" s="44" t="str">
        <f>IF($B116="","",SUMIFS(Data!$N$2:$N$1201,Data!$S$2:$S$1201,$B116)/60)</f>
        <v/>
      </c>
      <c r="E116" s="52" t="str">
        <f>IF($B116="","",IF(SUMIFS(Data!$O$2:$O$1201,Data!$S$2:$S$1201,$B116,Data!$AP$2:$AP$1201,1)=0,"",SUMIFS(Data!$O$2:$O$1201,Data!$S$2:$S$1201,$B116,Data!$AP$2:$AP$1201,1)-$B116))</f>
        <v/>
      </c>
      <c r="F116" s="52" t="str">
        <f>IF($B116="","",IF(SUMIFS(Data!$P$2:$P$1201,Data!$S$2:$S$1201,$B116,Data!$AQ$2:$AQ$1201,1)=0,"",SUMIFS(Data!$P$2:$P$1201,Data!$S$2:$S$1201,$B116,Data!$AQ$2:$AQ$1201,1)-$B116))</f>
        <v/>
      </c>
      <c r="G116" s="53" t="str">
        <f t="shared" si="13"/>
        <v/>
      </c>
      <c r="H116" s="53" t="str">
        <f t="shared" si="14"/>
        <v/>
      </c>
      <c r="I116" s="45" t="str">
        <f t="shared" si="15"/>
        <v/>
      </c>
      <c r="J116" s="47" t="str">
        <f>IF($B116="","",COUNTIFS(Data!$S$2:$S$1201,$B116,Data!$E$2:$E$1201,"timed"))</f>
        <v/>
      </c>
      <c r="K116" s="47" t="str">
        <f>IF($B116="","",SUMIFS(Data!$AG$2:$AG$1201,Data!$S$2:$S$1201,$B116))</f>
        <v/>
      </c>
      <c r="L116" s="45" t="str">
        <f>IF(OR($B116="",$D116=0),"",SUMIFS(Data!$N$2:$N$1201,Data!$S$2:$S$1201,$B116,Data!$AI$2:$AI$1201,1)/60/$D116)</f>
        <v/>
      </c>
      <c r="M116" s="49" t="str">
        <f>IF($B116="","",SUMIFS(Data!$AL$2:$AL$1201,Data!$S$2:$S$1201,$B116))</f>
        <v/>
      </c>
      <c r="Z116" t="str">
        <f>IFERROR(INDEX(Data!$S$2:$S$1201,MATCH(109,Data!$Y$2:$Y$1201,0)),"")</f>
        <v/>
      </c>
    </row>
    <row r="117" spans="2:26" x14ac:dyDescent="0.25">
      <c r="B117" s="51" t="str">
        <f>IFERROR(SMALL(Rhythm!$Z$8:$Z$207,108),"")</f>
        <v/>
      </c>
      <c r="C117" s="42" t="str">
        <f t="shared" si="12"/>
        <v/>
      </c>
      <c r="D117" s="44" t="str">
        <f>IF($B117="","",SUMIFS(Data!$N$2:$N$1201,Data!$S$2:$S$1201,$B117)/60)</f>
        <v/>
      </c>
      <c r="E117" s="52" t="str">
        <f>IF($B117="","",IF(SUMIFS(Data!$O$2:$O$1201,Data!$S$2:$S$1201,$B117,Data!$AP$2:$AP$1201,1)=0,"",SUMIFS(Data!$O$2:$O$1201,Data!$S$2:$S$1201,$B117,Data!$AP$2:$AP$1201,1)-$B117))</f>
        <v/>
      </c>
      <c r="F117" s="52" t="str">
        <f>IF($B117="","",IF(SUMIFS(Data!$P$2:$P$1201,Data!$S$2:$S$1201,$B117,Data!$AQ$2:$AQ$1201,1)=0,"",SUMIFS(Data!$P$2:$P$1201,Data!$S$2:$S$1201,$B117,Data!$AQ$2:$AQ$1201,1)-$B117))</f>
        <v/>
      </c>
      <c r="G117" s="53" t="str">
        <f t="shared" si="13"/>
        <v/>
      </c>
      <c r="H117" s="53" t="str">
        <f t="shared" si="14"/>
        <v/>
      </c>
      <c r="I117" s="45" t="str">
        <f t="shared" si="15"/>
        <v/>
      </c>
      <c r="J117" s="47" t="str">
        <f>IF($B117="","",COUNTIFS(Data!$S$2:$S$1201,$B117,Data!$E$2:$E$1201,"timed"))</f>
        <v/>
      </c>
      <c r="K117" s="47" t="str">
        <f>IF($B117="","",SUMIFS(Data!$AG$2:$AG$1201,Data!$S$2:$S$1201,$B117))</f>
        <v/>
      </c>
      <c r="L117" s="45" t="str">
        <f>IF(OR($B117="",$D117=0),"",SUMIFS(Data!$N$2:$N$1201,Data!$S$2:$S$1201,$B117,Data!$AI$2:$AI$1201,1)/60/$D117)</f>
        <v/>
      </c>
      <c r="M117" s="49" t="str">
        <f>IF($B117="","",SUMIFS(Data!$AL$2:$AL$1201,Data!$S$2:$S$1201,$B117))</f>
        <v/>
      </c>
      <c r="Z117" t="str">
        <f>IFERROR(INDEX(Data!$S$2:$S$1201,MATCH(110,Data!$Y$2:$Y$1201,0)),"")</f>
        <v/>
      </c>
    </row>
    <row r="118" spans="2:26" x14ac:dyDescent="0.25">
      <c r="B118" s="51" t="str">
        <f>IFERROR(SMALL(Rhythm!$Z$8:$Z$207,109),"")</f>
        <v/>
      </c>
      <c r="C118" s="42" t="str">
        <f t="shared" si="12"/>
        <v/>
      </c>
      <c r="D118" s="44" t="str">
        <f>IF($B118="","",SUMIFS(Data!$N$2:$N$1201,Data!$S$2:$S$1201,$B118)/60)</f>
        <v/>
      </c>
      <c r="E118" s="52" t="str">
        <f>IF($B118="","",IF(SUMIFS(Data!$O$2:$O$1201,Data!$S$2:$S$1201,$B118,Data!$AP$2:$AP$1201,1)=0,"",SUMIFS(Data!$O$2:$O$1201,Data!$S$2:$S$1201,$B118,Data!$AP$2:$AP$1201,1)-$B118))</f>
        <v/>
      </c>
      <c r="F118" s="52" t="str">
        <f>IF($B118="","",IF(SUMIFS(Data!$P$2:$P$1201,Data!$S$2:$S$1201,$B118,Data!$AQ$2:$AQ$1201,1)=0,"",SUMIFS(Data!$P$2:$P$1201,Data!$S$2:$S$1201,$B118,Data!$AQ$2:$AQ$1201,1)-$B118))</f>
        <v/>
      </c>
      <c r="G118" s="53" t="str">
        <f t="shared" si="13"/>
        <v/>
      </c>
      <c r="H118" s="53" t="str">
        <f t="shared" si="14"/>
        <v/>
      </c>
      <c r="I118" s="45" t="str">
        <f t="shared" si="15"/>
        <v/>
      </c>
      <c r="J118" s="47" t="str">
        <f>IF($B118="","",COUNTIFS(Data!$S$2:$S$1201,$B118,Data!$E$2:$E$1201,"timed"))</f>
        <v/>
      </c>
      <c r="K118" s="47" t="str">
        <f>IF($B118="","",SUMIFS(Data!$AG$2:$AG$1201,Data!$S$2:$S$1201,$B118))</f>
        <v/>
      </c>
      <c r="L118" s="45" t="str">
        <f>IF(OR($B118="",$D118=0),"",SUMIFS(Data!$N$2:$N$1201,Data!$S$2:$S$1201,$B118,Data!$AI$2:$AI$1201,1)/60/$D118)</f>
        <v/>
      </c>
      <c r="M118" s="49" t="str">
        <f>IF($B118="","",SUMIFS(Data!$AL$2:$AL$1201,Data!$S$2:$S$1201,$B118))</f>
        <v/>
      </c>
      <c r="Z118" t="str">
        <f>IFERROR(INDEX(Data!$S$2:$S$1201,MATCH(111,Data!$Y$2:$Y$1201,0)),"")</f>
        <v/>
      </c>
    </row>
    <row r="119" spans="2:26" x14ac:dyDescent="0.25">
      <c r="B119" s="51" t="str">
        <f>IFERROR(SMALL(Rhythm!$Z$8:$Z$207,110),"")</f>
        <v/>
      </c>
      <c r="C119" s="42" t="str">
        <f t="shared" si="12"/>
        <v/>
      </c>
      <c r="D119" s="44" t="str">
        <f>IF($B119="","",SUMIFS(Data!$N$2:$N$1201,Data!$S$2:$S$1201,$B119)/60)</f>
        <v/>
      </c>
      <c r="E119" s="52" t="str">
        <f>IF($B119="","",IF(SUMIFS(Data!$O$2:$O$1201,Data!$S$2:$S$1201,$B119,Data!$AP$2:$AP$1201,1)=0,"",SUMIFS(Data!$O$2:$O$1201,Data!$S$2:$S$1201,$B119,Data!$AP$2:$AP$1201,1)-$B119))</f>
        <v/>
      </c>
      <c r="F119" s="52" t="str">
        <f>IF($B119="","",IF(SUMIFS(Data!$P$2:$P$1201,Data!$S$2:$S$1201,$B119,Data!$AQ$2:$AQ$1201,1)=0,"",SUMIFS(Data!$P$2:$P$1201,Data!$S$2:$S$1201,$B119,Data!$AQ$2:$AQ$1201,1)-$B119))</f>
        <v/>
      </c>
      <c r="G119" s="53" t="str">
        <f t="shared" si="13"/>
        <v/>
      </c>
      <c r="H119" s="53" t="str">
        <f t="shared" si="14"/>
        <v/>
      </c>
      <c r="I119" s="45" t="str">
        <f t="shared" si="15"/>
        <v/>
      </c>
      <c r="J119" s="47" t="str">
        <f>IF($B119="","",COUNTIFS(Data!$S$2:$S$1201,$B119,Data!$E$2:$E$1201,"timed"))</f>
        <v/>
      </c>
      <c r="K119" s="47" t="str">
        <f>IF($B119="","",SUMIFS(Data!$AG$2:$AG$1201,Data!$S$2:$S$1201,$B119))</f>
        <v/>
      </c>
      <c r="L119" s="45" t="str">
        <f>IF(OR($B119="",$D119=0),"",SUMIFS(Data!$N$2:$N$1201,Data!$S$2:$S$1201,$B119,Data!$AI$2:$AI$1201,1)/60/$D119)</f>
        <v/>
      </c>
      <c r="M119" s="49" t="str">
        <f>IF($B119="","",SUMIFS(Data!$AL$2:$AL$1201,Data!$S$2:$S$1201,$B119))</f>
        <v/>
      </c>
      <c r="Z119" t="str">
        <f>IFERROR(INDEX(Data!$S$2:$S$1201,MATCH(112,Data!$Y$2:$Y$1201,0)),"")</f>
        <v/>
      </c>
    </row>
    <row r="120" spans="2:26" x14ac:dyDescent="0.25">
      <c r="B120" s="51" t="str">
        <f>IFERROR(SMALL(Rhythm!$Z$8:$Z$207,111),"")</f>
        <v/>
      </c>
      <c r="C120" s="42" t="str">
        <f t="shared" si="12"/>
        <v/>
      </c>
      <c r="D120" s="44" t="str">
        <f>IF($B120="","",SUMIFS(Data!$N$2:$N$1201,Data!$S$2:$S$1201,$B120)/60)</f>
        <v/>
      </c>
      <c r="E120" s="52" t="str">
        <f>IF($B120="","",IF(SUMIFS(Data!$O$2:$O$1201,Data!$S$2:$S$1201,$B120,Data!$AP$2:$AP$1201,1)=0,"",SUMIFS(Data!$O$2:$O$1201,Data!$S$2:$S$1201,$B120,Data!$AP$2:$AP$1201,1)-$B120))</f>
        <v/>
      </c>
      <c r="F120" s="52" t="str">
        <f>IF($B120="","",IF(SUMIFS(Data!$P$2:$P$1201,Data!$S$2:$S$1201,$B120,Data!$AQ$2:$AQ$1201,1)=0,"",SUMIFS(Data!$P$2:$P$1201,Data!$S$2:$S$1201,$B120,Data!$AQ$2:$AQ$1201,1)-$B120))</f>
        <v/>
      </c>
      <c r="G120" s="53" t="str">
        <f t="shared" si="13"/>
        <v/>
      </c>
      <c r="H120" s="53" t="str">
        <f t="shared" si="14"/>
        <v/>
      </c>
      <c r="I120" s="45" t="str">
        <f t="shared" si="15"/>
        <v/>
      </c>
      <c r="J120" s="47" t="str">
        <f>IF($B120="","",COUNTIFS(Data!$S$2:$S$1201,$B120,Data!$E$2:$E$1201,"timed"))</f>
        <v/>
      </c>
      <c r="K120" s="47" t="str">
        <f>IF($B120="","",SUMIFS(Data!$AG$2:$AG$1201,Data!$S$2:$S$1201,$B120))</f>
        <v/>
      </c>
      <c r="L120" s="45" t="str">
        <f>IF(OR($B120="",$D120=0),"",SUMIFS(Data!$N$2:$N$1201,Data!$S$2:$S$1201,$B120,Data!$AI$2:$AI$1201,1)/60/$D120)</f>
        <v/>
      </c>
      <c r="M120" s="49" t="str">
        <f>IF($B120="","",SUMIFS(Data!$AL$2:$AL$1201,Data!$S$2:$S$1201,$B120))</f>
        <v/>
      </c>
      <c r="Z120" t="str">
        <f>IFERROR(INDEX(Data!$S$2:$S$1201,MATCH(113,Data!$Y$2:$Y$1201,0)),"")</f>
        <v/>
      </c>
    </row>
    <row r="121" spans="2:26" x14ac:dyDescent="0.25">
      <c r="B121" s="51" t="str">
        <f>IFERROR(SMALL(Rhythm!$Z$8:$Z$207,112),"")</f>
        <v/>
      </c>
      <c r="C121" s="42" t="str">
        <f t="shared" si="12"/>
        <v/>
      </c>
      <c r="D121" s="44" t="str">
        <f>IF($B121="","",SUMIFS(Data!$N$2:$N$1201,Data!$S$2:$S$1201,$B121)/60)</f>
        <v/>
      </c>
      <c r="E121" s="52" t="str">
        <f>IF($B121="","",IF(SUMIFS(Data!$O$2:$O$1201,Data!$S$2:$S$1201,$B121,Data!$AP$2:$AP$1201,1)=0,"",SUMIFS(Data!$O$2:$O$1201,Data!$S$2:$S$1201,$B121,Data!$AP$2:$AP$1201,1)-$B121))</f>
        <v/>
      </c>
      <c r="F121" s="52" t="str">
        <f>IF($B121="","",IF(SUMIFS(Data!$P$2:$P$1201,Data!$S$2:$S$1201,$B121,Data!$AQ$2:$AQ$1201,1)=0,"",SUMIFS(Data!$P$2:$P$1201,Data!$S$2:$S$1201,$B121,Data!$AQ$2:$AQ$1201,1)-$B121))</f>
        <v/>
      </c>
      <c r="G121" s="53" t="str">
        <f t="shared" si="13"/>
        <v/>
      </c>
      <c r="H121" s="53" t="str">
        <f t="shared" si="14"/>
        <v/>
      </c>
      <c r="I121" s="45" t="str">
        <f t="shared" si="15"/>
        <v/>
      </c>
      <c r="J121" s="47" t="str">
        <f>IF($B121="","",COUNTIFS(Data!$S$2:$S$1201,$B121,Data!$E$2:$E$1201,"timed"))</f>
        <v/>
      </c>
      <c r="K121" s="47" t="str">
        <f>IF($B121="","",SUMIFS(Data!$AG$2:$AG$1201,Data!$S$2:$S$1201,$B121))</f>
        <v/>
      </c>
      <c r="L121" s="45" t="str">
        <f>IF(OR($B121="",$D121=0),"",SUMIFS(Data!$N$2:$N$1201,Data!$S$2:$S$1201,$B121,Data!$AI$2:$AI$1201,1)/60/$D121)</f>
        <v/>
      </c>
      <c r="M121" s="49" t="str">
        <f>IF($B121="","",SUMIFS(Data!$AL$2:$AL$1201,Data!$S$2:$S$1201,$B121))</f>
        <v/>
      </c>
      <c r="Z121" t="str">
        <f>IFERROR(INDEX(Data!$S$2:$S$1201,MATCH(114,Data!$Y$2:$Y$1201,0)),"")</f>
        <v/>
      </c>
    </row>
    <row r="122" spans="2:26" x14ac:dyDescent="0.25">
      <c r="B122" s="51" t="str">
        <f>IFERROR(SMALL(Rhythm!$Z$8:$Z$207,113),"")</f>
        <v/>
      </c>
      <c r="C122" s="42" t="str">
        <f t="shared" si="12"/>
        <v/>
      </c>
      <c r="D122" s="44" t="str">
        <f>IF($B122="","",SUMIFS(Data!$N$2:$N$1201,Data!$S$2:$S$1201,$B122)/60)</f>
        <v/>
      </c>
      <c r="E122" s="52" t="str">
        <f>IF($B122="","",IF(SUMIFS(Data!$O$2:$O$1201,Data!$S$2:$S$1201,$B122,Data!$AP$2:$AP$1201,1)=0,"",SUMIFS(Data!$O$2:$O$1201,Data!$S$2:$S$1201,$B122,Data!$AP$2:$AP$1201,1)-$B122))</f>
        <v/>
      </c>
      <c r="F122" s="52" t="str">
        <f>IF($B122="","",IF(SUMIFS(Data!$P$2:$P$1201,Data!$S$2:$S$1201,$B122,Data!$AQ$2:$AQ$1201,1)=0,"",SUMIFS(Data!$P$2:$P$1201,Data!$S$2:$S$1201,$B122,Data!$AQ$2:$AQ$1201,1)-$B122))</f>
        <v/>
      </c>
      <c r="G122" s="53" t="str">
        <f t="shared" si="13"/>
        <v/>
      </c>
      <c r="H122" s="53" t="str">
        <f t="shared" si="14"/>
        <v/>
      </c>
      <c r="I122" s="45" t="str">
        <f t="shared" si="15"/>
        <v/>
      </c>
      <c r="J122" s="47" t="str">
        <f>IF($B122="","",COUNTIFS(Data!$S$2:$S$1201,$B122,Data!$E$2:$E$1201,"timed"))</f>
        <v/>
      </c>
      <c r="K122" s="47" t="str">
        <f>IF($B122="","",SUMIFS(Data!$AG$2:$AG$1201,Data!$S$2:$S$1201,$B122))</f>
        <v/>
      </c>
      <c r="L122" s="45" t="str">
        <f>IF(OR($B122="",$D122=0),"",SUMIFS(Data!$N$2:$N$1201,Data!$S$2:$S$1201,$B122,Data!$AI$2:$AI$1201,1)/60/$D122)</f>
        <v/>
      </c>
      <c r="M122" s="49" t="str">
        <f>IF($B122="","",SUMIFS(Data!$AL$2:$AL$1201,Data!$S$2:$S$1201,$B122))</f>
        <v/>
      </c>
      <c r="Z122" t="str">
        <f>IFERROR(INDEX(Data!$S$2:$S$1201,MATCH(115,Data!$Y$2:$Y$1201,0)),"")</f>
        <v/>
      </c>
    </row>
    <row r="123" spans="2:26" x14ac:dyDescent="0.25">
      <c r="B123" s="51" t="str">
        <f>IFERROR(SMALL(Rhythm!$Z$8:$Z$207,114),"")</f>
        <v/>
      </c>
      <c r="C123" s="42" t="str">
        <f t="shared" si="12"/>
        <v/>
      </c>
      <c r="D123" s="44" t="str">
        <f>IF($B123="","",SUMIFS(Data!$N$2:$N$1201,Data!$S$2:$S$1201,$B123)/60)</f>
        <v/>
      </c>
      <c r="E123" s="52" t="str">
        <f>IF($B123="","",IF(SUMIFS(Data!$O$2:$O$1201,Data!$S$2:$S$1201,$B123,Data!$AP$2:$AP$1201,1)=0,"",SUMIFS(Data!$O$2:$O$1201,Data!$S$2:$S$1201,$B123,Data!$AP$2:$AP$1201,1)-$B123))</f>
        <v/>
      </c>
      <c r="F123" s="52" t="str">
        <f>IF($B123="","",IF(SUMIFS(Data!$P$2:$P$1201,Data!$S$2:$S$1201,$B123,Data!$AQ$2:$AQ$1201,1)=0,"",SUMIFS(Data!$P$2:$P$1201,Data!$S$2:$S$1201,$B123,Data!$AQ$2:$AQ$1201,1)-$B123))</f>
        <v/>
      </c>
      <c r="G123" s="53" t="str">
        <f t="shared" si="13"/>
        <v/>
      </c>
      <c r="H123" s="53" t="str">
        <f t="shared" si="14"/>
        <v/>
      </c>
      <c r="I123" s="45" t="str">
        <f t="shared" si="15"/>
        <v/>
      </c>
      <c r="J123" s="47" t="str">
        <f>IF($B123="","",COUNTIFS(Data!$S$2:$S$1201,$B123,Data!$E$2:$E$1201,"timed"))</f>
        <v/>
      </c>
      <c r="K123" s="47" t="str">
        <f>IF($B123="","",SUMIFS(Data!$AG$2:$AG$1201,Data!$S$2:$S$1201,$B123))</f>
        <v/>
      </c>
      <c r="L123" s="45" t="str">
        <f>IF(OR($B123="",$D123=0),"",SUMIFS(Data!$N$2:$N$1201,Data!$S$2:$S$1201,$B123,Data!$AI$2:$AI$1201,1)/60/$D123)</f>
        <v/>
      </c>
      <c r="M123" s="49" t="str">
        <f>IF($B123="","",SUMIFS(Data!$AL$2:$AL$1201,Data!$S$2:$S$1201,$B123))</f>
        <v/>
      </c>
      <c r="Z123" t="str">
        <f>IFERROR(INDEX(Data!$S$2:$S$1201,MATCH(116,Data!$Y$2:$Y$1201,0)),"")</f>
        <v/>
      </c>
    </row>
    <row r="124" spans="2:26" x14ac:dyDescent="0.25">
      <c r="B124" s="51" t="str">
        <f>IFERROR(SMALL(Rhythm!$Z$8:$Z$207,115),"")</f>
        <v/>
      </c>
      <c r="C124" s="42" t="str">
        <f t="shared" si="12"/>
        <v/>
      </c>
      <c r="D124" s="44" t="str">
        <f>IF($B124="","",SUMIFS(Data!$N$2:$N$1201,Data!$S$2:$S$1201,$B124)/60)</f>
        <v/>
      </c>
      <c r="E124" s="52" t="str">
        <f>IF($B124="","",IF(SUMIFS(Data!$O$2:$O$1201,Data!$S$2:$S$1201,$B124,Data!$AP$2:$AP$1201,1)=0,"",SUMIFS(Data!$O$2:$O$1201,Data!$S$2:$S$1201,$B124,Data!$AP$2:$AP$1201,1)-$B124))</f>
        <v/>
      </c>
      <c r="F124" s="52" t="str">
        <f>IF($B124="","",IF(SUMIFS(Data!$P$2:$P$1201,Data!$S$2:$S$1201,$B124,Data!$AQ$2:$AQ$1201,1)=0,"",SUMIFS(Data!$P$2:$P$1201,Data!$S$2:$S$1201,$B124,Data!$AQ$2:$AQ$1201,1)-$B124))</f>
        <v/>
      </c>
      <c r="G124" s="53" t="str">
        <f t="shared" si="13"/>
        <v/>
      </c>
      <c r="H124" s="53" t="str">
        <f t="shared" si="14"/>
        <v/>
      </c>
      <c r="I124" s="45" t="str">
        <f t="shared" si="15"/>
        <v/>
      </c>
      <c r="J124" s="47" t="str">
        <f>IF($B124="","",COUNTIFS(Data!$S$2:$S$1201,$B124,Data!$E$2:$E$1201,"timed"))</f>
        <v/>
      </c>
      <c r="K124" s="47" t="str">
        <f>IF($B124="","",SUMIFS(Data!$AG$2:$AG$1201,Data!$S$2:$S$1201,$B124))</f>
        <v/>
      </c>
      <c r="L124" s="45" t="str">
        <f>IF(OR($B124="",$D124=0),"",SUMIFS(Data!$N$2:$N$1201,Data!$S$2:$S$1201,$B124,Data!$AI$2:$AI$1201,1)/60/$D124)</f>
        <v/>
      </c>
      <c r="M124" s="49" t="str">
        <f>IF($B124="","",SUMIFS(Data!$AL$2:$AL$1201,Data!$S$2:$S$1201,$B124))</f>
        <v/>
      </c>
      <c r="Z124" t="str">
        <f>IFERROR(INDEX(Data!$S$2:$S$1201,MATCH(117,Data!$Y$2:$Y$1201,0)),"")</f>
        <v/>
      </c>
    </row>
    <row r="125" spans="2:26" x14ac:dyDescent="0.25">
      <c r="B125" s="51" t="str">
        <f>IFERROR(SMALL(Rhythm!$Z$8:$Z$207,116),"")</f>
        <v/>
      </c>
      <c r="C125" s="42" t="str">
        <f t="shared" si="12"/>
        <v/>
      </c>
      <c r="D125" s="44" t="str">
        <f>IF($B125="","",SUMIFS(Data!$N$2:$N$1201,Data!$S$2:$S$1201,$B125)/60)</f>
        <v/>
      </c>
      <c r="E125" s="52" t="str">
        <f>IF($B125="","",IF(SUMIFS(Data!$O$2:$O$1201,Data!$S$2:$S$1201,$B125,Data!$AP$2:$AP$1201,1)=0,"",SUMIFS(Data!$O$2:$O$1201,Data!$S$2:$S$1201,$B125,Data!$AP$2:$AP$1201,1)-$B125))</f>
        <v/>
      </c>
      <c r="F125" s="52" t="str">
        <f>IF($B125="","",IF(SUMIFS(Data!$P$2:$P$1201,Data!$S$2:$S$1201,$B125,Data!$AQ$2:$AQ$1201,1)=0,"",SUMIFS(Data!$P$2:$P$1201,Data!$S$2:$S$1201,$B125,Data!$AQ$2:$AQ$1201,1)-$B125))</f>
        <v/>
      </c>
      <c r="G125" s="53" t="str">
        <f t="shared" si="13"/>
        <v/>
      </c>
      <c r="H125" s="53" t="str">
        <f t="shared" si="14"/>
        <v/>
      </c>
      <c r="I125" s="45" t="str">
        <f t="shared" si="15"/>
        <v/>
      </c>
      <c r="J125" s="47" t="str">
        <f>IF($B125="","",COUNTIFS(Data!$S$2:$S$1201,$B125,Data!$E$2:$E$1201,"timed"))</f>
        <v/>
      </c>
      <c r="K125" s="47" t="str">
        <f>IF($B125="","",SUMIFS(Data!$AG$2:$AG$1201,Data!$S$2:$S$1201,$B125))</f>
        <v/>
      </c>
      <c r="L125" s="45" t="str">
        <f>IF(OR($B125="",$D125=0),"",SUMIFS(Data!$N$2:$N$1201,Data!$S$2:$S$1201,$B125,Data!$AI$2:$AI$1201,1)/60/$D125)</f>
        <v/>
      </c>
      <c r="M125" s="49" t="str">
        <f>IF($B125="","",SUMIFS(Data!$AL$2:$AL$1201,Data!$S$2:$S$1201,$B125))</f>
        <v/>
      </c>
      <c r="Z125" t="str">
        <f>IFERROR(INDEX(Data!$S$2:$S$1201,MATCH(118,Data!$Y$2:$Y$1201,0)),"")</f>
        <v/>
      </c>
    </row>
    <row r="126" spans="2:26" x14ac:dyDescent="0.25">
      <c r="B126" s="51" t="str">
        <f>IFERROR(SMALL(Rhythm!$Z$8:$Z$207,117),"")</f>
        <v/>
      </c>
      <c r="C126" s="42" t="str">
        <f t="shared" si="12"/>
        <v/>
      </c>
      <c r="D126" s="44" t="str">
        <f>IF($B126="","",SUMIFS(Data!$N$2:$N$1201,Data!$S$2:$S$1201,$B126)/60)</f>
        <v/>
      </c>
      <c r="E126" s="52" t="str">
        <f>IF($B126="","",IF(SUMIFS(Data!$O$2:$O$1201,Data!$S$2:$S$1201,$B126,Data!$AP$2:$AP$1201,1)=0,"",SUMIFS(Data!$O$2:$O$1201,Data!$S$2:$S$1201,$B126,Data!$AP$2:$AP$1201,1)-$B126))</f>
        <v/>
      </c>
      <c r="F126" s="52" t="str">
        <f>IF($B126="","",IF(SUMIFS(Data!$P$2:$P$1201,Data!$S$2:$S$1201,$B126,Data!$AQ$2:$AQ$1201,1)=0,"",SUMIFS(Data!$P$2:$P$1201,Data!$S$2:$S$1201,$B126,Data!$AQ$2:$AQ$1201,1)-$B126))</f>
        <v/>
      </c>
      <c r="G126" s="53" t="str">
        <f t="shared" si="13"/>
        <v/>
      </c>
      <c r="H126" s="53" t="str">
        <f t="shared" si="14"/>
        <v/>
      </c>
      <c r="I126" s="45" t="str">
        <f t="shared" si="15"/>
        <v/>
      </c>
      <c r="J126" s="47" t="str">
        <f>IF($B126="","",COUNTIFS(Data!$S$2:$S$1201,$B126,Data!$E$2:$E$1201,"timed"))</f>
        <v/>
      </c>
      <c r="K126" s="47" t="str">
        <f>IF($B126="","",SUMIFS(Data!$AG$2:$AG$1201,Data!$S$2:$S$1201,$B126))</f>
        <v/>
      </c>
      <c r="L126" s="45" t="str">
        <f>IF(OR($B126="",$D126=0),"",SUMIFS(Data!$N$2:$N$1201,Data!$S$2:$S$1201,$B126,Data!$AI$2:$AI$1201,1)/60/$D126)</f>
        <v/>
      </c>
      <c r="M126" s="49" t="str">
        <f>IF($B126="","",SUMIFS(Data!$AL$2:$AL$1201,Data!$S$2:$S$1201,$B126))</f>
        <v/>
      </c>
      <c r="Z126" t="str">
        <f>IFERROR(INDEX(Data!$S$2:$S$1201,MATCH(119,Data!$Y$2:$Y$1201,0)),"")</f>
        <v/>
      </c>
    </row>
    <row r="127" spans="2:26" x14ac:dyDescent="0.25">
      <c r="B127" s="51" t="str">
        <f>IFERROR(SMALL(Rhythm!$Z$8:$Z$207,118),"")</f>
        <v/>
      </c>
      <c r="C127" s="42" t="str">
        <f t="shared" si="12"/>
        <v/>
      </c>
      <c r="D127" s="44" t="str">
        <f>IF($B127="","",SUMIFS(Data!$N$2:$N$1201,Data!$S$2:$S$1201,$B127)/60)</f>
        <v/>
      </c>
      <c r="E127" s="52" t="str">
        <f>IF($B127="","",IF(SUMIFS(Data!$O$2:$O$1201,Data!$S$2:$S$1201,$B127,Data!$AP$2:$AP$1201,1)=0,"",SUMIFS(Data!$O$2:$O$1201,Data!$S$2:$S$1201,$B127,Data!$AP$2:$AP$1201,1)-$B127))</f>
        <v/>
      </c>
      <c r="F127" s="52" t="str">
        <f>IF($B127="","",IF(SUMIFS(Data!$P$2:$P$1201,Data!$S$2:$S$1201,$B127,Data!$AQ$2:$AQ$1201,1)=0,"",SUMIFS(Data!$P$2:$P$1201,Data!$S$2:$S$1201,$B127,Data!$AQ$2:$AQ$1201,1)-$B127))</f>
        <v/>
      </c>
      <c r="G127" s="53" t="str">
        <f t="shared" si="13"/>
        <v/>
      </c>
      <c r="H127" s="53" t="str">
        <f t="shared" si="14"/>
        <v/>
      </c>
      <c r="I127" s="45" t="str">
        <f t="shared" si="15"/>
        <v/>
      </c>
      <c r="J127" s="47" t="str">
        <f>IF($B127="","",COUNTIFS(Data!$S$2:$S$1201,$B127,Data!$E$2:$E$1201,"timed"))</f>
        <v/>
      </c>
      <c r="K127" s="47" t="str">
        <f>IF($B127="","",SUMIFS(Data!$AG$2:$AG$1201,Data!$S$2:$S$1201,$B127))</f>
        <v/>
      </c>
      <c r="L127" s="45" t="str">
        <f>IF(OR($B127="",$D127=0),"",SUMIFS(Data!$N$2:$N$1201,Data!$S$2:$S$1201,$B127,Data!$AI$2:$AI$1201,1)/60/$D127)</f>
        <v/>
      </c>
      <c r="M127" s="49" t="str">
        <f>IF($B127="","",SUMIFS(Data!$AL$2:$AL$1201,Data!$S$2:$S$1201,$B127))</f>
        <v/>
      </c>
      <c r="Z127" t="str">
        <f>IFERROR(INDEX(Data!$S$2:$S$1201,MATCH(120,Data!$Y$2:$Y$1201,0)),"")</f>
        <v/>
      </c>
    </row>
    <row r="128" spans="2:26" x14ac:dyDescent="0.25">
      <c r="B128" s="51" t="str">
        <f>IFERROR(SMALL(Rhythm!$Z$8:$Z$207,119),"")</f>
        <v/>
      </c>
      <c r="C128" s="42" t="str">
        <f t="shared" si="12"/>
        <v/>
      </c>
      <c r="D128" s="44" t="str">
        <f>IF($B128="","",SUMIFS(Data!$N$2:$N$1201,Data!$S$2:$S$1201,$B128)/60)</f>
        <v/>
      </c>
      <c r="E128" s="52" t="str">
        <f>IF($B128="","",IF(SUMIFS(Data!$O$2:$O$1201,Data!$S$2:$S$1201,$B128,Data!$AP$2:$AP$1201,1)=0,"",SUMIFS(Data!$O$2:$O$1201,Data!$S$2:$S$1201,$B128,Data!$AP$2:$AP$1201,1)-$B128))</f>
        <v/>
      </c>
      <c r="F128" s="52" t="str">
        <f>IF($B128="","",IF(SUMIFS(Data!$P$2:$P$1201,Data!$S$2:$S$1201,$B128,Data!$AQ$2:$AQ$1201,1)=0,"",SUMIFS(Data!$P$2:$P$1201,Data!$S$2:$S$1201,$B128,Data!$AQ$2:$AQ$1201,1)-$B128))</f>
        <v/>
      </c>
      <c r="G128" s="53" t="str">
        <f t="shared" si="13"/>
        <v/>
      </c>
      <c r="H128" s="53" t="str">
        <f t="shared" si="14"/>
        <v/>
      </c>
      <c r="I128" s="45" t="str">
        <f t="shared" si="15"/>
        <v/>
      </c>
      <c r="J128" s="47" t="str">
        <f>IF($B128="","",COUNTIFS(Data!$S$2:$S$1201,$B128,Data!$E$2:$E$1201,"timed"))</f>
        <v/>
      </c>
      <c r="K128" s="47" t="str">
        <f>IF($B128="","",SUMIFS(Data!$AG$2:$AG$1201,Data!$S$2:$S$1201,$B128))</f>
        <v/>
      </c>
      <c r="L128" s="45" t="str">
        <f>IF(OR($B128="",$D128=0),"",SUMIFS(Data!$N$2:$N$1201,Data!$S$2:$S$1201,$B128,Data!$AI$2:$AI$1201,1)/60/$D128)</f>
        <v/>
      </c>
      <c r="M128" s="49" t="str">
        <f>IF($B128="","",SUMIFS(Data!$AL$2:$AL$1201,Data!$S$2:$S$1201,$B128))</f>
        <v/>
      </c>
      <c r="Z128" t="str">
        <f>IFERROR(INDEX(Data!$S$2:$S$1201,MATCH(121,Data!$Y$2:$Y$1201,0)),"")</f>
        <v/>
      </c>
    </row>
    <row r="129" spans="2:26" x14ac:dyDescent="0.25">
      <c r="B129" s="51" t="str">
        <f>IFERROR(SMALL(Rhythm!$Z$8:$Z$207,120),"")</f>
        <v/>
      </c>
      <c r="C129" s="42" t="str">
        <f t="shared" si="12"/>
        <v/>
      </c>
      <c r="D129" s="44" t="str">
        <f>IF($B129="","",SUMIFS(Data!$N$2:$N$1201,Data!$S$2:$S$1201,$B129)/60)</f>
        <v/>
      </c>
      <c r="E129" s="52" t="str">
        <f>IF($B129="","",IF(SUMIFS(Data!$O$2:$O$1201,Data!$S$2:$S$1201,$B129,Data!$AP$2:$AP$1201,1)=0,"",SUMIFS(Data!$O$2:$O$1201,Data!$S$2:$S$1201,$B129,Data!$AP$2:$AP$1201,1)-$B129))</f>
        <v/>
      </c>
      <c r="F129" s="52" t="str">
        <f>IF($B129="","",IF(SUMIFS(Data!$P$2:$P$1201,Data!$S$2:$S$1201,$B129,Data!$AQ$2:$AQ$1201,1)=0,"",SUMIFS(Data!$P$2:$P$1201,Data!$S$2:$S$1201,$B129,Data!$AQ$2:$AQ$1201,1)-$B129))</f>
        <v/>
      </c>
      <c r="G129" s="53" t="str">
        <f t="shared" si="13"/>
        <v/>
      </c>
      <c r="H129" s="53" t="str">
        <f t="shared" si="14"/>
        <v/>
      </c>
      <c r="I129" s="45" t="str">
        <f t="shared" si="15"/>
        <v/>
      </c>
      <c r="J129" s="47" t="str">
        <f>IF($B129="","",COUNTIFS(Data!$S$2:$S$1201,$B129,Data!$E$2:$E$1201,"timed"))</f>
        <v/>
      </c>
      <c r="K129" s="47" t="str">
        <f>IF($B129="","",SUMIFS(Data!$AG$2:$AG$1201,Data!$S$2:$S$1201,$B129))</f>
        <v/>
      </c>
      <c r="L129" s="45" t="str">
        <f>IF(OR($B129="",$D129=0),"",SUMIFS(Data!$N$2:$N$1201,Data!$S$2:$S$1201,$B129,Data!$AI$2:$AI$1201,1)/60/$D129)</f>
        <v/>
      </c>
      <c r="M129" s="49" t="str">
        <f>IF($B129="","",SUMIFS(Data!$AL$2:$AL$1201,Data!$S$2:$S$1201,$B129))</f>
        <v/>
      </c>
      <c r="Z129" t="str">
        <f>IFERROR(INDEX(Data!$S$2:$S$1201,MATCH(122,Data!$Y$2:$Y$1201,0)),"")</f>
        <v/>
      </c>
    </row>
    <row r="130" spans="2:26" x14ac:dyDescent="0.25">
      <c r="B130" s="51" t="str">
        <f>IFERROR(SMALL(Rhythm!$Z$8:$Z$207,121),"")</f>
        <v/>
      </c>
      <c r="C130" s="42" t="str">
        <f t="shared" si="12"/>
        <v/>
      </c>
      <c r="D130" s="44" t="str">
        <f>IF($B130="","",SUMIFS(Data!$N$2:$N$1201,Data!$S$2:$S$1201,$B130)/60)</f>
        <v/>
      </c>
      <c r="E130" s="52" t="str">
        <f>IF($B130="","",IF(SUMIFS(Data!$O$2:$O$1201,Data!$S$2:$S$1201,$B130,Data!$AP$2:$AP$1201,1)=0,"",SUMIFS(Data!$O$2:$O$1201,Data!$S$2:$S$1201,$B130,Data!$AP$2:$AP$1201,1)-$B130))</f>
        <v/>
      </c>
      <c r="F130" s="52" t="str">
        <f>IF($B130="","",IF(SUMIFS(Data!$P$2:$P$1201,Data!$S$2:$S$1201,$B130,Data!$AQ$2:$AQ$1201,1)=0,"",SUMIFS(Data!$P$2:$P$1201,Data!$S$2:$S$1201,$B130,Data!$AQ$2:$AQ$1201,1)-$B130))</f>
        <v/>
      </c>
      <c r="G130" s="53" t="str">
        <f t="shared" si="13"/>
        <v/>
      </c>
      <c r="H130" s="53" t="str">
        <f t="shared" si="14"/>
        <v/>
      </c>
      <c r="I130" s="45" t="str">
        <f t="shared" si="15"/>
        <v/>
      </c>
      <c r="J130" s="47" t="str">
        <f>IF($B130="","",COUNTIFS(Data!$S$2:$S$1201,$B130,Data!$E$2:$E$1201,"timed"))</f>
        <v/>
      </c>
      <c r="K130" s="47" t="str">
        <f>IF($B130="","",SUMIFS(Data!$AG$2:$AG$1201,Data!$S$2:$S$1201,$B130))</f>
        <v/>
      </c>
      <c r="L130" s="45" t="str">
        <f>IF(OR($B130="",$D130=0),"",SUMIFS(Data!$N$2:$N$1201,Data!$S$2:$S$1201,$B130,Data!$AI$2:$AI$1201,1)/60/$D130)</f>
        <v/>
      </c>
      <c r="M130" s="49" t="str">
        <f>IF($B130="","",SUMIFS(Data!$AL$2:$AL$1201,Data!$S$2:$S$1201,$B130))</f>
        <v/>
      </c>
      <c r="Z130" t="str">
        <f>IFERROR(INDEX(Data!$S$2:$S$1201,MATCH(123,Data!$Y$2:$Y$1201,0)),"")</f>
        <v/>
      </c>
    </row>
    <row r="131" spans="2:26" x14ac:dyDescent="0.25">
      <c r="B131" s="51" t="str">
        <f>IFERROR(SMALL(Rhythm!$Z$8:$Z$207,122),"")</f>
        <v/>
      </c>
      <c r="C131" s="42" t="str">
        <f t="shared" si="12"/>
        <v/>
      </c>
      <c r="D131" s="44" t="str">
        <f>IF($B131="","",SUMIFS(Data!$N$2:$N$1201,Data!$S$2:$S$1201,$B131)/60)</f>
        <v/>
      </c>
      <c r="E131" s="52" t="str">
        <f>IF($B131="","",IF(SUMIFS(Data!$O$2:$O$1201,Data!$S$2:$S$1201,$B131,Data!$AP$2:$AP$1201,1)=0,"",SUMIFS(Data!$O$2:$O$1201,Data!$S$2:$S$1201,$B131,Data!$AP$2:$AP$1201,1)-$B131))</f>
        <v/>
      </c>
      <c r="F131" s="52" t="str">
        <f>IF($B131="","",IF(SUMIFS(Data!$P$2:$P$1201,Data!$S$2:$S$1201,$B131,Data!$AQ$2:$AQ$1201,1)=0,"",SUMIFS(Data!$P$2:$P$1201,Data!$S$2:$S$1201,$B131,Data!$AQ$2:$AQ$1201,1)-$B131))</f>
        <v/>
      </c>
      <c r="G131" s="53" t="str">
        <f t="shared" si="13"/>
        <v/>
      </c>
      <c r="H131" s="53" t="str">
        <f t="shared" si="14"/>
        <v/>
      </c>
      <c r="I131" s="45" t="str">
        <f t="shared" si="15"/>
        <v/>
      </c>
      <c r="J131" s="47" t="str">
        <f>IF($B131="","",COUNTIFS(Data!$S$2:$S$1201,$B131,Data!$E$2:$E$1201,"timed"))</f>
        <v/>
      </c>
      <c r="K131" s="47" t="str">
        <f>IF($B131="","",SUMIFS(Data!$AG$2:$AG$1201,Data!$S$2:$S$1201,$B131))</f>
        <v/>
      </c>
      <c r="L131" s="45" t="str">
        <f>IF(OR($B131="",$D131=0),"",SUMIFS(Data!$N$2:$N$1201,Data!$S$2:$S$1201,$B131,Data!$AI$2:$AI$1201,1)/60/$D131)</f>
        <v/>
      </c>
      <c r="M131" s="49" t="str">
        <f>IF($B131="","",SUMIFS(Data!$AL$2:$AL$1201,Data!$S$2:$S$1201,$B131))</f>
        <v/>
      </c>
      <c r="Z131" t="str">
        <f>IFERROR(INDEX(Data!$S$2:$S$1201,MATCH(124,Data!$Y$2:$Y$1201,0)),"")</f>
        <v/>
      </c>
    </row>
    <row r="132" spans="2:26" x14ac:dyDescent="0.25">
      <c r="B132" s="51" t="str">
        <f>IFERROR(SMALL(Rhythm!$Z$8:$Z$207,123),"")</f>
        <v/>
      </c>
      <c r="C132" s="42" t="str">
        <f t="shared" si="12"/>
        <v/>
      </c>
      <c r="D132" s="44" t="str">
        <f>IF($B132="","",SUMIFS(Data!$N$2:$N$1201,Data!$S$2:$S$1201,$B132)/60)</f>
        <v/>
      </c>
      <c r="E132" s="52" t="str">
        <f>IF($B132="","",IF(SUMIFS(Data!$O$2:$O$1201,Data!$S$2:$S$1201,$B132,Data!$AP$2:$AP$1201,1)=0,"",SUMIFS(Data!$O$2:$O$1201,Data!$S$2:$S$1201,$B132,Data!$AP$2:$AP$1201,1)-$B132))</f>
        <v/>
      </c>
      <c r="F132" s="52" t="str">
        <f>IF($B132="","",IF(SUMIFS(Data!$P$2:$P$1201,Data!$S$2:$S$1201,$B132,Data!$AQ$2:$AQ$1201,1)=0,"",SUMIFS(Data!$P$2:$P$1201,Data!$S$2:$S$1201,$B132,Data!$AQ$2:$AQ$1201,1)-$B132))</f>
        <v/>
      </c>
      <c r="G132" s="53" t="str">
        <f t="shared" si="13"/>
        <v/>
      </c>
      <c r="H132" s="53" t="str">
        <f t="shared" si="14"/>
        <v/>
      </c>
      <c r="I132" s="45" t="str">
        <f t="shared" si="15"/>
        <v/>
      </c>
      <c r="J132" s="47" t="str">
        <f>IF($B132="","",COUNTIFS(Data!$S$2:$S$1201,$B132,Data!$E$2:$E$1201,"timed"))</f>
        <v/>
      </c>
      <c r="K132" s="47" t="str">
        <f>IF($B132="","",SUMIFS(Data!$AG$2:$AG$1201,Data!$S$2:$S$1201,$B132))</f>
        <v/>
      </c>
      <c r="L132" s="45" t="str">
        <f>IF(OR($B132="",$D132=0),"",SUMIFS(Data!$N$2:$N$1201,Data!$S$2:$S$1201,$B132,Data!$AI$2:$AI$1201,1)/60/$D132)</f>
        <v/>
      </c>
      <c r="M132" s="49" t="str">
        <f>IF($B132="","",SUMIFS(Data!$AL$2:$AL$1201,Data!$S$2:$S$1201,$B132))</f>
        <v/>
      </c>
      <c r="Z132" t="str">
        <f>IFERROR(INDEX(Data!$S$2:$S$1201,MATCH(125,Data!$Y$2:$Y$1201,0)),"")</f>
        <v/>
      </c>
    </row>
    <row r="133" spans="2:26" x14ac:dyDescent="0.25">
      <c r="B133" s="51" t="str">
        <f>IFERROR(SMALL(Rhythm!$Z$8:$Z$207,124),"")</f>
        <v/>
      </c>
      <c r="C133" s="42" t="str">
        <f t="shared" si="12"/>
        <v/>
      </c>
      <c r="D133" s="44" t="str">
        <f>IF($B133="","",SUMIFS(Data!$N$2:$N$1201,Data!$S$2:$S$1201,$B133)/60)</f>
        <v/>
      </c>
      <c r="E133" s="52" t="str">
        <f>IF($B133="","",IF(SUMIFS(Data!$O$2:$O$1201,Data!$S$2:$S$1201,$B133,Data!$AP$2:$AP$1201,1)=0,"",SUMIFS(Data!$O$2:$O$1201,Data!$S$2:$S$1201,$B133,Data!$AP$2:$AP$1201,1)-$B133))</f>
        <v/>
      </c>
      <c r="F133" s="52" t="str">
        <f>IF($B133="","",IF(SUMIFS(Data!$P$2:$P$1201,Data!$S$2:$S$1201,$B133,Data!$AQ$2:$AQ$1201,1)=0,"",SUMIFS(Data!$P$2:$P$1201,Data!$S$2:$S$1201,$B133,Data!$AQ$2:$AQ$1201,1)-$B133))</f>
        <v/>
      </c>
      <c r="G133" s="53" t="str">
        <f t="shared" si="13"/>
        <v/>
      </c>
      <c r="H133" s="53" t="str">
        <f t="shared" si="14"/>
        <v/>
      </c>
      <c r="I133" s="45" t="str">
        <f t="shared" si="15"/>
        <v/>
      </c>
      <c r="J133" s="47" t="str">
        <f>IF($B133="","",COUNTIFS(Data!$S$2:$S$1201,$B133,Data!$E$2:$E$1201,"timed"))</f>
        <v/>
      </c>
      <c r="K133" s="47" t="str">
        <f>IF($B133="","",SUMIFS(Data!$AG$2:$AG$1201,Data!$S$2:$S$1201,$B133))</f>
        <v/>
      </c>
      <c r="L133" s="45" t="str">
        <f>IF(OR($B133="",$D133=0),"",SUMIFS(Data!$N$2:$N$1201,Data!$S$2:$S$1201,$B133,Data!$AI$2:$AI$1201,1)/60/$D133)</f>
        <v/>
      </c>
      <c r="M133" s="49" t="str">
        <f>IF($B133="","",SUMIFS(Data!$AL$2:$AL$1201,Data!$S$2:$S$1201,$B133))</f>
        <v/>
      </c>
      <c r="Z133" t="str">
        <f>IFERROR(INDEX(Data!$S$2:$S$1201,MATCH(126,Data!$Y$2:$Y$1201,0)),"")</f>
        <v/>
      </c>
    </row>
    <row r="134" spans="2:26" x14ac:dyDescent="0.25">
      <c r="B134" s="51" t="str">
        <f>IFERROR(SMALL(Rhythm!$Z$8:$Z$207,125),"")</f>
        <v/>
      </c>
      <c r="C134" s="42" t="str">
        <f t="shared" si="12"/>
        <v/>
      </c>
      <c r="D134" s="44" t="str">
        <f>IF($B134="","",SUMIFS(Data!$N$2:$N$1201,Data!$S$2:$S$1201,$B134)/60)</f>
        <v/>
      </c>
      <c r="E134" s="52" t="str">
        <f>IF($B134="","",IF(SUMIFS(Data!$O$2:$O$1201,Data!$S$2:$S$1201,$B134,Data!$AP$2:$AP$1201,1)=0,"",SUMIFS(Data!$O$2:$O$1201,Data!$S$2:$S$1201,$B134,Data!$AP$2:$AP$1201,1)-$B134))</f>
        <v/>
      </c>
      <c r="F134" s="52" t="str">
        <f>IF($B134="","",IF(SUMIFS(Data!$P$2:$P$1201,Data!$S$2:$S$1201,$B134,Data!$AQ$2:$AQ$1201,1)=0,"",SUMIFS(Data!$P$2:$P$1201,Data!$S$2:$S$1201,$B134,Data!$AQ$2:$AQ$1201,1)-$B134))</f>
        <v/>
      </c>
      <c r="G134" s="53" t="str">
        <f t="shared" si="13"/>
        <v/>
      </c>
      <c r="H134" s="53" t="str">
        <f t="shared" si="14"/>
        <v/>
      </c>
      <c r="I134" s="45" t="str">
        <f t="shared" si="15"/>
        <v/>
      </c>
      <c r="J134" s="47" t="str">
        <f>IF($B134="","",COUNTIFS(Data!$S$2:$S$1201,$B134,Data!$E$2:$E$1201,"timed"))</f>
        <v/>
      </c>
      <c r="K134" s="47" t="str">
        <f>IF($B134="","",SUMIFS(Data!$AG$2:$AG$1201,Data!$S$2:$S$1201,$B134))</f>
        <v/>
      </c>
      <c r="L134" s="45" t="str">
        <f>IF(OR($B134="",$D134=0),"",SUMIFS(Data!$N$2:$N$1201,Data!$S$2:$S$1201,$B134,Data!$AI$2:$AI$1201,1)/60/$D134)</f>
        <v/>
      </c>
      <c r="M134" s="49" t="str">
        <f>IF($B134="","",SUMIFS(Data!$AL$2:$AL$1201,Data!$S$2:$S$1201,$B134))</f>
        <v/>
      </c>
      <c r="Z134" t="str">
        <f>IFERROR(INDEX(Data!$S$2:$S$1201,MATCH(127,Data!$Y$2:$Y$1201,0)),"")</f>
        <v/>
      </c>
    </row>
    <row r="135" spans="2:26" x14ac:dyDescent="0.25">
      <c r="B135" s="51" t="str">
        <f>IFERROR(SMALL(Rhythm!$Z$8:$Z$207,126),"")</f>
        <v/>
      </c>
      <c r="C135" s="42" t="str">
        <f t="shared" si="12"/>
        <v/>
      </c>
      <c r="D135" s="44" t="str">
        <f>IF($B135="","",SUMIFS(Data!$N$2:$N$1201,Data!$S$2:$S$1201,$B135)/60)</f>
        <v/>
      </c>
      <c r="E135" s="52" t="str">
        <f>IF($B135="","",IF(SUMIFS(Data!$O$2:$O$1201,Data!$S$2:$S$1201,$B135,Data!$AP$2:$AP$1201,1)=0,"",SUMIFS(Data!$O$2:$O$1201,Data!$S$2:$S$1201,$B135,Data!$AP$2:$AP$1201,1)-$B135))</f>
        <v/>
      </c>
      <c r="F135" s="52" t="str">
        <f>IF($B135="","",IF(SUMIFS(Data!$P$2:$P$1201,Data!$S$2:$S$1201,$B135,Data!$AQ$2:$AQ$1201,1)=0,"",SUMIFS(Data!$P$2:$P$1201,Data!$S$2:$S$1201,$B135,Data!$AQ$2:$AQ$1201,1)-$B135))</f>
        <v/>
      </c>
      <c r="G135" s="53" t="str">
        <f t="shared" si="13"/>
        <v/>
      </c>
      <c r="H135" s="53" t="str">
        <f t="shared" si="14"/>
        <v/>
      </c>
      <c r="I135" s="45" t="str">
        <f t="shared" si="15"/>
        <v/>
      </c>
      <c r="J135" s="47" t="str">
        <f>IF($B135="","",COUNTIFS(Data!$S$2:$S$1201,$B135,Data!$E$2:$E$1201,"timed"))</f>
        <v/>
      </c>
      <c r="K135" s="47" t="str">
        <f>IF($B135="","",SUMIFS(Data!$AG$2:$AG$1201,Data!$S$2:$S$1201,$B135))</f>
        <v/>
      </c>
      <c r="L135" s="45" t="str">
        <f>IF(OR($B135="",$D135=0),"",SUMIFS(Data!$N$2:$N$1201,Data!$S$2:$S$1201,$B135,Data!$AI$2:$AI$1201,1)/60/$D135)</f>
        <v/>
      </c>
      <c r="M135" s="49" t="str">
        <f>IF($B135="","",SUMIFS(Data!$AL$2:$AL$1201,Data!$S$2:$S$1201,$B135))</f>
        <v/>
      </c>
      <c r="Z135" t="str">
        <f>IFERROR(INDEX(Data!$S$2:$S$1201,MATCH(128,Data!$Y$2:$Y$1201,0)),"")</f>
        <v/>
      </c>
    </row>
    <row r="136" spans="2:26" x14ac:dyDescent="0.25">
      <c r="B136" s="51" t="str">
        <f>IFERROR(SMALL(Rhythm!$Z$8:$Z$207,127),"")</f>
        <v/>
      </c>
      <c r="C136" s="42" t="str">
        <f t="shared" si="12"/>
        <v/>
      </c>
      <c r="D136" s="44" t="str">
        <f>IF($B136="","",SUMIFS(Data!$N$2:$N$1201,Data!$S$2:$S$1201,$B136)/60)</f>
        <v/>
      </c>
      <c r="E136" s="52" t="str">
        <f>IF($B136="","",IF(SUMIFS(Data!$O$2:$O$1201,Data!$S$2:$S$1201,$B136,Data!$AP$2:$AP$1201,1)=0,"",SUMIFS(Data!$O$2:$O$1201,Data!$S$2:$S$1201,$B136,Data!$AP$2:$AP$1201,1)-$B136))</f>
        <v/>
      </c>
      <c r="F136" s="52" t="str">
        <f>IF($B136="","",IF(SUMIFS(Data!$P$2:$P$1201,Data!$S$2:$S$1201,$B136,Data!$AQ$2:$AQ$1201,1)=0,"",SUMIFS(Data!$P$2:$P$1201,Data!$S$2:$S$1201,$B136,Data!$AQ$2:$AQ$1201,1)-$B136))</f>
        <v/>
      </c>
      <c r="G136" s="53" t="str">
        <f t="shared" si="13"/>
        <v/>
      </c>
      <c r="H136" s="53" t="str">
        <f t="shared" si="14"/>
        <v/>
      </c>
      <c r="I136" s="45" t="str">
        <f t="shared" si="15"/>
        <v/>
      </c>
      <c r="J136" s="47" t="str">
        <f>IF($B136="","",COUNTIFS(Data!$S$2:$S$1201,$B136,Data!$E$2:$E$1201,"timed"))</f>
        <v/>
      </c>
      <c r="K136" s="47" t="str">
        <f>IF($B136="","",SUMIFS(Data!$AG$2:$AG$1201,Data!$S$2:$S$1201,$B136))</f>
        <v/>
      </c>
      <c r="L136" s="45" t="str">
        <f>IF(OR($B136="",$D136=0),"",SUMIFS(Data!$N$2:$N$1201,Data!$S$2:$S$1201,$B136,Data!$AI$2:$AI$1201,1)/60/$D136)</f>
        <v/>
      </c>
      <c r="M136" s="49" t="str">
        <f>IF($B136="","",SUMIFS(Data!$AL$2:$AL$1201,Data!$S$2:$S$1201,$B136))</f>
        <v/>
      </c>
      <c r="Z136" t="str">
        <f>IFERROR(INDEX(Data!$S$2:$S$1201,MATCH(129,Data!$Y$2:$Y$1201,0)),"")</f>
        <v/>
      </c>
    </row>
    <row r="137" spans="2:26" x14ac:dyDescent="0.25">
      <c r="B137" s="51" t="str">
        <f>IFERROR(SMALL(Rhythm!$Z$8:$Z$207,128),"")</f>
        <v/>
      </c>
      <c r="C137" s="42" t="str">
        <f t="shared" si="12"/>
        <v/>
      </c>
      <c r="D137" s="44" t="str">
        <f>IF($B137="","",SUMIFS(Data!$N$2:$N$1201,Data!$S$2:$S$1201,$B137)/60)</f>
        <v/>
      </c>
      <c r="E137" s="52" t="str">
        <f>IF($B137="","",IF(SUMIFS(Data!$O$2:$O$1201,Data!$S$2:$S$1201,$B137,Data!$AP$2:$AP$1201,1)=0,"",SUMIFS(Data!$O$2:$O$1201,Data!$S$2:$S$1201,$B137,Data!$AP$2:$AP$1201,1)-$B137))</f>
        <v/>
      </c>
      <c r="F137" s="52" t="str">
        <f>IF($B137="","",IF(SUMIFS(Data!$P$2:$P$1201,Data!$S$2:$S$1201,$B137,Data!$AQ$2:$AQ$1201,1)=0,"",SUMIFS(Data!$P$2:$P$1201,Data!$S$2:$S$1201,$B137,Data!$AQ$2:$AQ$1201,1)-$B137))</f>
        <v/>
      </c>
      <c r="G137" s="53" t="str">
        <f t="shared" si="13"/>
        <v/>
      </c>
      <c r="H137" s="53" t="str">
        <f t="shared" si="14"/>
        <v/>
      </c>
      <c r="I137" s="45" t="str">
        <f t="shared" si="15"/>
        <v/>
      </c>
      <c r="J137" s="47" t="str">
        <f>IF($B137="","",COUNTIFS(Data!$S$2:$S$1201,$B137,Data!$E$2:$E$1201,"timed"))</f>
        <v/>
      </c>
      <c r="K137" s="47" t="str">
        <f>IF($B137="","",SUMIFS(Data!$AG$2:$AG$1201,Data!$S$2:$S$1201,$B137))</f>
        <v/>
      </c>
      <c r="L137" s="45" t="str">
        <f>IF(OR($B137="",$D137=0),"",SUMIFS(Data!$N$2:$N$1201,Data!$S$2:$S$1201,$B137,Data!$AI$2:$AI$1201,1)/60/$D137)</f>
        <v/>
      </c>
      <c r="M137" s="49" t="str">
        <f>IF($B137="","",SUMIFS(Data!$AL$2:$AL$1201,Data!$S$2:$S$1201,$B137))</f>
        <v/>
      </c>
      <c r="Z137" t="str">
        <f>IFERROR(INDEX(Data!$S$2:$S$1201,MATCH(130,Data!$Y$2:$Y$1201,0)),"")</f>
        <v/>
      </c>
    </row>
    <row r="138" spans="2:26" x14ac:dyDescent="0.25">
      <c r="B138" s="51" t="str">
        <f>IFERROR(SMALL(Rhythm!$Z$8:$Z$207,129),"")</f>
        <v/>
      </c>
      <c r="C138" s="42" t="str">
        <f t="shared" ref="C138:C169" si="16">IF($B138="","",TEXT($B138,"ddd"))</f>
        <v/>
      </c>
      <c r="D138" s="44" t="str">
        <f>IF($B138="","",SUMIFS(Data!$N$2:$N$1201,Data!$S$2:$S$1201,$B138)/60)</f>
        <v/>
      </c>
      <c r="E138" s="52" t="str">
        <f>IF($B138="","",IF(SUMIFS(Data!$O$2:$O$1201,Data!$S$2:$S$1201,$B138,Data!$AP$2:$AP$1201,1)=0,"",SUMIFS(Data!$O$2:$O$1201,Data!$S$2:$S$1201,$B138,Data!$AP$2:$AP$1201,1)-$B138))</f>
        <v/>
      </c>
      <c r="F138" s="52" t="str">
        <f>IF($B138="","",IF(SUMIFS(Data!$P$2:$P$1201,Data!$S$2:$S$1201,$B138,Data!$AQ$2:$AQ$1201,1)=0,"",SUMIFS(Data!$P$2:$P$1201,Data!$S$2:$S$1201,$B138,Data!$AQ$2:$AQ$1201,1)-$B138))</f>
        <v/>
      </c>
      <c r="G138" s="53" t="str">
        <f t="shared" ref="G138:G169" si="17">IF($B138="","",MAX($D138,IF(OR($E138="",$F138="",$F138&lt;=$E138),0,($F138-$E138)*24)))</f>
        <v/>
      </c>
      <c r="H138" s="53" t="str">
        <f t="shared" ref="H138:H169" si="18">IF($G138="","",$G138-$D138)</f>
        <v/>
      </c>
      <c r="I138" s="45" t="str">
        <f t="shared" ref="I138:I169" si="19">IF(OR($G138="",$G138=0),"",$D138/$G138)</f>
        <v/>
      </c>
      <c r="J138" s="47" t="str">
        <f>IF($B138="","",COUNTIFS(Data!$S$2:$S$1201,$B138,Data!$E$2:$E$1201,"timed"))</f>
        <v/>
      </c>
      <c r="K138" s="47" t="str">
        <f>IF($B138="","",SUMIFS(Data!$AG$2:$AG$1201,Data!$S$2:$S$1201,$B138))</f>
        <v/>
      </c>
      <c r="L138" s="45" t="str">
        <f>IF(OR($B138="",$D138=0),"",SUMIFS(Data!$N$2:$N$1201,Data!$S$2:$S$1201,$B138,Data!$AI$2:$AI$1201,1)/60/$D138)</f>
        <v/>
      </c>
      <c r="M138" s="49" t="str">
        <f>IF($B138="","",SUMIFS(Data!$AL$2:$AL$1201,Data!$S$2:$S$1201,$B138))</f>
        <v/>
      </c>
      <c r="Z138" t="str">
        <f>IFERROR(INDEX(Data!$S$2:$S$1201,MATCH(131,Data!$Y$2:$Y$1201,0)),"")</f>
        <v/>
      </c>
    </row>
    <row r="139" spans="2:26" x14ac:dyDescent="0.25">
      <c r="B139" s="51" t="str">
        <f>IFERROR(SMALL(Rhythm!$Z$8:$Z$207,130),"")</f>
        <v/>
      </c>
      <c r="C139" s="42" t="str">
        <f t="shared" si="16"/>
        <v/>
      </c>
      <c r="D139" s="44" t="str">
        <f>IF($B139="","",SUMIFS(Data!$N$2:$N$1201,Data!$S$2:$S$1201,$B139)/60)</f>
        <v/>
      </c>
      <c r="E139" s="52" t="str">
        <f>IF($B139="","",IF(SUMIFS(Data!$O$2:$O$1201,Data!$S$2:$S$1201,$B139,Data!$AP$2:$AP$1201,1)=0,"",SUMIFS(Data!$O$2:$O$1201,Data!$S$2:$S$1201,$B139,Data!$AP$2:$AP$1201,1)-$B139))</f>
        <v/>
      </c>
      <c r="F139" s="52" t="str">
        <f>IF($B139="","",IF(SUMIFS(Data!$P$2:$P$1201,Data!$S$2:$S$1201,$B139,Data!$AQ$2:$AQ$1201,1)=0,"",SUMIFS(Data!$P$2:$P$1201,Data!$S$2:$S$1201,$B139,Data!$AQ$2:$AQ$1201,1)-$B139))</f>
        <v/>
      </c>
      <c r="G139" s="53" t="str">
        <f t="shared" si="17"/>
        <v/>
      </c>
      <c r="H139" s="53" t="str">
        <f t="shared" si="18"/>
        <v/>
      </c>
      <c r="I139" s="45" t="str">
        <f t="shared" si="19"/>
        <v/>
      </c>
      <c r="J139" s="47" t="str">
        <f>IF($B139="","",COUNTIFS(Data!$S$2:$S$1201,$B139,Data!$E$2:$E$1201,"timed"))</f>
        <v/>
      </c>
      <c r="K139" s="47" t="str">
        <f>IF($B139="","",SUMIFS(Data!$AG$2:$AG$1201,Data!$S$2:$S$1201,$B139))</f>
        <v/>
      </c>
      <c r="L139" s="45" t="str">
        <f>IF(OR($B139="",$D139=0),"",SUMIFS(Data!$N$2:$N$1201,Data!$S$2:$S$1201,$B139,Data!$AI$2:$AI$1201,1)/60/$D139)</f>
        <v/>
      </c>
      <c r="M139" s="49" t="str">
        <f>IF($B139="","",SUMIFS(Data!$AL$2:$AL$1201,Data!$S$2:$S$1201,$B139))</f>
        <v/>
      </c>
      <c r="Z139" t="str">
        <f>IFERROR(INDEX(Data!$S$2:$S$1201,MATCH(132,Data!$Y$2:$Y$1201,0)),"")</f>
        <v/>
      </c>
    </row>
    <row r="140" spans="2:26" x14ac:dyDescent="0.25">
      <c r="B140" s="51" t="str">
        <f>IFERROR(SMALL(Rhythm!$Z$8:$Z$207,131),"")</f>
        <v/>
      </c>
      <c r="C140" s="42" t="str">
        <f t="shared" si="16"/>
        <v/>
      </c>
      <c r="D140" s="44" t="str">
        <f>IF($B140="","",SUMIFS(Data!$N$2:$N$1201,Data!$S$2:$S$1201,$B140)/60)</f>
        <v/>
      </c>
      <c r="E140" s="52" t="str">
        <f>IF($B140="","",IF(SUMIFS(Data!$O$2:$O$1201,Data!$S$2:$S$1201,$B140,Data!$AP$2:$AP$1201,1)=0,"",SUMIFS(Data!$O$2:$O$1201,Data!$S$2:$S$1201,$B140,Data!$AP$2:$AP$1201,1)-$B140))</f>
        <v/>
      </c>
      <c r="F140" s="52" t="str">
        <f>IF($B140="","",IF(SUMIFS(Data!$P$2:$P$1201,Data!$S$2:$S$1201,$B140,Data!$AQ$2:$AQ$1201,1)=0,"",SUMIFS(Data!$P$2:$P$1201,Data!$S$2:$S$1201,$B140,Data!$AQ$2:$AQ$1201,1)-$B140))</f>
        <v/>
      </c>
      <c r="G140" s="53" t="str">
        <f t="shared" si="17"/>
        <v/>
      </c>
      <c r="H140" s="53" t="str">
        <f t="shared" si="18"/>
        <v/>
      </c>
      <c r="I140" s="45" t="str">
        <f t="shared" si="19"/>
        <v/>
      </c>
      <c r="J140" s="47" t="str">
        <f>IF($B140="","",COUNTIFS(Data!$S$2:$S$1201,$B140,Data!$E$2:$E$1201,"timed"))</f>
        <v/>
      </c>
      <c r="K140" s="47" t="str">
        <f>IF($B140="","",SUMIFS(Data!$AG$2:$AG$1201,Data!$S$2:$S$1201,$B140))</f>
        <v/>
      </c>
      <c r="L140" s="45" t="str">
        <f>IF(OR($B140="",$D140=0),"",SUMIFS(Data!$N$2:$N$1201,Data!$S$2:$S$1201,$B140,Data!$AI$2:$AI$1201,1)/60/$D140)</f>
        <v/>
      </c>
      <c r="M140" s="49" t="str">
        <f>IF($B140="","",SUMIFS(Data!$AL$2:$AL$1201,Data!$S$2:$S$1201,$B140))</f>
        <v/>
      </c>
      <c r="Z140" t="str">
        <f>IFERROR(INDEX(Data!$S$2:$S$1201,MATCH(133,Data!$Y$2:$Y$1201,0)),"")</f>
        <v/>
      </c>
    </row>
    <row r="141" spans="2:26" x14ac:dyDescent="0.25">
      <c r="B141" s="51" t="str">
        <f>IFERROR(SMALL(Rhythm!$Z$8:$Z$207,132),"")</f>
        <v/>
      </c>
      <c r="C141" s="42" t="str">
        <f t="shared" si="16"/>
        <v/>
      </c>
      <c r="D141" s="44" t="str">
        <f>IF($B141="","",SUMIFS(Data!$N$2:$N$1201,Data!$S$2:$S$1201,$B141)/60)</f>
        <v/>
      </c>
      <c r="E141" s="52" t="str">
        <f>IF($B141="","",IF(SUMIFS(Data!$O$2:$O$1201,Data!$S$2:$S$1201,$B141,Data!$AP$2:$AP$1201,1)=0,"",SUMIFS(Data!$O$2:$O$1201,Data!$S$2:$S$1201,$B141,Data!$AP$2:$AP$1201,1)-$B141))</f>
        <v/>
      </c>
      <c r="F141" s="52" t="str">
        <f>IF($B141="","",IF(SUMIFS(Data!$P$2:$P$1201,Data!$S$2:$S$1201,$B141,Data!$AQ$2:$AQ$1201,1)=0,"",SUMIFS(Data!$P$2:$P$1201,Data!$S$2:$S$1201,$B141,Data!$AQ$2:$AQ$1201,1)-$B141))</f>
        <v/>
      </c>
      <c r="G141" s="53" t="str">
        <f t="shared" si="17"/>
        <v/>
      </c>
      <c r="H141" s="53" t="str">
        <f t="shared" si="18"/>
        <v/>
      </c>
      <c r="I141" s="45" t="str">
        <f t="shared" si="19"/>
        <v/>
      </c>
      <c r="J141" s="47" t="str">
        <f>IF($B141="","",COUNTIFS(Data!$S$2:$S$1201,$B141,Data!$E$2:$E$1201,"timed"))</f>
        <v/>
      </c>
      <c r="K141" s="47" t="str">
        <f>IF($B141="","",SUMIFS(Data!$AG$2:$AG$1201,Data!$S$2:$S$1201,$B141))</f>
        <v/>
      </c>
      <c r="L141" s="45" t="str">
        <f>IF(OR($B141="",$D141=0),"",SUMIFS(Data!$N$2:$N$1201,Data!$S$2:$S$1201,$B141,Data!$AI$2:$AI$1201,1)/60/$D141)</f>
        <v/>
      </c>
      <c r="M141" s="49" t="str">
        <f>IF($B141="","",SUMIFS(Data!$AL$2:$AL$1201,Data!$S$2:$S$1201,$B141))</f>
        <v/>
      </c>
      <c r="Z141" t="str">
        <f>IFERROR(INDEX(Data!$S$2:$S$1201,MATCH(134,Data!$Y$2:$Y$1201,0)),"")</f>
        <v/>
      </c>
    </row>
    <row r="142" spans="2:26" x14ac:dyDescent="0.25">
      <c r="B142" s="51" t="str">
        <f>IFERROR(SMALL(Rhythm!$Z$8:$Z$207,133),"")</f>
        <v/>
      </c>
      <c r="C142" s="42" t="str">
        <f t="shared" si="16"/>
        <v/>
      </c>
      <c r="D142" s="44" t="str">
        <f>IF($B142="","",SUMIFS(Data!$N$2:$N$1201,Data!$S$2:$S$1201,$B142)/60)</f>
        <v/>
      </c>
      <c r="E142" s="52" t="str">
        <f>IF($B142="","",IF(SUMIFS(Data!$O$2:$O$1201,Data!$S$2:$S$1201,$B142,Data!$AP$2:$AP$1201,1)=0,"",SUMIFS(Data!$O$2:$O$1201,Data!$S$2:$S$1201,$B142,Data!$AP$2:$AP$1201,1)-$B142))</f>
        <v/>
      </c>
      <c r="F142" s="52" t="str">
        <f>IF($B142="","",IF(SUMIFS(Data!$P$2:$P$1201,Data!$S$2:$S$1201,$B142,Data!$AQ$2:$AQ$1201,1)=0,"",SUMIFS(Data!$P$2:$P$1201,Data!$S$2:$S$1201,$B142,Data!$AQ$2:$AQ$1201,1)-$B142))</f>
        <v/>
      </c>
      <c r="G142" s="53" t="str">
        <f t="shared" si="17"/>
        <v/>
      </c>
      <c r="H142" s="53" t="str">
        <f t="shared" si="18"/>
        <v/>
      </c>
      <c r="I142" s="45" t="str">
        <f t="shared" si="19"/>
        <v/>
      </c>
      <c r="J142" s="47" t="str">
        <f>IF($B142="","",COUNTIFS(Data!$S$2:$S$1201,$B142,Data!$E$2:$E$1201,"timed"))</f>
        <v/>
      </c>
      <c r="K142" s="47" t="str">
        <f>IF($B142="","",SUMIFS(Data!$AG$2:$AG$1201,Data!$S$2:$S$1201,$B142))</f>
        <v/>
      </c>
      <c r="L142" s="45" t="str">
        <f>IF(OR($B142="",$D142=0),"",SUMIFS(Data!$N$2:$N$1201,Data!$S$2:$S$1201,$B142,Data!$AI$2:$AI$1201,1)/60/$D142)</f>
        <v/>
      </c>
      <c r="M142" s="49" t="str">
        <f>IF($B142="","",SUMIFS(Data!$AL$2:$AL$1201,Data!$S$2:$S$1201,$B142))</f>
        <v/>
      </c>
      <c r="Z142" t="str">
        <f>IFERROR(INDEX(Data!$S$2:$S$1201,MATCH(135,Data!$Y$2:$Y$1201,0)),"")</f>
        <v/>
      </c>
    </row>
    <row r="143" spans="2:26" x14ac:dyDescent="0.25">
      <c r="B143" s="51" t="str">
        <f>IFERROR(SMALL(Rhythm!$Z$8:$Z$207,134),"")</f>
        <v/>
      </c>
      <c r="C143" s="42" t="str">
        <f t="shared" si="16"/>
        <v/>
      </c>
      <c r="D143" s="44" t="str">
        <f>IF($B143="","",SUMIFS(Data!$N$2:$N$1201,Data!$S$2:$S$1201,$B143)/60)</f>
        <v/>
      </c>
      <c r="E143" s="52" t="str">
        <f>IF($B143="","",IF(SUMIFS(Data!$O$2:$O$1201,Data!$S$2:$S$1201,$B143,Data!$AP$2:$AP$1201,1)=0,"",SUMIFS(Data!$O$2:$O$1201,Data!$S$2:$S$1201,$B143,Data!$AP$2:$AP$1201,1)-$B143))</f>
        <v/>
      </c>
      <c r="F143" s="52" t="str">
        <f>IF($B143="","",IF(SUMIFS(Data!$P$2:$P$1201,Data!$S$2:$S$1201,$B143,Data!$AQ$2:$AQ$1201,1)=0,"",SUMIFS(Data!$P$2:$P$1201,Data!$S$2:$S$1201,$B143,Data!$AQ$2:$AQ$1201,1)-$B143))</f>
        <v/>
      </c>
      <c r="G143" s="53" t="str">
        <f t="shared" si="17"/>
        <v/>
      </c>
      <c r="H143" s="53" t="str">
        <f t="shared" si="18"/>
        <v/>
      </c>
      <c r="I143" s="45" t="str">
        <f t="shared" si="19"/>
        <v/>
      </c>
      <c r="J143" s="47" t="str">
        <f>IF($B143="","",COUNTIFS(Data!$S$2:$S$1201,$B143,Data!$E$2:$E$1201,"timed"))</f>
        <v/>
      </c>
      <c r="K143" s="47" t="str">
        <f>IF($B143="","",SUMIFS(Data!$AG$2:$AG$1201,Data!$S$2:$S$1201,$B143))</f>
        <v/>
      </c>
      <c r="L143" s="45" t="str">
        <f>IF(OR($B143="",$D143=0),"",SUMIFS(Data!$N$2:$N$1201,Data!$S$2:$S$1201,$B143,Data!$AI$2:$AI$1201,1)/60/$D143)</f>
        <v/>
      </c>
      <c r="M143" s="49" t="str">
        <f>IF($B143="","",SUMIFS(Data!$AL$2:$AL$1201,Data!$S$2:$S$1201,$B143))</f>
        <v/>
      </c>
      <c r="Z143" t="str">
        <f>IFERROR(INDEX(Data!$S$2:$S$1201,MATCH(136,Data!$Y$2:$Y$1201,0)),"")</f>
        <v/>
      </c>
    </row>
    <row r="144" spans="2:26" x14ac:dyDescent="0.25">
      <c r="B144" s="51" t="str">
        <f>IFERROR(SMALL(Rhythm!$Z$8:$Z$207,135),"")</f>
        <v/>
      </c>
      <c r="C144" s="42" t="str">
        <f t="shared" si="16"/>
        <v/>
      </c>
      <c r="D144" s="44" t="str">
        <f>IF($B144="","",SUMIFS(Data!$N$2:$N$1201,Data!$S$2:$S$1201,$B144)/60)</f>
        <v/>
      </c>
      <c r="E144" s="52" t="str">
        <f>IF($B144="","",IF(SUMIFS(Data!$O$2:$O$1201,Data!$S$2:$S$1201,$B144,Data!$AP$2:$AP$1201,1)=0,"",SUMIFS(Data!$O$2:$O$1201,Data!$S$2:$S$1201,$B144,Data!$AP$2:$AP$1201,1)-$B144))</f>
        <v/>
      </c>
      <c r="F144" s="52" t="str">
        <f>IF($B144="","",IF(SUMIFS(Data!$P$2:$P$1201,Data!$S$2:$S$1201,$B144,Data!$AQ$2:$AQ$1201,1)=0,"",SUMIFS(Data!$P$2:$P$1201,Data!$S$2:$S$1201,$B144,Data!$AQ$2:$AQ$1201,1)-$B144))</f>
        <v/>
      </c>
      <c r="G144" s="53" t="str">
        <f t="shared" si="17"/>
        <v/>
      </c>
      <c r="H144" s="53" t="str">
        <f t="shared" si="18"/>
        <v/>
      </c>
      <c r="I144" s="45" t="str">
        <f t="shared" si="19"/>
        <v/>
      </c>
      <c r="J144" s="47" t="str">
        <f>IF($B144="","",COUNTIFS(Data!$S$2:$S$1201,$B144,Data!$E$2:$E$1201,"timed"))</f>
        <v/>
      </c>
      <c r="K144" s="47" t="str">
        <f>IF($B144="","",SUMIFS(Data!$AG$2:$AG$1201,Data!$S$2:$S$1201,$B144))</f>
        <v/>
      </c>
      <c r="L144" s="45" t="str">
        <f>IF(OR($B144="",$D144=0),"",SUMIFS(Data!$N$2:$N$1201,Data!$S$2:$S$1201,$B144,Data!$AI$2:$AI$1201,1)/60/$D144)</f>
        <v/>
      </c>
      <c r="M144" s="49" t="str">
        <f>IF($B144="","",SUMIFS(Data!$AL$2:$AL$1201,Data!$S$2:$S$1201,$B144))</f>
        <v/>
      </c>
      <c r="Z144" t="str">
        <f>IFERROR(INDEX(Data!$S$2:$S$1201,MATCH(137,Data!$Y$2:$Y$1201,0)),"")</f>
        <v/>
      </c>
    </row>
    <row r="145" spans="2:26" x14ac:dyDescent="0.25">
      <c r="B145" s="51" t="str">
        <f>IFERROR(SMALL(Rhythm!$Z$8:$Z$207,136),"")</f>
        <v/>
      </c>
      <c r="C145" s="42" t="str">
        <f t="shared" si="16"/>
        <v/>
      </c>
      <c r="D145" s="44" t="str">
        <f>IF($B145="","",SUMIFS(Data!$N$2:$N$1201,Data!$S$2:$S$1201,$B145)/60)</f>
        <v/>
      </c>
      <c r="E145" s="52" t="str">
        <f>IF($B145="","",IF(SUMIFS(Data!$O$2:$O$1201,Data!$S$2:$S$1201,$B145,Data!$AP$2:$AP$1201,1)=0,"",SUMIFS(Data!$O$2:$O$1201,Data!$S$2:$S$1201,$B145,Data!$AP$2:$AP$1201,1)-$B145))</f>
        <v/>
      </c>
      <c r="F145" s="52" t="str">
        <f>IF($B145="","",IF(SUMIFS(Data!$P$2:$P$1201,Data!$S$2:$S$1201,$B145,Data!$AQ$2:$AQ$1201,1)=0,"",SUMIFS(Data!$P$2:$P$1201,Data!$S$2:$S$1201,$B145,Data!$AQ$2:$AQ$1201,1)-$B145))</f>
        <v/>
      </c>
      <c r="G145" s="53" t="str">
        <f t="shared" si="17"/>
        <v/>
      </c>
      <c r="H145" s="53" t="str">
        <f t="shared" si="18"/>
        <v/>
      </c>
      <c r="I145" s="45" t="str">
        <f t="shared" si="19"/>
        <v/>
      </c>
      <c r="J145" s="47" t="str">
        <f>IF($B145="","",COUNTIFS(Data!$S$2:$S$1201,$B145,Data!$E$2:$E$1201,"timed"))</f>
        <v/>
      </c>
      <c r="K145" s="47" t="str">
        <f>IF($B145="","",SUMIFS(Data!$AG$2:$AG$1201,Data!$S$2:$S$1201,$B145))</f>
        <v/>
      </c>
      <c r="L145" s="45" t="str">
        <f>IF(OR($B145="",$D145=0),"",SUMIFS(Data!$N$2:$N$1201,Data!$S$2:$S$1201,$B145,Data!$AI$2:$AI$1201,1)/60/$D145)</f>
        <v/>
      </c>
      <c r="M145" s="49" t="str">
        <f>IF($B145="","",SUMIFS(Data!$AL$2:$AL$1201,Data!$S$2:$S$1201,$B145))</f>
        <v/>
      </c>
      <c r="Z145" t="str">
        <f>IFERROR(INDEX(Data!$S$2:$S$1201,MATCH(138,Data!$Y$2:$Y$1201,0)),"")</f>
        <v/>
      </c>
    </row>
    <row r="146" spans="2:26" x14ac:dyDescent="0.25">
      <c r="B146" s="51" t="str">
        <f>IFERROR(SMALL(Rhythm!$Z$8:$Z$207,137),"")</f>
        <v/>
      </c>
      <c r="C146" s="42" t="str">
        <f t="shared" si="16"/>
        <v/>
      </c>
      <c r="D146" s="44" t="str">
        <f>IF($B146="","",SUMIFS(Data!$N$2:$N$1201,Data!$S$2:$S$1201,$B146)/60)</f>
        <v/>
      </c>
      <c r="E146" s="52" t="str">
        <f>IF($B146="","",IF(SUMIFS(Data!$O$2:$O$1201,Data!$S$2:$S$1201,$B146,Data!$AP$2:$AP$1201,1)=0,"",SUMIFS(Data!$O$2:$O$1201,Data!$S$2:$S$1201,$B146,Data!$AP$2:$AP$1201,1)-$B146))</f>
        <v/>
      </c>
      <c r="F146" s="52" t="str">
        <f>IF($B146="","",IF(SUMIFS(Data!$P$2:$P$1201,Data!$S$2:$S$1201,$B146,Data!$AQ$2:$AQ$1201,1)=0,"",SUMIFS(Data!$P$2:$P$1201,Data!$S$2:$S$1201,$B146,Data!$AQ$2:$AQ$1201,1)-$B146))</f>
        <v/>
      </c>
      <c r="G146" s="53" t="str">
        <f t="shared" si="17"/>
        <v/>
      </c>
      <c r="H146" s="53" t="str">
        <f t="shared" si="18"/>
        <v/>
      </c>
      <c r="I146" s="45" t="str">
        <f t="shared" si="19"/>
        <v/>
      </c>
      <c r="J146" s="47" t="str">
        <f>IF($B146="","",COUNTIFS(Data!$S$2:$S$1201,$B146,Data!$E$2:$E$1201,"timed"))</f>
        <v/>
      </c>
      <c r="K146" s="47" t="str">
        <f>IF($B146="","",SUMIFS(Data!$AG$2:$AG$1201,Data!$S$2:$S$1201,$B146))</f>
        <v/>
      </c>
      <c r="L146" s="45" t="str">
        <f>IF(OR($B146="",$D146=0),"",SUMIFS(Data!$N$2:$N$1201,Data!$S$2:$S$1201,$B146,Data!$AI$2:$AI$1201,1)/60/$D146)</f>
        <v/>
      </c>
      <c r="M146" s="49" t="str">
        <f>IF($B146="","",SUMIFS(Data!$AL$2:$AL$1201,Data!$S$2:$S$1201,$B146))</f>
        <v/>
      </c>
      <c r="Z146" t="str">
        <f>IFERROR(INDEX(Data!$S$2:$S$1201,MATCH(139,Data!$Y$2:$Y$1201,0)),"")</f>
        <v/>
      </c>
    </row>
    <row r="147" spans="2:26" x14ac:dyDescent="0.25">
      <c r="B147" s="51" t="str">
        <f>IFERROR(SMALL(Rhythm!$Z$8:$Z$207,138),"")</f>
        <v/>
      </c>
      <c r="C147" s="42" t="str">
        <f t="shared" si="16"/>
        <v/>
      </c>
      <c r="D147" s="44" t="str">
        <f>IF($B147="","",SUMIFS(Data!$N$2:$N$1201,Data!$S$2:$S$1201,$B147)/60)</f>
        <v/>
      </c>
      <c r="E147" s="52" t="str">
        <f>IF($B147="","",IF(SUMIFS(Data!$O$2:$O$1201,Data!$S$2:$S$1201,$B147,Data!$AP$2:$AP$1201,1)=0,"",SUMIFS(Data!$O$2:$O$1201,Data!$S$2:$S$1201,$B147,Data!$AP$2:$AP$1201,1)-$B147))</f>
        <v/>
      </c>
      <c r="F147" s="52" t="str">
        <f>IF($B147="","",IF(SUMIFS(Data!$P$2:$P$1201,Data!$S$2:$S$1201,$B147,Data!$AQ$2:$AQ$1201,1)=0,"",SUMIFS(Data!$P$2:$P$1201,Data!$S$2:$S$1201,$B147,Data!$AQ$2:$AQ$1201,1)-$B147))</f>
        <v/>
      </c>
      <c r="G147" s="53" t="str">
        <f t="shared" si="17"/>
        <v/>
      </c>
      <c r="H147" s="53" t="str">
        <f t="shared" si="18"/>
        <v/>
      </c>
      <c r="I147" s="45" t="str">
        <f t="shared" si="19"/>
        <v/>
      </c>
      <c r="J147" s="47" t="str">
        <f>IF($B147="","",COUNTIFS(Data!$S$2:$S$1201,$B147,Data!$E$2:$E$1201,"timed"))</f>
        <v/>
      </c>
      <c r="K147" s="47" t="str">
        <f>IF($B147="","",SUMIFS(Data!$AG$2:$AG$1201,Data!$S$2:$S$1201,$B147))</f>
        <v/>
      </c>
      <c r="L147" s="45" t="str">
        <f>IF(OR($B147="",$D147=0),"",SUMIFS(Data!$N$2:$N$1201,Data!$S$2:$S$1201,$B147,Data!$AI$2:$AI$1201,1)/60/$D147)</f>
        <v/>
      </c>
      <c r="M147" s="49" t="str">
        <f>IF($B147="","",SUMIFS(Data!$AL$2:$AL$1201,Data!$S$2:$S$1201,$B147))</f>
        <v/>
      </c>
      <c r="Z147" t="str">
        <f>IFERROR(INDEX(Data!$S$2:$S$1201,MATCH(140,Data!$Y$2:$Y$1201,0)),"")</f>
        <v/>
      </c>
    </row>
    <row r="148" spans="2:26" x14ac:dyDescent="0.25">
      <c r="B148" s="51" t="str">
        <f>IFERROR(SMALL(Rhythm!$Z$8:$Z$207,139),"")</f>
        <v/>
      </c>
      <c r="C148" s="42" t="str">
        <f t="shared" si="16"/>
        <v/>
      </c>
      <c r="D148" s="44" t="str">
        <f>IF($B148="","",SUMIFS(Data!$N$2:$N$1201,Data!$S$2:$S$1201,$B148)/60)</f>
        <v/>
      </c>
      <c r="E148" s="52" t="str">
        <f>IF($B148="","",IF(SUMIFS(Data!$O$2:$O$1201,Data!$S$2:$S$1201,$B148,Data!$AP$2:$AP$1201,1)=0,"",SUMIFS(Data!$O$2:$O$1201,Data!$S$2:$S$1201,$B148,Data!$AP$2:$AP$1201,1)-$B148))</f>
        <v/>
      </c>
      <c r="F148" s="52" t="str">
        <f>IF($B148="","",IF(SUMIFS(Data!$P$2:$P$1201,Data!$S$2:$S$1201,$B148,Data!$AQ$2:$AQ$1201,1)=0,"",SUMIFS(Data!$P$2:$P$1201,Data!$S$2:$S$1201,$B148,Data!$AQ$2:$AQ$1201,1)-$B148))</f>
        <v/>
      </c>
      <c r="G148" s="53" t="str">
        <f t="shared" si="17"/>
        <v/>
      </c>
      <c r="H148" s="53" t="str">
        <f t="shared" si="18"/>
        <v/>
      </c>
      <c r="I148" s="45" t="str">
        <f t="shared" si="19"/>
        <v/>
      </c>
      <c r="J148" s="47" t="str">
        <f>IF($B148="","",COUNTIFS(Data!$S$2:$S$1201,$B148,Data!$E$2:$E$1201,"timed"))</f>
        <v/>
      </c>
      <c r="K148" s="47" t="str">
        <f>IF($B148="","",SUMIFS(Data!$AG$2:$AG$1201,Data!$S$2:$S$1201,$B148))</f>
        <v/>
      </c>
      <c r="L148" s="45" t="str">
        <f>IF(OR($B148="",$D148=0),"",SUMIFS(Data!$N$2:$N$1201,Data!$S$2:$S$1201,$B148,Data!$AI$2:$AI$1201,1)/60/$D148)</f>
        <v/>
      </c>
      <c r="M148" s="49" t="str">
        <f>IF($B148="","",SUMIFS(Data!$AL$2:$AL$1201,Data!$S$2:$S$1201,$B148))</f>
        <v/>
      </c>
      <c r="Z148" t="str">
        <f>IFERROR(INDEX(Data!$S$2:$S$1201,MATCH(141,Data!$Y$2:$Y$1201,0)),"")</f>
        <v/>
      </c>
    </row>
    <row r="149" spans="2:26" x14ac:dyDescent="0.25">
      <c r="B149" s="51" t="str">
        <f>IFERROR(SMALL(Rhythm!$Z$8:$Z$207,140),"")</f>
        <v/>
      </c>
      <c r="C149" s="42" t="str">
        <f t="shared" si="16"/>
        <v/>
      </c>
      <c r="D149" s="44" t="str">
        <f>IF($B149="","",SUMIFS(Data!$N$2:$N$1201,Data!$S$2:$S$1201,$B149)/60)</f>
        <v/>
      </c>
      <c r="E149" s="52" t="str">
        <f>IF($B149="","",IF(SUMIFS(Data!$O$2:$O$1201,Data!$S$2:$S$1201,$B149,Data!$AP$2:$AP$1201,1)=0,"",SUMIFS(Data!$O$2:$O$1201,Data!$S$2:$S$1201,$B149,Data!$AP$2:$AP$1201,1)-$B149))</f>
        <v/>
      </c>
      <c r="F149" s="52" t="str">
        <f>IF($B149="","",IF(SUMIFS(Data!$P$2:$P$1201,Data!$S$2:$S$1201,$B149,Data!$AQ$2:$AQ$1201,1)=0,"",SUMIFS(Data!$P$2:$P$1201,Data!$S$2:$S$1201,$B149,Data!$AQ$2:$AQ$1201,1)-$B149))</f>
        <v/>
      </c>
      <c r="G149" s="53" t="str">
        <f t="shared" si="17"/>
        <v/>
      </c>
      <c r="H149" s="53" t="str">
        <f t="shared" si="18"/>
        <v/>
      </c>
      <c r="I149" s="45" t="str">
        <f t="shared" si="19"/>
        <v/>
      </c>
      <c r="J149" s="47" t="str">
        <f>IF($B149="","",COUNTIFS(Data!$S$2:$S$1201,$B149,Data!$E$2:$E$1201,"timed"))</f>
        <v/>
      </c>
      <c r="K149" s="47" t="str">
        <f>IF($B149="","",SUMIFS(Data!$AG$2:$AG$1201,Data!$S$2:$S$1201,$B149))</f>
        <v/>
      </c>
      <c r="L149" s="45" t="str">
        <f>IF(OR($B149="",$D149=0),"",SUMIFS(Data!$N$2:$N$1201,Data!$S$2:$S$1201,$B149,Data!$AI$2:$AI$1201,1)/60/$D149)</f>
        <v/>
      </c>
      <c r="M149" s="49" t="str">
        <f>IF($B149="","",SUMIFS(Data!$AL$2:$AL$1201,Data!$S$2:$S$1201,$B149))</f>
        <v/>
      </c>
      <c r="Z149" t="str">
        <f>IFERROR(INDEX(Data!$S$2:$S$1201,MATCH(142,Data!$Y$2:$Y$1201,0)),"")</f>
        <v/>
      </c>
    </row>
    <row r="150" spans="2:26" x14ac:dyDescent="0.25">
      <c r="B150" s="51" t="str">
        <f>IFERROR(SMALL(Rhythm!$Z$8:$Z$207,141),"")</f>
        <v/>
      </c>
      <c r="C150" s="42" t="str">
        <f t="shared" si="16"/>
        <v/>
      </c>
      <c r="D150" s="44" t="str">
        <f>IF($B150="","",SUMIFS(Data!$N$2:$N$1201,Data!$S$2:$S$1201,$B150)/60)</f>
        <v/>
      </c>
      <c r="E150" s="52" t="str">
        <f>IF($B150="","",IF(SUMIFS(Data!$O$2:$O$1201,Data!$S$2:$S$1201,$B150,Data!$AP$2:$AP$1201,1)=0,"",SUMIFS(Data!$O$2:$O$1201,Data!$S$2:$S$1201,$B150,Data!$AP$2:$AP$1201,1)-$B150))</f>
        <v/>
      </c>
      <c r="F150" s="52" t="str">
        <f>IF($B150="","",IF(SUMIFS(Data!$P$2:$P$1201,Data!$S$2:$S$1201,$B150,Data!$AQ$2:$AQ$1201,1)=0,"",SUMIFS(Data!$P$2:$P$1201,Data!$S$2:$S$1201,$B150,Data!$AQ$2:$AQ$1201,1)-$B150))</f>
        <v/>
      </c>
      <c r="G150" s="53" t="str">
        <f t="shared" si="17"/>
        <v/>
      </c>
      <c r="H150" s="53" t="str">
        <f t="shared" si="18"/>
        <v/>
      </c>
      <c r="I150" s="45" t="str">
        <f t="shared" si="19"/>
        <v/>
      </c>
      <c r="J150" s="47" t="str">
        <f>IF($B150="","",COUNTIFS(Data!$S$2:$S$1201,$B150,Data!$E$2:$E$1201,"timed"))</f>
        <v/>
      </c>
      <c r="K150" s="47" t="str">
        <f>IF($B150="","",SUMIFS(Data!$AG$2:$AG$1201,Data!$S$2:$S$1201,$B150))</f>
        <v/>
      </c>
      <c r="L150" s="45" t="str">
        <f>IF(OR($B150="",$D150=0),"",SUMIFS(Data!$N$2:$N$1201,Data!$S$2:$S$1201,$B150,Data!$AI$2:$AI$1201,1)/60/$D150)</f>
        <v/>
      </c>
      <c r="M150" s="49" t="str">
        <f>IF($B150="","",SUMIFS(Data!$AL$2:$AL$1201,Data!$S$2:$S$1201,$B150))</f>
        <v/>
      </c>
      <c r="Z150" t="str">
        <f>IFERROR(INDEX(Data!$S$2:$S$1201,MATCH(143,Data!$Y$2:$Y$1201,0)),"")</f>
        <v/>
      </c>
    </row>
    <row r="151" spans="2:26" x14ac:dyDescent="0.25">
      <c r="B151" s="51" t="str">
        <f>IFERROR(SMALL(Rhythm!$Z$8:$Z$207,142),"")</f>
        <v/>
      </c>
      <c r="C151" s="42" t="str">
        <f t="shared" si="16"/>
        <v/>
      </c>
      <c r="D151" s="44" t="str">
        <f>IF($B151="","",SUMIFS(Data!$N$2:$N$1201,Data!$S$2:$S$1201,$B151)/60)</f>
        <v/>
      </c>
      <c r="E151" s="52" t="str">
        <f>IF($B151="","",IF(SUMIFS(Data!$O$2:$O$1201,Data!$S$2:$S$1201,$B151,Data!$AP$2:$AP$1201,1)=0,"",SUMIFS(Data!$O$2:$O$1201,Data!$S$2:$S$1201,$B151,Data!$AP$2:$AP$1201,1)-$B151))</f>
        <v/>
      </c>
      <c r="F151" s="52" t="str">
        <f>IF($B151="","",IF(SUMIFS(Data!$P$2:$P$1201,Data!$S$2:$S$1201,$B151,Data!$AQ$2:$AQ$1201,1)=0,"",SUMIFS(Data!$P$2:$P$1201,Data!$S$2:$S$1201,$B151,Data!$AQ$2:$AQ$1201,1)-$B151))</f>
        <v/>
      </c>
      <c r="G151" s="53" t="str">
        <f t="shared" si="17"/>
        <v/>
      </c>
      <c r="H151" s="53" t="str">
        <f t="shared" si="18"/>
        <v/>
      </c>
      <c r="I151" s="45" t="str">
        <f t="shared" si="19"/>
        <v/>
      </c>
      <c r="J151" s="47" t="str">
        <f>IF($B151="","",COUNTIFS(Data!$S$2:$S$1201,$B151,Data!$E$2:$E$1201,"timed"))</f>
        <v/>
      </c>
      <c r="K151" s="47" t="str">
        <f>IF($B151="","",SUMIFS(Data!$AG$2:$AG$1201,Data!$S$2:$S$1201,$B151))</f>
        <v/>
      </c>
      <c r="L151" s="45" t="str">
        <f>IF(OR($B151="",$D151=0),"",SUMIFS(Data!$N$2:$N$1201,Data!$S$2:$S$1201,$B151,Data!$AI$2:$AI$1201,1)/60/$D151)</f>
        <v/>
      </c>
      <c r="M151" s="49" t="str">
        <f>IF($B151="","",SUMIFS(Data!$AL$2:$AL$1201,Data!$S$2:$S$1201,$B151))</f>
        <v/>
      </c>
      <c r="Z151" t="str">
        <f>IFERROR(INDEX(Data!$S$2:$S$1201,MATCH(144,Data!$Y$2:$Y$1201,0)),"")</f>
        <v/>
      </c>
    </row>
    <row r="152" spans="2:26" x14ac:dyDescent="0.25">
      <c r="B152" s="51" t="str">
        <f>IFERROR(SMALL(Rhythm!$Z$8:$Z$207,143),"")</f>
        <v/>
      </c>
      <c r="C152" s="42" t="str">
        <f t="shared" si="16"/>
        <v/>
      </c>
      <c r="D152" s="44" t="str">
        <f>IF($B152="","",SUMIFS(Data!$N$2:$N$1201,Data!$S$2:$S$1201,$B152)/60)</f>
        <v/>
      </c>
      <c r="E152" s="52" t="str">
        <f>IF($B152="","",IF(SUMIFS(Data!$O$2:$O$1201,Data!$S$2:$S$1201,$B152,Data!$AP$2:$AP$1201,1)=0,"",SUMIFS(Data!$O$2:$O$1201,Data!$S$2:$S$1201,$B152,Data!$AP$2:$AP$1201,1)-$B152))</f>
        <v/>
      </c>
      <c r="F152" s="52" t="str">
        <f>IF($B152="","",IF(SUMIFS(Data!$P$2:$P$1201,Data!$S$2:$S$1201,$B152,Data!$AQ$2:$AQ$1201,1)=0,"",SUMIFS(Data!$P$2:$P$1201,Data!$S$2:$S$1201,$B152,Data!$AQ$2:$AQ$1201,1)-$B152))</f>
        <v/>
      </c>
      <c r="G152" s="53" t="str">
        <f t="shared" si="17"/>
        <v/>
      </c>
      <c r="H152" s="53" t="str">
        <f t="shared" si="18"/>
        <v/>
      </c>
      <c r="I152" s="45" t="str">
        <f t="shared" si="19"/>
        <v/>
      </c>
      <c r="J152" s="47" t="str">
        <f>IF($B152="","",COUNTIFS(Data!$S$2:$S$1201,$B152,Data!$E$2:$E$1201,"timed"))</f>
        <v/>
      </c>
      <c r="K152" s="47" t="str">
        <f>IF($B152="","",SUMIFS(Data!$AG$2:$AG$1201,Data!$S$2:$S$1201,$B152))</f>
        <v/>
      </c>
      <c r="L152" s="45" t="str">
        <f>IF(OR($B152="",$D152=0),"",SUMIFS(Data!$N$2:$N$1201,Data!$S$2:$S$1201,$B152,Data!$AI$2:$AI$1201,1)/60/$D152)</f>
        <v/>
      </c>
      <c r="M152" s="49" t="str">
        <f>IF($B152="","",SUMIFS(Data!$AL$2:$AL$1201,Data!$S$2:$S$1201,$B152))</f>
        <v/>
      </c>
      <c r="Z152" t="str">
        <f>IFERROR(INDEX(Data!$S$2:$S$1201,MATCH(145,Data!$Y$2:$Y$1201,0)),"")</f>
        <v/>
      </c>
    </row>
    <row r="153" spans="2:26" x14ac:dyDescent="0.25">
      <c r="B153" s="51" t="str">
        <f>IFERROR(SMALL(Rhythm!$Z$8:$Z$207,144),"")</f>
        <v/>
      </c>
      <c r="C153" s="42" t="str">
        <f t="shared" si="16"/>
        <v/>
      </c>
      <c r="D153" s="44" t="str">
        <f>IF($B153="","",SUMIFS(Data!$N$2:$N$1201,Data!$S$2:$S$1201,$B153)/60)</f>
        <v/>
      </c>
      <c r="E153" s="52" t="str">
        <f>IF($B153="","",IF(SUMIFS(Data!$O$2:$O$1201,Data!$S$2:$S$1201,$B153,Data!$AP$2:$AP$1201,1)=0,"",SUMIFS(Data!$O$2:$O$1201,Data!$S$2:$S$1201,$B153,Data!$AP$2:$AP$1201,1)-$B153))</f>
        <v/>
      </c>
      <c r="F153" s="52" t="str">
        <f>IF($B153="","",IF(SUMIFS(Data!$P$2:$P$1201,Data!$S$2:$S$1201,$B153,Data!$AQ$2:$AQ$1201,1)=0,"",SUMIFS(Data!$P$2:$P$1201,Data!$S$2:$S$1201,$B153,Data!$AQ$2:$AQ$1201,1)-$B153))</f>
        <v/>
      </c>
      <c r="G153" s="53" t="str">
        <f t="shared" si="17"/>
        <v/>
      </c>
      <c r="H153" s="53" t="str">
        <f t="shared" si="18"/>
        <v/>
      </c>
      <c r="I153" s="45" t="str">
        <f t="shared" si="19"/>
        <v/>
      </c>
      <c r="J153" s="47" t="str">
        <f>IF($B153="","",COUNTIFS(Data!$S$2:$S$1201,$B153,Data!$E$2:$E$1201,"timed"))</f>
        <v/>
      </c>
      <c r="K153" s="47" t="str">
        <f>IF($B153="","",SUMIFS(Data!$AG$2:$AG$1201,Data!$S$2:$S$1201,$B153))</f>
        <v/>
      </c>
      <c r="L153" s="45" t="str">
        <f>IF(OR($B153="",$D153=0),"",SUMIFS(Data!$N$2:$N$1201,Data!$S$2:$S$1201,$B153,Data!$AI$2:$AI$1201,1)/60/$D153)</f>
        <v/>
      </c>
      <c r="M153" s="49" t="str">
        <f>IF($B153="","",SUMIFS(Data!$AL$2:$AL$1201,Data!$S$2:$S$1201,$B153))</f>
        <v/>
      </c>
      <c r="Z153" t="str">
        <f>IFERROR(INDEX(Data!$S$2:$S$1201,MATCH(146,Data!$Y$2:$Y$1201,0)),"")</f>
        <v/>
      </c>
    </row>
    <row r="154" spans="2:26" x14ac:dyDescent="0.25">
      <c r="B154" s="51" t="str">
        <f>IFERROR(SMALL(Rhythm!$Z$8:$Z$207,145),"")</f>
        <v/>
      </c>
      <c r="C154" s="42" t="str">
        <f t="shared" si="16"/>
        <v/>
      </c>
      <c r="D154" s="44" t="str">
        <f>IF($B154="","",SUMIFS(Data!$N$2:$N$1201,Data!$S$2:$S$1201,$B154)/60)</f>
        <v/>
      </c>
      <c r="E154" s="52" t="str">
        <f>IF($B154="","",IF(SUMIFS(Data!$O$2:$O$1201,Data!$S$2:$S$1201,$B154,Data!$AP$2:$AP$1201,1)=0,"",SUMIFS(Data!$O$2:$O$1201,Data!$S$2:$S$1201,$B154,Data!$AP$2:$AP$1201,1)-$B154))</f>
        <v/>
      </c>
      <c r="F154" s="52" t="str">
        <f>IF($B154="","",IF(SUMIFS(Data!$P$2:$P$1201,Data!$S$2:$S$1201,$B154,Data!$AQ$2:$AQ$1201,1)=0,"",SUMIFS(Data!$P$2:$P$1201,Data!$S$2:$S$1201,$B154,Data!$AQ$2:$AQ$1201,1)-$B154))</f>
        <v/>
      </c>
      <c r="G154" s="53" t="str">
        <f t="shared" si="17"/>
        <v/>
      </c>
      <c r="H154" s="53" t="str">
        <f t="shared" si="18"/>
        <v/>
      </c>
      <c r="I154" s="45" t="str">
        <f t="shared" si="19"/>
        <v/>
      </c>
      <c r="J154" s="47" t="str">
        <f>IF($B154="","",COUNTIFS(Data!$S$2:$S$1201,$B154,Data!$E$2:$E$1201,"timed"))</f>
        <v/>
      </c>
      <c r="K154" s="47" t="str">
        <f>IF($B154="","",SUMIFS(Data!$AG$2:$AG$1201,Data!$S$2:$S$1201,$B154))</f>
        <v/>
      </c>
      <c r="L154" s="45" t="str">
        <f>IF(OR($B154="",$D154=0),"",SUMIFS(Data!$N$2:$N$1201,Data!$S$2:$S$1201,$B154,Data!$AI$2:$AI$1201,1)/60/$D154)</f>
        <v/>
      </c>
      <c r="M154" s="49" t="str">
        <f>IF($B154="","",SUMIFS(Data!$AL$2:$AL$1201,Data!$S$2:$S$1201,$B154))</f>
        <v/>
      </c>
      <c r="Z154" t="str">
        <f>IFERROR(INDEX(Data!$S$2:$S$1201,MATCH(147,Data!$Y$2:$Y$1201,0)),"")</f>
        <v/>
      </c>
    </row>
    <row r="155" spans="2:26" x14ac:dyDescent="0.25">
      <c r="B155" s="51" t="str">
        <f>IFERROR(SMALL(Rhythm!$Z$8:$Z$207,146),"")</f>
        <v/>
      </c>
      <c r="C155" s="42" t="str">
        <f t="shared" si="16"/>
        <v/>
      </c>
      <c r="D155" s="44" t="str">
        <f>IF($B155="","",SUMIFS(Data!$N$2:$N$1201,Data!$S$2:$S$1201,$B155)/60)</f>
        <v/>
      </c>
      <c r="E155" s="52" t="str">
        <f>IF($B155="","",IF(SUMIFS(Data!$O$2:$O$1201,Data!$S$2:$S$1201,$B155,Data!$AP$2:$AP$1201,1)=0,"",SUMIFS(Data!$O$2:$O$1201,Data!$S$2:$S$1201,$B155,Data!$AP$2:$AP$1201,1)-$B155))</f>
        <v/>
      </c>
      <c r="F155" s="52" t="str">
        <f>IF($B155="","",IF(SUMIFS(Data!$P$2:$P$1201,Data!$S$2:$S$1201,$B155,Data!$AQ$2:$AQ$1201,1)=0,"",SUMIFS(Data!$P$2:$P$1201,Data!$S$2:$S$1201,$B155,Data!$AQ$2:$AQ$1201,1)-$B155))</f>
        <v/>
      </c>
      <c r="G155" s="53" t="str">
        <f t="shared" si="17"/>
        <v/>
      </c>
      <c r="H155" s="53" t="str">
        <f t="shared" si="18"/>
        <v/>
      </c>
      <c r="I155" s="45" t="str">
        <f t="shared" si="19"/>
        <v/>
      </c>
      <c r="J155" s="47" t="str">
        <f>IF($B155="","",COUNTIFS(Data!$S$2:$S$1201,$B155,Data!$E$2:$E$1201,"timed"))</f>
        <v/>
      </c>
      <c r="K155" s="47" t="str">
        <f>IF($B155="","",SUMIFS(Data!$AG$2:$AG$1201,Data!$S$2:$S$1201,$B155))</f>
        <v/>
      </c>
      <c r="L155" s="45" t="str">
        <f>IF(OR($B155="",$D155=0),"",SUMIFS(Data!$N$2:$N$1201,Data!$S$2:$S$1201,$B155,Data!$AI$2:$AI$1201,1)/60/$D155)</f>
        <v/>
      </c>
      <c r="M155" s="49" t="str">
        <f>IF($B155="","",SUMIFS(Data!$AL$2:$AL$1201,Data!$S$2:$S$1201,$B155))</f>
        <v/>
      </c>
      <c r="Z155" t="str">
        <f>IFERROR(INDEX(Data!$S$2:$S$1201,MATCH(148,Data!$Y$2:$Y$1201,0)),"")</f>
        <v/>
      </c>
    </row>
    <row r="156" spans="2:26" x14ac:dyDescent="0.25">
      <c r="B156" s="51" t="str">
        <f>IFERROR(SMALL(Rhythm!$Z$8:$Z$207,147),"")</f>
        <v/>
      </c>
      <c r="C156" s="42" t="str">
        <f t="shared" si="16"/>
        <v/>
      </c>
      <c r="D156" s="44" t="str">
        <f>IF($B156="","",SUMIFS(Data!$N$2:$N$1201,Data!$S$2:$S$1201,$B156)/60)</f>
        <v/>
      </c>
      <c r="E156" s="52" t="str">
        <f>IF($B156="","",IF(SUMIFS(Data!$O$2:$O$1201,Data!$S$2:$S$1201,$B156,Data!$AP$2:$AP$1201,1)=0,"",SUMIFS(Data!$O$2:$O$1201,Data!$S$2:$S$1201,$B156,Data!$AP$2:$AP$1201,1)-$B156))</f>
        <v/>
      </c>
      <c r="F156" s="52" t="str">
        <f>IF($B156="","",IF(SUMIFS(Data!$P$2:$P$1201,Data!$S$2:$S$1201,$B156,Data!$AQ$2:$AQ$1201,1)=0,"",SUMIFS(Data!$P$2:$P$1201,Data!$S$2:$S$1201,$B156,Data!$AQ$2:$AQ$1201,1)-$B156))</f>
        <v/>
      </c>
      <c r="G156" s="53" t="str">
        <f t="shared" si="17"/>
        <v/>
      </c>
      <c r="H156" s="53" t="str">
        <f t="shared" si="18"/>
        <v/>
      </c>
      <c r="I156" s="45" t="str">
        <f t="shared" si="19"/>
        <v/>
      </c>
      <c r="J156" s="47" t="str">
        <f>IF($B156="","",COUNTIFS(Data!$S$2:$S$1201,$B156,Data!$E$2:$E$1201,"timed"))</f>
        <v/>
      </c>
      <c r="K156" s="47" t="str">
        <f>IF($B156="","",SUMIFS(Data!$AG$2:$AG$1201,Data!$S$2:$S$1201,$B156))</f>
        <v/>
      </c>
      <c r="L156" s="45" t="str">
        <f>IF(OR($B156="",$D156=0),"",SUMIFS(Data!$N$2:$N$1201,Data!$S$2:$S$1201,$B156,Data!$AI$2:$AI$1201,1)/60/$D156)</f>
        <v/>
      </c>
      <c r="M156" s="49" t="str">
        <f>IF($B156="","",SUMIFS(Data!$AL$2:$AL$1201,Data!$S$2:$S$1201,$B156))</f>
        <v/>
      </c>
      <c r="Z156" t="str">
        <f>IFERROR(INDEX(Data!$S$2:$S$1201,MATCH(149,Data!$Y$2:$Y$1201,0)),"")</f>
        <v/>
      </c>
    </row>
    <row r="157" spans="2:26" x14ac:dyDescent="0.25">
      <c r="B157" s="51" t="str">
        <f>IFERROR(SMALL(Rhythm!$Z$8:$Z$207,148),"")</f>
        <v/>
      </c>
      <c r="C157" s="42" t="str">
        <f t="shared" si="16"/>
        <v/>
      </c>
      <c r="D157" s="44" t="str">
        <f>IF($B157="","",SUMIFS(Data!$N$2:$N$1201,Data!$S$2:$S$1201,$B157)/60)</f>
        <v/>
      </c>
      <c r="E157" s="52" t="str">
        <f>IF($B157="","",IF(SUMIFS(Data!$O$2:$O$1201,Data!$S$2:$S$1201,$B157,Data!$AP$2:$AP$1201,1)=0,"",SUMIFS(Data!$O$2:$O$1201,Data!$S$2:$S$1201,$B157,Data!$AP$2:$AP$1201,1)-$B157))</f>
        <v/>
      </c>
      <c r="F157" s="52" t="str">
        <f>IF($B157="","",IF(SUMIFS(Data!$P$2:$P$1201,Data!$S$2:$S$1201,$B157,Data!$AQ$2:$AQ$1201,1)=0,"",SUMIFS(Data!$P$2:$P$1201,Data!$S$2:$S$1201,$B157,Data!$AQ$2:$AQ$1201,1)-$B157))</f>
        <v/>
      </c>
      <c r="G157" s="53" t="str">
        <f t="shared" si="17"/>
        <v/>
      </c>
      <c r="H157" s="53" t="str">
        <f t="shared" si="18"/>
        <v/>
      </c>
      <c r="I157" s="45" t="str">
        <f t="shared" si="19"/>
        <v/>
      </c>
      <c r="J157" s="47" t="str">
        <f>IF($B157="","",COUNTIFS(Data!$S$2:$S$1201,$B157,Data!$E$2:$E$1201,"timed"))</f>
        <v/>
      </c>
      <c r="K157" s="47" t="str">
        <f>IF($B157="","",SUMIFS(Data!$AG$2:$AG$1201,Data!$S$2:$S$1201,$B157))</f>
        <v/>
      </c>
      <c r="L157" s="45" t="str">
        <f>IF(OR($B157="",$D157=0),"",SUMIFS(Data!$N$2:$N$1201,Data!$S$2:$S$1201,$B157,Data!$AI$2:$AI$1201,1)/60/$D157)</f>
        <v/>
      </c>
      <c r="M157" s="49" t="str">
        <f>IF($B157="","",SUMIFS(Data!$AL$2:$AL$1201,Data!$S$2:$S$1201,$B157))</f>
        <v/>
      </c>
      <c r="Z157" t="str">
        <f>IFERROR(INDEX(Data!$S$2:$S$1201,MATCH(150,Data!$Y$2:$Y$1201,0)),"")</f>
        <v/>
      </c>
    </row>
    <row r="158" spans="2:26" x14ac:dyDescent="0.25">
      <c r="B158" s="51" t="str">
        <f>IFERROR(SMALL(Rhythm!$Z$8:$Z$207,149),"")</f>
        <v/>
      </c>
      <c r="C158" s="42" t="str">
        <f t="shared" si="16"/>
        <v/>
      </c>
      <c r="D158" s="44" t="str">
        <f>IF($B158="","",SUMIFS(Data!$N$2:$N$1201,Data!$S$2:$S$1201,$B158)/60)</f>
        <v/>
      </c>
      <c r="E158" s="52" t="str">
        <f>IF($B158="","",IF(SUMIFS(Data!$O$2:$O$1201,Data!$S$2:$S$1201,$B158,Data!$AP$2:$AP$1201,1)=0,"",SUMIFS(Data!$O$2:$O$1201,Data!$S$2:$S$1201,$B158,Data!$AP$2:$AP$1201,1)-$B158))</f>
        <v/>
      </c>
      <c r="F158" s="52" t="str">
        <f>IF($B158="","",IF(SUMIFS(Data!$P$2:$P$1201,Data!$S$2:$S$1201,$B158,Data!$AQ$2:$AQ$1201,1)=0,"",SUMIFS(Data!$P$2:$P$1201,Data!$S$2:$S$1201,$B158,Data!$AQ$2:$AQ$1201,1)-$B158))</f>
        <v/>
      </c>
      <c r="G158" s="53" t="str">
        <f t="shared" si="17"/>
        <v/>
      </c>
      <c r="H158" s="53" t="str">
        <f t="shared" si="18"/>
        <v/>
      </c>
      <c r="I158" s="45" t="str">
        <f t="shared" si="19"/>
        <v/>
      </c>
      <c r="J158" s="47" t="str">
        <f>IF($B158="","",COUNTIFS(Data!$S$2:$S$1201,$B158,Data!$E$2:$E$1201,"timed"))</f>
        <v/>
      </c>
      <c r="K158" s="47" t="str">
        <f>IF($B158="","",SUMIFS(Data!$AG$2:$AG$1201,Data!$S$2:$S$1201,$B158))</f>
        <v/>
      </c>
      <c r="L158" s="45" t="str">
        <f>IF(OR($B158="",$D158=0),"",SUMIFS(Data!$N$2:$N$1201,Data!$S$2:$S$1201,$B158,Data!$AI$2:$AI$1201,1)/60/$D158)</f>
        <v/>
      </c>
      <c r="M158" s="49" t="str">
        <f>IF($B158="","",SUMIFS(Data!$AL$2:$AL$1201,Data!$S$2:$S$1201,$B158))</f>
        <v/>
      </c>
      <c r="Z158" t="str">
        <f>IFERROR(INDEX(Data!$S$2:$S$1201,MATCH(151,Data!$Y$2:$Y$1201,0)),"")</f>
        <v/>
      </c>
    </row>
    <row r="159" spans="2:26" x14ac:dyDescent="0.25">
      <c r="B159" s="51" t="str">
        <f>IFERROR(SMALL(Rhythm!$Z$8:$Z$207,150),"")</f>
        <v/>
      </c>
      <c r="C159" s="42" t="str">
        <f t="shared" si="16"/>
        <v/>
      </c>
      <c r="D159" s="44" t="str">
        <f>IF($B159="","",SUMIFS(Data!$N$2:$N$1201,Data!$S$2:$S$1201,$B159)/60)</f>
        <v/>
      </c>
      <c r="E159" s="52" t="str">
        <f>IF($B159="","",IF(SUMIFS(Data!$O$2:$O$1201,Data!$S$2:$S$1201,$B159,Data!$AP$2:$AP$1201,1)=0,"",SUMIFS(Data!$O$2:$O$1201,Data!$S$2:$S$1201,$B159,Data!$AP$2:$AP$1201,1)-$B159))</f>
        <v/>
      </c>
      <c r="F159" s="52" t="str">
        <f>IF($B159="","",IF(SUMIFS(Data!$P$2:$P$1201,Data!$S$2:$S$1201,$B159,Data!$AQ$2:$AQ$1201,1)=0,"",SUMIFS(Data!$P$2:$P$1201,Data!$S$2:$S$1201,$B159,Data!$AQ$2:$AQ$1201,1)-$B159))</f>
        <v/>
      </c>
      <c r="G159" s="53" t="str">
        <f t="shared" si="17"/>
        <v/>
      </c>
      <c r="H159" s="53" t="str">
        <f t="shared" si="18"/>
        <v/>
      </c>
      <c r="I159" s="45" t="str">
        <f t="shared" si="19"/>
        <v/>
      </c>
      <c r="J159" s="47" t="str">
        <f>IF($B159="","",COUNTIFS(Data!$S$2:$S$1201,$B159,Data!$E$2:$E$1201,"timed"))</f>
        <v/>
      </c>
      <c r="K159" s="47" t="str">
        <f>IF($B159="","",SUMIFS(Data!$AG$2:$AG$1201,Data!$S$2:$S$1201,$B159))</f>
        <v/>
      </c>
      <c r="L159" s="45" t="str">
        <f>IF(OR($B159="",$D159=0),"",SUMIFS(Data!$N$2:$N$1201,Data!$S$2:$S$1201,$B159,Data!$AI$2:$AI$1201,1)/60/$D159)</f>
        <v/>
      </c>
      <c r="M159" s="49" t="str">
        <f>IF($B159="","",SUMIFS(Data!$AL$2:$AL$1201,Data!$S$2:$S$1201,$B159))</f>
        <v/>
      </c>
      <c r="Z159" t="str">
        <f>IFERROR(INDEX(Data!$S$2:$S$1201,MATCH(152,Data!$Y$2:$Y$1201,0)),"")</f>
        <v/>
      </c>
    </row>
    <row r="160" spans="2:26" x14ac:dyDescent="0.25">
      <c r="B160" s="51" t="str">
        <f>IFERROR(SMALL(Rhythm!$Z$8:$Z$207,151),"")</f>
        <v/>
      </c>
      <c r="C160" s="42" t="str">
        <f t="shared" si="16"/>
        <v/>
      </c>
      <c r="D160" s="44" t="str">
        <f>IF($B160="","",SUMIFS(Data!$N$2:$N$1201,Data!$S$2:$S$1201,$B160)/60)</f>
        <v/>
      </c>
      <c r="E160" s="52" t="str">
        <f>IF($B160="","",IF(SUMIFS(Data!$O$2:$O$1201,Data!$S$2:$S$1201,$B160,Data!$AP$2:$AP$1201,1)=0,"",SUMIFS(Data!$O$2:$O$1201,Data!$S$2:$S$1201,$B160,Data!$AP$2:$AP$1201,1)-$B160))</f>
        <v/>
      </c>
      <c r="F160" s="52" t="str">
        <f>IF($B160="","",IF(SUMIFS(Data!$P$2:$P$1201,Data!$S$2:$S$1201,$B160,Data!$AQ$2:$AQ$1201,1)=0,"",SUMIFS(Data!$P$2:$P$1201,Data!$S$2:$S$1201,$B160,Data!$AQ$2:$AQ$1201,1)-$B160))</f>
        <v/>
      </c>
      <c r="G160" s="53" t="str">
        <f t="shared" si="17"/>
        <v/>
      </c>
      <c r="H160" s="53" t="str">
        <f t="shared" si="18"/>
        <v/>
      </c>
      <c r="I160" s="45" t="str">
        <f t="shared" si="19"/>
        <v/>
      </c>
      <c r="J160" s="47" t="str">
        <f>IF($B160="","",COUNTIFS(Data!$S$2:$S$1201,$B160,Data!$E$2:$E$1201,"timed"))</f>
        <v/>
      </c>
      <c r="K160" s="47" t="str">
        <f>IF($B160="","",SUMIFS(Data!$AG$2:$AG$1201,Data!$S$2:$S$1201,$B160))</f>
        <v/>
      </c>
      <c r="L160" s="45" t="str">
        <f>IF(OR($B160="",$D160=0),"",SUMIFS(Data!$N$2:$N$1201,Data!$S$2:$S$1201,$B160,Data!$AI$2:$AI$1201,1)/60/$D160)</f>
        <v/>
      </c>
      <c r="M160" s="49" t="str">
        <f>IF($B160="","",SUMIFS(Data!$AL$2:$AL$1201,Data!$S$2:$S$1201,$B160))</f>
        <v/>
      </c>
      <c r="Z160" t="str">
        <f>IFERROR(INDEX(Data!$S$2:$S$1201,MATCH(153,Data!$Y$2:$Y$1201,0)),"")</f>
        <v/>
      </c>
    </row>
    <row r="161" spans="2:26" x14ac:dyDescent="0.25">
      <c r="B161" s="51" t="str">
        <f>IFERROR(SMALL(Rhythm!$Z$8:$Z$207,152),"")</f>
        <v/>
      </c>
      <c r="C161" s="42" t="str">
        <f t="shared" si="16"/>
        <v/>
      </c>
      <c r="D161" s="44" t="str">
        <f>IF($B161="","",SUMIFS(Data!$N$2:$N$1201,Data!$S$2:$S$1201,$B161)/60)</f>
        <v/>
      </c>
      <c r="E161" s="52" t="str">
        <f>IF($B161="","",IF(SUMIFS(Data!$O$2:$O$1201,Data!$S$2:$S$1201,$B161,Data!$AP$2:$AP$1201,1)=0,"",SUMIFS(Data!$O$2:$O$1201,Data!$S$2:$S$1201,$B161,Data!$AP$2:$AP$1201,1)-$B161))</f>
        <v/>
      </c>
      <c r="F161" s="52" t="str">
        <f>IF($B161="","",IF(SUMIFS(Data!$P$2:$P$1201,Data!$S$2:$S$1201,$B161,Data!$AQ$2:$AQ$1201,1)=0,"",SUMIFS(Data!$P$2:$P$1201,Data!$S$2:$S$1201,$B161,Data!$AQ$2:$AQ$1201,1)-$B161))</f>
        <v/>
      </c>
      <c r="G161" s="53" t="str">
        <f t="shared" si="17"/>
        <v/>
      </c>
      <c r="H161" s="53" t="str">
        <f t="shared" si="18"/>
        <v/>
      </c>
      <c r="I161" s="45" t="str">
        <f t="shared" si="19"/>
        <v/>
      </c>
      <c r="J161" s="47" t="str">
        <f>IF($B161="","",COUNTIFS(Data!$S$2:$S$1201,$B161,Data!$E$2:$E$1201,"timed"))</f>
        <v/>
      </c>
      <c r="K161" s="47" t="str">
        <f>IF($B161="","",SUMIFS(Data!$AG$2:$AG$1201,Data!$S$2:$S$1201,$B161))</f>
        <v/>
      </c>
      <c r="L161" s="45" t="str">
        <f>IF(OR($B161="",$D161=0),"",SUMIFS(Data!$N$2:$N$1201,Data!$S$2:$S$1201,$B161,Data!$AI$2:$AI$1201,1)/60/$D161)</f>
        <v/>
      </c>
      <c r="M161" s="49" t="str">
        <f>IF($B161="","",SUMIFS(Data!$AL$2:$AL$1201,Data!$S$2:$S$1201,$B161))</f>
        <v/>
      </c>
      <c r="Z161" t="str">
        <f>IFERROR(INDEX(Data!$S$2:$S$1201,MATCH(154,Data!$Y$2:$Y$1201,0)),"")</f>
        <v/>
      </c>
    </row>
    <row r="162" spans="2:26" x14ac:dyDescent="0.25">
      <c r="B162" s="51" t="str">
        <f>IFERROR(SMALL(Rhythm!$Z$8:$Z$207,153),"")</f>
        <v/>
      </c>
      <c r="C162" s="42" t="str">
        <f t="shared" si="16"/>
        <v/>
      </c>
      <c r="D162" s="44" t="str">
        <f>IF($B162="","",SUMIFS(Data!$N$2:$N$1201,Data!$S$2:$S$1201,$B162)/60)</f>
        <v/>
      </c>
      <c r="E162" s="52" t="str">
        <f>IF($B162="","",IF(SUMIFS(Data!$O$2:$O$1201,Data!$S$2:$S$1201,$B162,Data!$AP$2:$AP$1201,1)=0,"",SUMIFS(Data!$O$2:$O$1201,Data!$S$2:$S$1201,$B162,Data!$AP$2:$AP$1201,1)-$B162))</f>
        <v/>
      </c>
      <c r="F162" s="52" t="str">
        <f>IF($B162="","",IF(SUMIFS(Data!$P$2:$P$1201,Data!$S$2:$S$1201,$B162,Data!$AQ$2:$AQ$1201,1)=0,"",SUMIFS(Data!$P$2:$P$1201,Data!$S$2:$S$1201,$B162,Data!$AQ$2:$AQ$1201,1)-$B162))</f>
        <v/>
      </c>
      <c r="G162" s="53" t="str">
        <f t="shared" si="17"/>
        <v/>
      </c>
      <c r="H162" s="53" t="str">
        <f t="shared" si="18"/>
        <v/>
      </c>
      <c r="I162" s="45" t="str">
        <f t="shared" si="19"/>
        <v/>
      </c>
      <c r="J162" s="47" t="str">
        <f>IF($B162="","",COUNTIFS(Data!$S$2:$S$1201,$B162,Data!$E$2:$E$1201,"timed"))</f>
        <v/>
      </c>
      <c r="K162" s="47" t="str">
        <f>IF($B162="","",SUMIFS(Data!$AG$2:$AG$1201,Data!$S$2:$S$1201,$B162))</f>
        <v/>
      </c>
      <c r="L162" s="45" t="str">
        <f>IF(OR($B162="",$D162=0),"",SUMIFS(Data!$N$2:$N$1201,Data!$S$2:$S$1201,$B162,Data!$AI$2:$AI$1201,1)/60/$D162)</f>
        <v/>
      </c>
      <c r="M162" s="49" t="str">
        <f>IF($B162="","",SUMIFS(Data!$AL$2:$AL$1201,Data!$S$2:$S$1201,$B162))</f>
        <v/>
      </c>
      <c r="Z162" t="str">
        <f>IFERROR(INDEX(Data!$S$2:$S$1201,MATCH(155,Data!$Y$2:$Y$1201,0)),"")</f>
        <v/>
      </c>
    </row>
    <row r="163" spans="2:26" x14ac:dyDescent="0.25">
      <c r="B163" s="51" t="str">
        <f>IFERROR(SMALL(Rhythm!$Z$8:$Z$207,154),"")</f>
        <v/>
      </c>
      <c r="C163" s="42" t="str">
        <f t="shared" si="16"/>
        <v/>
      </c>
      <c r="D163" s="44" t="str">
        <f>IF($B163="","",SUMIFS(Data!$N$2:$N$1201,Data!$S$2:$S$1201,$B163)/60)</f>
        <v/>
      </c>
      <c r="E163" s="52" t="str">
        <f>IF($B163="","",IF(SUMIFS(Data!$O$2:$O$1201,Data!$S$2:$S$1201,$B163,Data!$AP$2:$AP$1201,1)=0,"",SUMIFS(Data!$O$2:$O$1201,Data!$S$2:$S$1201,$B163,Data!$AP$2:$AP$1201,1)-$B163))</f>
        <v/>
      </c>
      <c r="F163" s="52" t="str">
        <f>IF($B163="","",IF(SUMIFS(Data!$P$2:$P$1201,Data!$S$2:$S$1201,$B163,Data!$AQ$2:$AQ$1201,1)=0,"",SUMIFS(Data!$P$2:$P$1201,Data!$S$2:$S$1201,$B163,Data!$AQ$2:$AQ$1201,1)-$B163))</f>
        <v/>
      </c>
      <c r="G163" s="53" t="str">
        <f t="shared" si="17"/>
        <v/>
      </c>
      <c r="H163" s="53" t="str">
        <f t="shared" si="18"/>
        <v/>
      </c>
      <c r="I163" s="45" t="str">
        <f t="shared" si="19"/>
        <v/>
      </c>
      <c r="J163" s="47" t="str">
        <f>IF($B163="","",COUNTIFS(Data!$S$2:$S$1201,$B163,Data!$E$2:$E$1201,"timed"))</f>
        <v/>
      </c>
      <c r="K163" s="47" t="str">
        <f>IF($B163="","",SUMIFS(Data!$AG$2:$AG$1201,Data!$S$2:$S$1201,$B163))</f>
        <v/>
      </c>
      <c r="L163" s="45" t="str">
        <f>IF(OR($B163="",$D163=0),"",SUMIFS(Data!$N$2:$N$1201,Data!$S$2:$S$1201,$B163,Data!$AI$2:$AI$1201,1)/60/$D163)</f>
        <v/>
      </c>
      <c r="M163" s="49" t="str">
        <f>IF($B163="","",SUMIFS(Data!$AL$2:$AL$1201,Data!$S$2:$S$1201,$B163))</f>
        <v/>
      </c>
      <c r="Z163" t="str">
        <f>IFERROR(INDEX(Data!$S$2:$S$1201,MATCH(156,Data!$Y$2:$Y$1201,0)),"")</f>
        <v/>
      </c>
    </row>
    <row r="164" spans="2:26" x14ac:dyDescent="0.25">
      <c r="B164" s="51" t="str">
        <f>IFERROR(SMALL(Rhythm!$Z$8:$Z$207,155),"")</f>
        <v/>
      </c>
      <c r="C164" s="42" t="str">
        <f t="shared" si="16"/>
        <v/>
      </c>
      <c r="D164" s="44" t="str">
        <f>IF($B164="","",SUMIFS(Data!$N$2:$N$1201,Data!$S$2:$S$1201,$B164)/60)</f>
        <v/>
      </c>
      <c r="E164" s="52" t="str">
        <f>IF($B164="","",IF(SUMIFS(Data!$O$2:$O$1201,Data!$S$2:$S$1201,$B164,Data!$AP$2:$AP$1201,1)=0,"",SUMIFS(Data!$O$2:$O$1201,Data!$S$2:$S$1201,$B164,Data!$AP$2:$AP$1201,1)-$B164))</f>
        <v/>
      </c>
      <c r="F164" s="52" t="str">
        <f>IF($B164="","",IF(SUMIFS(Data!$P$2:$P$1201,Data!$S$2:$S$1201,$B164,Data!$AQ$2:$AQ$1201,1)=0,"",SUMIFS(Data!$P$2:$P$1201,Data!$S$2:$S$1201,$B164,Data!$AQ$2:$AQ$1201,1)-$B164))</f>
        <v/>
      </c>
      <c r="G164" s="53" t="str">
        <f t="shared" si="17"/>
        <v/>
      </c>
      <c r="H164" s="53" t="str">
        <f t="shared" si="18"/>
        <v/>
      </c>
      <c r="I164" s="45" t="str">
        <f t="shared" si="19"/>
        <v/>
      </c>
      <c r="J164" s="47" t="str">
        <f>IF($B164="","",COUNTIFS(Data!$S$2:$S$1201,$B164,Data!$E$2:$E$1201,"timed"))</f>
        <v/>
      </c>
      <c r="K164" s="47" t="str">
        <f>IF($B164="","",SUMIFS(Data!$AG$2:$AG$1201,Data!$S$2:$S$1201,$B164))</f>
        <v/>
      </c>
      <c r="L164" s="45" t="str">
        <f>IF(OR($B164="",$D164=0),"",SUMIFS(Data!$N$2:$N$1201,Data!$S$2:$S$1201,$B164,Data!$AI$2:$AI$1201,1)/60/$D164)</f>
        <v/>
      </c>
      <c r="M164" s="49" t="str">
        <f>IF($B164="","",SUMIFS(Data!$AL$2:$AL$1201,Data!$S$2:$S$1201,$B164))</f>
        <v/>
      </c>
      <c r="Z164" t="str">
        <f>IFERROR(INDEX(Data!$S$2:$S$1201,MATCH(157,Data!$Y$2:$Y$1201,0)),"")</f>
        <v/>
      </c>
    </row>
    <row r="165" spans="2:26" x14ac:dyDescent="0.25">
      <c r="B165" s="51" t="str">
        <f>IFERROR(SMALL(Rhythm!$Z$8:$Z$207,156),"")</f>
        <v/>
      </c>
      <c r="C165" s="42" t="str">
        <f t="shared" si="16"/>
        <v/>
      </c>
      <c r="D165" s="44" t="str">
        <f>IF($B165="","",SUMIFS(Data!$N$2:$N$1201,Data!$S$2:$S$1201,$B165)/60)</f>
        <v/>
      </c>
      <c r="E165" s="52" t="str">
        <f>IF($B165="","",IF(SUMIFS(Data!$O$2:$O$1201,Data!$S$2:$S$1201,$B165,Data!$AP$2:$AP$1201,1)=0,"",SUMIFS(Data!$O$2:$O$1201,Data!$S$2:$S$1201,$B165,Data!$AP$2:$AP$1201,1)-$B165))</f>
        <v/>
      </c>
      <c r="F165" s="52" t="str">
        <f>IF($B165="","",IF(SUMIFS(Data!$P$2:$P$1201,Data!$S$2:$S$1201,$B165,Data!$AQ$2:$AQ$1201,1)=0,"",SUMIFS(Data!$P$2:$P$1201,Data!$S$2:$S$1201,$B165,Data!$AQ$2:$AQ$1201,1)-$B165))</f>
        <v/>
      </c>
      <c r="G165" s="53" t="str">
        <f t="shared" si="17"/>
        <v/>
      </c>
      <c r="H165" s="53" t="str">
        <f t="shared" si="18"/>
        <v/>
      </c>
      <c r="I165" s="45" t="str">
        <f t="shared" si="19"/>
        <v/>
      </c>
      <c r="J165" s="47" t="str">
        <f>IF($B165="","",COUNTIFS(Data!$S$2:$S$1201,$B165,Data!$E$2:$E$1201,"timed"))</f>
        <v/>
      </c>
      <c r="K165" s="47" t="str">
        <f>IF($B165="","",SUMIFS(Data!$AG$2:$AG$1201,Data!$S$2:$S$1201,$B165))</f>
        <v/>
      </c>
      <c r="L165" s="45" t="str">
        <f>IF(OR($B165="",$D165=0),"",SUMIFS(Data!$N$2:$N$1201,Data!$S$2:$S$1201,$B165,Data!$AI$2:$AI$1201,1)/60/$D165)</f>
        <v/>
      </c>
      <c r="M165" s="49" t="str">
        <f>IF($B165="","",SUMIFS(Data!$AL$2:$AL$1201,Data!$S$2:$S$1201,$B165))</f>
        <v/>
      </c>
      <c r="Z165" t="str">
        <f>IFERROR(INDEX(Data!$S$2:$S$1201,MATCH(158,Data!$Y$2:$Y$1201,0)),"")</f>
        <v/>
      </c>
    </row>
    <row r="166" spans="2:26" x14ac:dyDescent="0.25">
      <c r="B166" s="51" t="str">
        <f>IFERROR(SMALL(Rhythm!$Z$8:$Z$207,157),"")</f>
        <v/>
      </c>
      <c r="C166" s="42" t="str">
        <f t="shared" si="16"/>
        <v/>
      </c>
      <c r="D166" s="44" t="str">
        <f>IF($B166="","",SUMIFS(Data!$N$2:$N$1201,Data!$S$2:$S$1201,$B166)/60)</f>
        <v/>
      </c>
      <c r="E166" s="52" t="str">
        <f>IF($B166="","",IF(SUMIFS(Data!$O$2:$O$1201,Data!$S$2:$S$1201,$B166,Data!$AP$2:$AP$1201,1)=0,"",SUMIFS(Data!$O$2:$O$1201,Data!$S$2:$S$1201,$B166,Data!$AP$2:$AP$1201,1)-$B166))</f>
        <v/>
      </c>
      <c r="F166" s="52" t="str">
        <f>IF($B166="","",IF(SUMIFS(Data!$P$2:$P$1201,Data!$S$2:$S$1201,$B166,Data!$AQ$2:$AQ$1201,1)=0,"",SUMIFS(Data!$P$2:$P$1201,Data!$S$2:$S$1201,$B166,Data!$AQ$2:$AQ$1201,1)-$B166))</f>
        <v/>
      </c>
      <c r="G166" s="53" t="str">
        <f t="shared" si="17"/>
        <v/>
      </c>
      <c r="H166" s="53" t="str">
        <f t="shared" si="18"/>
        <v/>
      </c>
      <c r="I166" s="45" t="str">
        <f t="shared" si="19"/>
        <v/>
      </c>
      <c r="J166" s="47" t="str">
        <f>IF($B166="","",COUNTIFS(Data!$S$2:$S$1201,$B166,Data!$E$2:$E$1201,"timed"))</f>
        <v/>
      </c>
      <c r="K166" s="47" t="str">
        <f>IF($B166="","",SUMIFS(Data!$AG$2:$AG$1201,Data!$S$2:$S$1201,$B166))</f>
        <v/>
      </c>
      <c r="L166" s="45" t="str">
        <f>IF(OR($B166="",$D166=0),"",SUMIFS(Data!$N$2:$N$1201,Data!$S$2:$S$1201,$B166,Data!$AI$2:$AI$1201,1)/60/$D166)</f>
        <v/>
      </c>
      <c r="M166" s="49" t="str">
        <f>IF($B166="","",SUMIFS(Data!$AL$2:$AL$1201,Data!$S$2:$S$1201,$B166))</f>
        <v/>
      </c>
      <c r="Z166" t="str">
        <f>IFERROR(INDEX(Data!$S$2:$S$1201,MATCH(159,Data!$Y$2:$Y$1201,0)),"")</f>
        <v/>
      </c>
    </row>
    <row r="167" spans="2:26" x14ac:dyDescent="0.25">
      <c r="B167" s="51" t="str">
        <f>IFERROR(SMALL(Rhythm!$Z$8:$Z$207,158),"")</f>
        <v/>
      </c>
      <c r="C167" s="42" t="str">
        <f t="shared" si="16"/>
        <v/>
      </c>
      <c r="D167" s="44" t="str">
        <f>IF($B167="","",SUMIFS(Data!$N$2:$N$1201,Data!$S$2:$S$1201,$B167)/60)</f>
        <v/>
      </c>
      <c r="E167" s="52" t="str">
        <f>IF($B167="","",IF(SUMIFS(Data!$O$2:$O$1201,Data!$S$2:$S$1201,$B167,Data!$AP$2:$AP$1201,1)=0,"",SUMIFS(Data!$O$2:$O$1201,Data!$S$2:$S$1201,$B167,Data!$AP$2:$AP$1201,1)-$B167))</f>
        <v/>
      </c>
      <c r="F167" s="52" t="str">
        <f>IF($B167="","",IF(SUMIFS(Data!$P$2:$P$1201,Data!$S$2:$S$1201,$B167,Data!$AQ$2:$AQ$1201,1)=0,"",SUMIFS(Data!$P$2:$P$1201,Data!$S$2:$S$1201,$B167,Data!$AQ$2:$AQ$1201,1)-$B167))</f>
        <v/>
      </c>
      <c r="G167" s="53" t="str">
        <f t="shared" si="17"/>
        <v/>
      </c>
      <c r="H167" s="53" t="str">
        <f t="shared" si="18"/>
        <v/>
      </c>
      <c r="I167" s="45" t="str">
        <f t="shared" si="19"/>
        <v/>
      </c>
      <c r="J167" s="47" t="str">
        <f>IF($B167="","",COUNTIFS(Data!$S$2:$S$1201,$B167,Data!$E$2:$E$1201,"timed"))</f>
        <v/>
      </c>
      <c r="K167" s="47" t="str">
        <f>IF($B167="","",SUMIFS(Data!$AG$2:$AG$1201,Data!$S$2:$S$1201,$B167))</f>
        <v/>
      </c>
      <c r="L167" s="45" t="str">
        <f>IF(OR($B167="",$D167=0),"",SUMIFS(Data!$N$2:$N$1201,Data!$S$2:$S$1201,$B167,Data!$AI$2:$AI$1201,1)/60/$D167)</f>
        <v/>
      </c>
      <c r="M167" s="49" t="str">
        <f>IF($B167="","",SUMIFS(Data!$AL$2:$AL$1201,Data!$S$2:$S$1201,$B167))</f>
        <v/>
      </c>
      <c r="Z167" t="str">
        <f>IFERROR(INDEX(Data!$S$2:$S$1201,MATCH(160,Data!$Y$2:$Y$1201,0)),"")</f>
        <v/>
      </c>
    </row>
    <row r="168" spans="2:26" x14ac:dyDescent="0.25">
      <c r="B168" s="51" t="str">
        <f>IFERROR(SMALL(Rhythm!$Z$8:$Z$207,159),"")</f>
        <v/>
      </c>
      <c r="C168" s="42" t="str">
        <f t="shared" si="16"/>
        <v/>
      </c>
      <c r="D168" s="44" t="str">
        <f>IF($B168="","",SUMIFS(Data!$N$2:$N$1201,Data!$S$2:$S$1201,$B168)/60)</f>
        <v/>
      </c>
      <c r="E168" s="52" t="str">
        <f>IF($B168="","",IF(SUMIFS(Data!$O$2:$O$1201,Data!$S$2:$S$1201,$B168,Data!$AP$2:$AP$1201,1)=0,"",SUMIFS(Data!$O$2:$O$1201,Data!$S$2:$S$1201,$B168,Data!$AP$2:$AP$1201,1)-$B168))</f>
        <v/>
      </c>
      <c r="F168" s="52" t="str">
        <f>IF($B168="","",IF(SUMIFS(Data!$P$2:$P$1201,Data!$S$2:$S$1201,$B168,Data!$AQ$2:$AQ$1201,1)=0,"",SUMIFS(Data!$P$2:$P$1201,Data!$S$2:$S$1201,$B168,Data!$AQ$2:$AQ$1201,1)-$B168))</f>
        <v/>
      </c>
      <c r="G168" s="53" t="str">
        <f t="shared" si="17"/>
        <v/>
      </c>
      <c r="H168" s="53" t="str">
        <f t="shared" si="18"/>
        <v/>
      </c>
      <c r="I168" s="45" t="str">
        <f t="shared" si="19"/>
        <v/>
      </c>
      <c r="J168" s="47" t="str">
        <f>IF($B168="","",COUNTIFS(Data!$S$2:$S$1201,$B168,Data!$E$2:$E$1201,"timed"))</f>
        <v/>
      </c>
      <c r="K168" s="47" t="str">
        <f>IF($B168="","",SUMIFS(Data!$AG$2:$AG$1201,Data!$S$2:$S$1201,$B168))</f>
        <v/>
      </c>
      <c r="L168" s="45" t="str">
        <f>IF(OR($B168="",$D168=0),"",SUMIFS(Data!$N$2:$N$1201,Data!$S$2:$S$1201,$B168,Data!$AI$2:$AI$1201,1)/60/$D168)</f>
        <v/>
      </c>
      <c r="M168" s="49" t="str">
        <f>IF($B168="","",SUMIFS(Data!$AL$2:$AL$1201,Data!$S$2:$S$1201,$B168))</f>
        <v/>
      </c>
      <c r="Z168" t="str">
        <f>IFERROR(INDEX(Data!$S$2:$S$1201,MATCH(161,Data!$Y$2:$Y$1201,0)),"")</f>
        <v/>
      </c>
    </row>
    <row r="169" spans="2:26" x14ac:dyDescent="0.25">
      <c r="B169" s="51" t="str">
        <f>IFERROR(SMALL(Rhythm!$Z$8:$Z$207,160),"")</f>
        <v/>
      </c>
      <c r="C169" s="42" t="str">
        <f t="shared" si="16"/>
        <v/>
      </c>
      <c r="D169" s="44" t="str">
        <f>IF($B169="","",SUMIFS(Data!$N$2:$N$1201,Data!$S$2:$S$1201,$B169)/60)</f>
        <v/>
      </c>
      <c r="E169" s="52" t="str">
        <f>IF($B169="","",IF(SUMIFS(Data!$O$2:$O$1201,Data!$S$2:$S$1201,$B169,Data!$AP$2:$AP$1201,1)=0,"",SUMIFS(Data!$O$2:$O$1201,Data!$S$2:$S$1201,$B169,Data!$AP$2:$AP$1201,1)-$B169))</f>
        <v/>
      </c>
      <c r="F169" s="52" t="str">
        <f>IF($B169="","",IF(SUMIFS(Data!$P$2:$P$1201,Data!$S$2:$S$1201,$B169,Data!$AQ$2:$AQ$1201,1)=0,"",SUMIFS(Data!$P$2:$P$1201,Data!$S$2:$S$1201,$B169,Data!$AQ$2:$AQ$1201,1)-$B169))</f>
        <v/>
      </c>
      <c r="G169" s="53" t="str">
        <f t="shared" si="17"/>
        <v/>
      </c>
      <c r="H169" s="53" t="str">
        <f t="shared" si="18"/>
        <v/>
      </c>
      <c r="I169" s="45" t="str">
        <f t="shared" si="19"/>
        <v/>
      </c>
      <c r="J169" s="47" t="str">
        <f>IF($B169="","",COUNTIFS(Data!$S$2:$S$1201,$B169,Data!$E$2:$E$1201,"timed"))</f>
        <v/>
      </c>
      <c r="K169" s="47" t="str">
        <f>IF($B169="","",SUMIFS(Data!$AG$2:$AG$1201,Data!$S$2:$S$1201,$B169))</f>
        <v/>
      </c>
      <c r="L169" s="45" t="str">
        <f>IF(OR($B169="",$D169=0),"",SUMIFS(Data!$N$2:$N$1201,Data!$S$2:$S$1201,$B169,Data!$AI$2:$AI$1201,1)/60/$D169)</f>
        <v/>
      </c>
      <c r="M169" s="49" t="str">
        <f>IF($B169="","",SUMIFS(Data!$AL$2:$AL$1201,Data!$S$2:$S$1201,$B169))</f>
        <v/>
      </c>
      <c r="Z169" t="str">
        <f>IFERROR(INDEX(Data!$S$2:$S$1201,MATCH(162,Data!$Y$2:$Y$1201,0)),"")</f>
        <v/>
      </c>
    </row>
    <row r="170" spans="2:26" x14ac:dyDescent="0.25">
      <c r="B170" s="51" t="str">
        <f>IFERROR(SMALL(Rhythm!$Z$8:$Z$207,161),"")</f>
        <v/>
      </c>
      <c r="C170" s="42" t="str">
        <f t="shared" ref="C170:C201" si="20">IF($B170="","",TEXT($B170,"ddd"))</f>
        <v/>
      </c>
      <c r="D170" s="44" t="str">
        <f>IF($B170="","",SUMIFS(Data!$N$2:$N$1201,Data!$S$2:$S$1201,$B170)/60)</f>
        <v/>
      </c>
      <c r="E170" s="52" t="str">
        <f>IF($B170="","",IF(SUMIFS(Data!$O$2:$O$1201,Data!$S$2:$S$1201,$B170,Data!$AP$2:$AP$1201,1)=0,"",SUMIFS(Data!$O$2:$O$1201,Data!$S$2:$S$1201,$B170,Data!$AP$2:$AP$1201,1)-$B170))</f>
        <v/>
      </c>
      <c r="F170" s="52" t="str">
        <f>IF($B170="","",IF(SUMIFS(Data!$P$2:$P$1201,Data!$S$2:$S$1201,$B170,Data!$AQ$2:$AQ$1201,1)=0,"",SUMIFS(Data!$P$2:$P$1201,Data!$S$2:$S$1201,$B170,Data!$AQ$2:$AQ$1201,1)-$B170))</f>
        <v/>
      </c>
      <c r="G170" s="53" t="str">
        <f t="shared" ref="G170:G201" si="21">IF($B170="","",MAX($D170,IF(OR($E170="",$F170="",$F170&lt;=$E170),0,($F170-$E170)*24)))</f>
        <v/>
      </c>
      <c r="H170" s="53" t="str">
        <f t="shared" ref="H170:H201" si="22">IF($G170="","",$G170-$D170)</f>
        <v/>
      </c>
      <c r="I170" s="45" t="str">
        <f t="shared" ref="I170:I201" si="23">IF(OR($G170="",$G170=0),"",$D170/$G170)</f>
        <v/>
      </c>
      <c r="J170" s="47" t="str">
        <f>IF($B170="","",COUNTIFS(Data!$S$2:$S$1201,$B170,Data!$E$2:$E$1201,"timed"))</f>
        <v/>
      </c>
      <c r="K170" s="47" t="str">
        <f>IF($B170="","",SUMIFS(Data!$AG$2:$AG$1201,Data!$S$2:$S$1201,$B170))</f>
        <v/>
      </c>
      <c r="L170" s="45" t="str">
        <f>IF(OR($B170="",$D170=0),"",SUMIFS(Data!$N$2:$N$1201,Data!$S$2:$S$1201,$B170,Data!$AI$2:$AI$1201,1)/60/$D170)</f>
        <v/>
      </c>
      <c r="M170" s="49" t="str">
        <f>IF($B170="","",SUMIFS(Data!$AL$2:$AL$1201,Data!$S$2:$S$1201,$B170))</f>
        <v/>
      </c>
      <c r="Z170" t="str">
        <f>IFERROR(INDEX(Data!$S$2:$S$1201,MATCH(163,Data!$Y$2:$Y$1201,0)),"")</f>
        <v/>
      </c>
    </row>
    <row r="171" spans="2:26" x14ac:dyDescent="0.25">
      <c r="B171" s="51" t="str">
        <f>IFERROR(SMALL(Rhythm!$Z$8:$Z$207,162),"")</f>
        <v/>
      </c>
      <c r="C171" s="42" t="str">
        <f t="shared" si="20"/>
        <v/>
      </c>
      <c r="D171" s="44" t="str">
        <f>IF($B171="","",SUMIFS(Data!$N$2:$N$1201,Data!$S$2:$S$1201,$B171)/60)</f>
        <v/>
      </c>
      <c r="E171" s="52" t="str">
        <f>IF($B171="","",IF(SUMIFS(Data!$O$2:$O$1201,Data!$S$2:$S$1201,$B171,Data!$AP$2:$AP$1201,1)=0,"",SUMIFS(Data!$O$2:$O$1201,Data!$S$2:$S$1201,$B171,Data!$AP$2:$AP$1201,1)-$B171))</f>
        <v/>
      </c>
      <c r="F171" s="52" t="str">
        <f>IF($B171="","",IF(SUMIFS(Data!$P$2:$P$1201,Data!$S$2:$S$1201,$B171,Data!$AQ$2:$AQ$1201,1)=0,"",SUMIFS(Data!$P$2:$P$1201,Data!$S$2:$S$1201,$B171,Data!$AQ$2:$AQ$1201,1)-$B171))</f>
        <v/>
      </c>
      <c r="G171" s="53" t="str">
        <f t="shared" si="21"/>
        <v/>
      </c>
      <c r="H171" s="53" t="str">
        <f t="shared" si="22"/>
        <v/>
      </c>
      <c r="I171" s="45" t="str">
        <f t="shared" si="23"/>
        <v/>
      </c>
      <c r="J171" s="47" t="str">
        <f>IF($B171="","",COUNTIFS(Data!$S$2:$S$1201,$B171,Data!$E$2:$E$1201,"timed"))</f>
        <v/>
      </c>
      <c r="K171" s="47" t="str">
        <f>IF($B171="","",SUMIFS(Data!$AG$2:$AG$1201,Data!$S$2:$S$1201,$B171))</f>
        <v/>
      </c>
      <c r="L171" s="45" t="str">
        <f>IF(OR($B171="",$D171=0),"",SUMIFS(Data!$N$2:$N$1201,Data!$S$2:$S$1201,$B171,Data!$AI$2:$AI$1201,1)/60/$D171)</f>
        <v/>
      </c>
      <c r="M171" s="49" t="str">
        <f>IF($B171="","",SUMIFS(Data!$AL$2:$AL$1201,Data!$S$2:$S$1201,$B171))</f>
        <v/>
      </c>
      <c r="Z171" t="str">
        <f>IFERROR(INDEX(Data!$S$2:$S$1201,MATCH(164,Data!$Y$2:$Y$1201,0)),"")</f>
        <v/>
      </c>
    </row>
    <row r="172" spans="2:26" x14ac:dyDescent="0.25">
      <c r="B172" s="51" t="str">
        <f>IFERROR(SMALL(Rhythm!$Z$8:$Z$207,163),"")</f>
        <v/>
      </c>
      <c r="C172" s="42" t="str">
        <f t="shared" si="20"/>
        <v/>
      </c>
      <c r="D172" s="44" t="str">
        <f>IF($B172="","",SUMIFS(Data!$N$2:$N$1201,Data!$S$2:$S$1201,$B172)/60)</f>
        <v/>
      </c>
      <c r="E172" s="52" t="str">
        <f>IF($B172="","",IF(SUMIFS(Data!$O$2:$O$1201,Data!$S$2:$S$1201,$B172,Data!$AP$2:$AP$1201,1)=0,"",SUMIFS(Data!$O$2:$O$1201,Data!$S$2:$S$1201,$B172,Data!$AP$2:$AP$1201,1)-$B172))</f>
        <v/>
      </c>
      <c r="F172" s="52" t="str">
        <f>IF($B172="","",IF(SUMIFS(Data!$P$2:$P$1201,Data!$S$2:$S$1201,$B172,Data!$AQ$2:$AQ$1201,1)=0,"",SUMIFS(Data!$P$2:$P$1201,Data!$S$2:$S$1201,$B172,Data!$AQ$2:$AQ$1201,1)-$B172))</f>
        <v/>
      </c>
      <c r="G172" s="53" t="str">
        <f t="shared" si="21"/>
        <v/>
      </c>
      <c r="H172" s="53" t="str">
        <f t="shared" si="22"/>
        <v/>
      </c>
      <c r="I172" s="45" t="str">
        <f t="shared" si="23"/>
        <v/>
      </c>
      <c r="J172" s="47" t="str">
        <f>IF($B172="","",COUNTIFS(Data!$S$2:$S$1201,$B172,Data!$E$2:$E$1201,"timed"))</f>
        <v/>
      </c>
      <c r="K172" s="47" t="str">
        <f>IF($B172="","",SUMIFS(Data!$AG$2:$AG$1201,Data!$S$2:$S$1201,$B172))</f>
        <v/>
      </c>
      <c r="L172" s="45" t="str">
        <f>IF(OR($B172="",$D172=0),"",SUMIFS(Data!$N$2:$N$1201,Data!$S$2:$S$1201,$B172,Data!$AI$2:$AI$1201,1)/60/$D172)</f>
        <v/>
      </c>
      <c r="M172" s="49" t="str">
        <f>IF($B172="","",SUMIFS(Data!$AL$2:$AL$1201,Data!$S$2:$S$1201,$B172))</f>
        <v/>
      </c>
      <c r="Z172" t="str">
        <f>IFERROR(INDEX(Data!$S$2:$S$1201,MATCH(165,Data!$Y$2:$Y$1201,0)),"")</f>
        <v/>
      </c>
    </row>
    <row r="173" spans="2:26" x14ac:dyDescent="0.25">
      <c r="B173" s="51" t="str">
        <f>IFERROR(SMALL(Rhythm!$Z$8:$Z$207,164),"")</f>
        <v/>
      </c>
      <c r="C173" s="42" t="str">
        <f t="shared" si="20"/>
        <v/>
      </c>
      <c r="D173" s="44" t="str">
        <f>IF($B173="","",SUMIFS(Data!$N$2:$N$1201,Data!$S$2:$S$1201,$B173)/60)</f>
        <v/>
      </c>
      <c r="E173" s="52" t="str">
        <f>IF($B173="","",IF(SUMIFS(Data!$O$2:$O$1201,Data!$S$2:$S$1201,$B173,Data!$AP$2:$AP$1201,1)=0,"",SUMIFS(Data!$O$2:$O$1201,Data!$S$2:$S$1201,$B173,Data!$AP$2:$AP$1201,1)-$B173))</f>
        <v/>
      </c>
      <c r="F173" s="52" t="str">
        <f>IF($B173="","",IF(SUMIFS(Data!$P$2:$P$1201,Data!$S$2:$S$1201,$B173,Data!$AQ$2:$AQ$1201,1)=0,"",SUMIFS(Data!$P$2:$P$1201,Data!$S$2:$S$1201,$B173,Data!$AQ$2:$AQ$1201,1)-$B173))</f>
        <v/>
      </c>
      <c r="G173" s="53" t="str">
        <f t="shared" si="21"/>
        <v/>
      </c>
      <c r="H173" s="53" t="str">
        <f t="shared" si="22"/>
        <v/>
      </c>
      <c r="I173" s="45" t="str">
        <f t="shared" si="23"/>
        <v/>
      </c>
      <c r="J173" s="47" t="str">
        <f>IF($B173="","",COUNTIFS(Data!$S$2:$S$1201,$B173,Data!$E$2:$E$1201,"timed"))</f>
        <v/>
      </c>
      <c r="K173" s="47" t="str">
        <f>IF($B173="","",SUMIFS(Data!$AG$2:$AG$1201,Data!$S$2:$S$1201,$B173))</f>
        <v/>
      </c>
      <c r="L173" s="45" t="str">
        <f>IF(OR($B173="",$D173=0),"",SUMIFS(Data!$N$2:$N$1201,Data!$S$2:$S$1201,$B173,Data!$AI$2:$AI$1201,1)/60/$D173)</f>
        <v/>
      </c>
      <c r="M173" s="49" t="str">
        <f>IF($B173="","",SUMIFS(Data!$AL$2:$AL$1201,Data!$S$2:$S$1201,$B173))</f>
        <v/>
      </c>
      <c r="Z173" t="str">
        <f>IFERROR(INDEX(Data!$S$2:$S$1201,MATCH(166,Data!$Y$2:$Y$1201,0)),"")</f>
        <v/>
      </c>
    </row>
    <row r="174" spans="2:26" x14ac:dyDescent="0.25">
      <c r="B174" s="51" t="str">
        <f>IFERROR(SMALL(Rhythm!$Z$8:$Z$207,165),"")</f>
        <v/>
      </c>
      <c r="C174" s="42" t="str">
        <f t="shared" si="20"/>
        <v/>
      </c>
      <c r="D174" s="44" t="str">
        <f>IF($B174="","",SUMIFS(Data!$N$2:$N$1201,Data!$S$2:$S$1201,$B174)/60)</f>
        <v/>
      </c>
      <c r="E174" s="52" t="str">
        <f>IF($B174="","",IF(SUMIFS(Data!$O$2:$O$1201,Data!$S$2:$S$1201,$B174,Data!$AP$2:$AP$1201,1)=0,"",SUMIFS(Data!$O$2:$O$1201,Data!$S$2:$S$1201,$B174,Data!$AP$2:$AP$1201,1)-$B174))</f>
        <v/>
      </c>
      <c r="F174" s="52" t="str">
        <f>IF($B174="","",IF(SUMIFS(Data!$P$2:$P$1201,Data!$S$2:$S$1201,$B174,Data!$AQ$2:$AQ$1201,1)=0,"",SUMIFS(Data!$P$2:$P$1201,Data!$S$2:$S$1201,$B174,Data!$AQ$2:$AQ$1201,1)-$B174))</f>
        <v/>
      </c>
      <c r="G174" s="53" t="str">
        <f t="shared" si="21"/>
        <v/>
      </c>
      <c r="H174" s="53" t="str">
        <f t="shared" si="22"/>
        <v/>
      </c>
      <c r="I174" s="45" t="str">
        <f t="shared" si="23"/>
        <v/>
      </c>
      <c r="J174" s="47" t="str">
        <f>IF($B174="","",COUNTIFS(Data!$S$2:$S$1201,$B174,Data!$E$2:$E$1201,"timed"))</f>
        <v/>
      </c>
      <c r="K174" s="47" t="str">
        <f>IF($B174="","",SUMIFS(Data!$AG$2:$AG$1201,Data!$S$2:$S$1201,$B174))</f>
        <v/>
      </c>
      <c r="L174" s="45" t="str">
        <f>IF(OR($B174="",$D174=0),"",SUMIFS(Data!$N$2:$N$1201,Data!$S$2:$S$1201,$B174,Data!$AI$2:$AI$1201,1)/60/$D174)</f>
        <v/>
      </c>
      <c r="M174" s="49" t="str">
        <f>IF($B174="","",SUMIFS(Data!$AL$2:$AL$1201,Data!$S$2:$S$1201,$B174))</f>
        <v/>
      </c>
      <c r="Z174" t="str">
        <f>IFERROR(INDEX(Data!$S$2:$S$1201,MATCH(167,Data!$Y$2:$Y$1201,0)),"")</f>
        <v/>
      </c>
    </row>
    <row r="175" spans="2:26" x14ac:dyDescent="0.25">
      <c r="B175" s="51" t="str">
        <f>IFERROR(SMALL(Rhythm!$Z$8:$Z$207,166),"")</f>
        <v/>
      </c>
      <c r="C175" s="42" t="str">
        <f t="shared" si="20"/>
        <v/>
      </c>
      <c r="D175" s="44" t="str">
        <f>IF($B175="","",SUMIFS(Data!$N$2:$N$1201,Data!$S$2:$S$1201,$B175)/60)</f>
        <v/>
      </c>
      <c r="E175" s="52" t="str">
        <f>IF($B175="","",IF(SUMIFS(Data!$O$2:$O$1201,Data!$S$2:$S$1201,$B175,Data!$AP$2:$AP$1201,1)=0,"",SUMIFS(Data!$O$2:$O$1201,Data!$S$2:$S$1201,$B175,Data!$AP$2:$AP$1201,1)-$B175))</f>
        <v/>
      </c>
      <c r="F175" s="52" t="str">
        <f>IF($B175="","",IF(SUMIFS(Data!$P$2:$P$1201,Data!$S$2:$S$1201,$B175,Data!$AQ$2:$AQ$1201,1)=0,"",SUMIFS(Data!$P$2:$P$1201,Data!$S$2:$S$1201,$B175,Data!$AQ$2:$AQ$1201,1)-$B175))</f>
        <v/>
      </c>
      <c r="G175" s="53" t="str">
        <f t="shared" si="21"/>
        <v/>
      </c>
      <c r="H175" s="53" t="str">
        <f t="shared" si="22"/>
        <v/>
      </c>
      <c r="I175" s="45" t="str">
        <f t="shared" si="23"/>
        <v/>
      </c>
      <c r="J175" s="47" t="str">
        <f>IF($B175="","",COUNTIFS(Data!$S$2:$S$1201,$B175,Data!$E$2:$E$1201,"timed"))</f>
        <v/>
      </c>
      <c r="K175" s="47" t="str">
        <f>IF($B175="","",SUMIFS(Data!$AG$2:$AG$1201,Data!$S$2:$S$1201,$B175))</f>
        <v/>
      </c>
      <c r="L175" s="45" t="str">
        <f>IF(OR($B175="",$D175=0),"",SUMIFS(Data!$N$2:$N$1201,Data!$S$2:$S$1201,$B175,Data!$AI$2:$AI$1201,1)/60/$D175)</f>
        <v/>
      </c>
      <c r="M175" s="49" t="str">
        <f>IF($B175="","",SUMIFS(Data!$AL$2:$AL$1201,Data!$S$2:$S$1201,$B175))</f>
        <v/>
      </c>
      <c r="Z175" t="str">
        <f>IFERROR(INDEX(Data!$S$2:$S$1201,MATCH(168,Data!$Y$2:$Y$1201,0)),"")</f>
        <v/>
      </c>
    </row>
    <row r="176" spans="2:26" x14ac:dyDescent="0.25">
      <c r="B176" s="51" t="str">
        <f>IFERROR(SMALL(Rhythm!$Z$8:$Z$207,167),"")</f>
        <v/>
      </c>
      <c r="C176" s="42" t="str">
        <f t="shared" si="20"/>
        <v/>
      </c>
      <c r="D176" s="44" t="str">
        <f>IF($B176="","",SUMIFS(Data!$N$2:$N$1201,Data!$S$2:$S$1201,$B176)/60)</f>
        <v/>
      </c>
      <c r="E176" s="52" t="str">
        <f>IF($B176="","",IF(SUMIFS(Data!$O$2:$O$1201,Data!$S$2:$S$1201,$B176,Data!$AP$2:$AP$1201,1)=0,"",SUMIFS(Data!$O$2:$O$1201,Data!$S$2:$S$1201,$B176,Data!$AP$2:$AP$1201,1)-$B176))</f>
        <v/>
      </c>
      <c r="F176" s="52" t="str">
        <f>IF($B176="","",IF(SUMIFS(Data!$P$2:$P$1201,Data!$S$2:$S$1201,$B176,Data!$AQ$2:$AQ$1201,1)=0,"",SUMIFS(Data!$P$2:$P$1201,Data!$S$2:$S$1201,$B176,Data!$AQ$2:$AQ$1201,1)-$B176))</f>
        <v/>
      </c>
      <c r="G176" s="53" t="str">
        <f t="shared" si="21"/>
        <v/>
      </c>
      <c r="H176" s="53" t="str">
        <f t="shared" si="22"/>
        <v/>
      </c>
      <c r="I176" s="45" t="str">
        <f t="shared" si="23"/>
        <v/>
      </c>
      <c r="J176" s="47" t="str">
        <f>IF($B176="","",COUNTIFS(Data!$S$2:$S$1201,$B176,Data!$E$2:$E$1201,"timed"))</f>
        <v/>
      </c>
      <c r="K176" s="47" t="str">
        <f>IF($B176="","",SUMIFS(Data!$AG$2:$AG$1201,Data!$S$2:$S$1201,$B176))</f>
        <v/>
      </c>
      <c r="L176" s="45" t="str">
        <f>IF(OR($B176="",$D176=0),"",SUMIFS(Data!$N$2:$N$1201,Data!$S$2:$S$1201,$B176,Data!$AI$2:$AI$1201,1)/60/$D176)</f>
        <v/>
      </c>
      <c r="M176" s="49" t="str">
        <f>IF($B176="","",SUMIFS(Data!$AL$2:$AL$1201,Data!$S$2:$S$1201,$B176))</f>
        <v/>
      </c>
      <c r="Z176" t="str">
        <f>IFERROR(INDEX(Data!$S$2:$S$1201,MATCH(169,Data!$Y$2:$Y$1201,0)),"")</f>
        <v/>
      </c>
    </row>
    <row r="177" spans="2:26" x14ac:dyDescent="0.25">
      <c r="B177" s="51" t="str">
        <f>IFERROR(SMALL(Rhythm!$Z$8:$Z$207,168),"")</f>
        <v/>
      </c>
      <c r="C177" s="42" t="str">
        <f t="shared" si="20"/>
        <v/>
      </c>
      <c r="D177" s="44" t="str">
        <f>IF($B177="","",SUMIFS(Data!$N$2:$N$1201,Data!$S$2:$S$1201,$B177)/60)</f>
        <v/>
      </c>
      <c r="E177" s="52" t="str">
        <f>IF($B177="","",IF(SUMIFS(Data!$O$2:$O$1201,Data!$S$2:$S$1201,$B177,Data!$AP$2:$AP$1201,1)=0,"",SUMIFS(Data!$O$2:$O$1201,Data!$S$2:$S$1201,$B177,Data!$AP$2:$AP$1201,1)-$B177))</f>
        <v/>
      </c>
      <c r="F177" s="52" t="str">
        <f>IF($B177="","",IF(SUMIFS(Data!$P$2:$P$1201,Data!$S$2:$S$1201,$B177,Data!$AQ$2:$AQ$1201,1)=0,"",SUMIFS(Data!$P$2:$P$1201,Data!$S$2:$S$1201,$B177,Data!$AQ$2:$AQ$1201,1)-$B177))</f>
        <v/>
      </c>
      <c r="G177" s="53" t="str">
        <f t="shared" si="21"/>
        <v/>
      </c>
      <c r="H177" s="53" t="str">
        <f t="shared" si="22"/>
        <v/>
      </c>
      <c r="I177" s="45" t="str">
        <f t="shared" si="23"/>
        <v/>
      </c>
      <c r="J177" s="47" t="str">
        <f>IF($B177="","",COUNTIFS(Data!$S$2:$S$1201,$B177,Data!$E$2:$E$1201,"timed"))</f>
        <v/>
      </c>
      <c r="K177" s="47" t="str">
        <f>IF($B177="","",SUMIFS(Data!$AG$2:$AG$1201,Data!$S$2:$S$1201,$B177))</f>
        <v/>
      </c>
      <c r="L177" s="45" t="str">
        <f>IF(OR($B177="",$D177=0),"",SUMIFS(Data!$N$2:$N$1201,Data!$S$2:$S$1201,$B177,Data!$AI$2:$AI$1201,1)/60/$D177)</f>
        <v/>
      </c>
      <c r="M177" s="49" t="str">
        <f>IF($B177="","",SUMIFS(Data!$AL$2:$AL$1201,Data!$S$2:$S$1201,$B177))</f>
        <v/>
      </c>
      <c r="Z177" t="str">
        <f>IFERROR(INDEX(Data!$S$2:$S$1201,MATCH(170,Data!$Y$2:$Y$1201,0)),"")</f>
        <v/>
      </c>
    </row>
    <row r="178" spans="2:26" x14ac:dyDescent="0.25">
      <c r="B178" s="51" t="str">
        <f>IFERROR(SMALL(Rhythm!$Z$8:$Z$207,169),"")</f>
        <v/>
      </c>
      <c r="C178" s="42" t="str">
        <f t="shared" si="20"/>
        <v/>
      </c>
      <c r="D178" s="44" t="str">
        <f>IF($B178="","",SUMIFS(Data!$N$2:$N$1201,Data!$S$2:$S$1201,$B178)/60)</f>
        <v/>
      </c>
      <c r="E178" s="52" t="str">
        <f>IF($B178="","",IF(SUMIFS(Data!$O$2:$O$1201,Data!$S$2:$S$1201,$B178,Data!$AP$2:$AP$1201,1)=0,"",SUMIFS(Data!$O$2:$O$1201,Data!$S$2:$S$1201,$B178,Data!$AP$2:$AP$1201,1)-$B178))</f>
        <v/>
      </c>
      <c r="F178" s="52" t="str">
        <f>IF($B178="","",IF(SUMIFS(Data!$P$2:$P$1201,Data!$S$2:$S$1201,$B178,Data!$AQ$2:$AQ$1201,1)=0,"",SUMIFS(Data!$P$2:$P$1201,Data!$S$2:$S$1201,$B178,Data!$AQ$2:$AQ$1201,1)-$B178))</f>
        <v/>
      </c>
      <c r="G178" s="53" t="str">
        <f t="shared" si="21"/>
        <v/>
      </c>
      <c r="H178" s="53" t="str">
        <f t="shared" si="22"/>
        <v/>
      </c>
      <c r="I178" s="45" t="str">
        <f t="shared" si="23"/>
        <v/>
      </c>
      <c r="J178" s="47" t="str">
        <f>IF($B178="","",COUNTIFS(Data!$S$2:$S$1201,$B178,Data!$E$2:$E$1201,"timed"))</f>
        <v/>
      </c>
      <c r="K178" s="47" t="str">
        <f>IF($B178="","",SUMIFS(Data!$AG$2:$AG$1201,Data!$S$2:$S$1201,$B178))</f>
        <v/>
      </c>
      <c r="L178" s="45" t="str">
        <f>IF(OR($B178="",$D178=0),"",SUMIFS(Data!$N$2:$N$1201,Data!$S$2:$S$1201,$B178,Data!$AI$2:$AI$1201,1)/60/$D178)</f>
        <v/>
      </c>
      <c r="M178" s="49" t="str">
        <f>IF($B178="","",SUMIFS(Data!$AL$2:$AL$1201,Data!$S$2:$S$1201,$B178))</f>
        <v/>
      </c>
      <c r="Z178" t="str">
        <f>IFERROR(INDEX(Data!$S$2:$S$1201,MATCH(171,Data!$Y$2:$Y$1201,0)),"")</f>
        <v/>
      </c>
    </row>
    <row r="179" spans="2:26" x14ac:dyDescent="0.25">
      <c r="B179" s="51" t="str">
        <f>IFERROR(SMALL(Rhythm!$Z$8:$Z$207,170),"")</f>
        <v/>
      </c>
      <c r="C179" s="42" t="str">
        <f t="shared" si="20"/>
        <v/>
      </c>
      <c r="D179" s="44" t="str">
        <f>IF($B179="","",SUMIFS(Data!$N$2:$N$1201,Data!$S$2:$S$1201,$B179)/60)</f>
        <v/>
      </c>
      <c r="E179" s="52" t="str">
        <f>IF($B179="","",IF(SUMIFS(Data!$O$2:$O$1201,Data!$S$2:$S$1201,$B179,Data!$AP$2:$AP$1201,1)=0,"",SUMIFS(Data!$O$2:$O$1201,Data!$S$2:$S$1201,$B179,Data!$AP$2:$AP$1201,1)-$B179))</f>
        <v/>
      </c>
      <c r="F179" s="52" t="str">
        <f>IF($B179="","",IF(SUMIFS(Data!$P$2:$P$1201,Data!$S$2:$S$1201,$B179,Data!$AQ$2:$AQ$1201,1)=0,"",SUMIFS(Data!$P$2:$P$1201,Data!$S$2:$S$1201,$B179,Data!$AQ$2:$AQ$1201,1)-$B179))</f>
        <v/>
      </c>
      <c r="G179" s="53" t="str">
        <f t="shared" si="21"/>
        <v/>
      </c>
      <c r="H179" s="53" t="str">
        <f t="shared" si="22"/>
        <v/>
      </c>
      <c r="I179" s="45" t="str">
        <f t="shared" si="23"/>
        <v/>
      </c>
      <c r="J179" s="47" t="str">
        <f>IF($B179="","",COUNTIFS(Data!$S$2:$S$1201,$B179,Data!$E$2:$E$1201,"timed"))</f>
        <v/>
      </c>
      <c r="K179" s="47" t="str">
        <f>IF($B179="","",SUMIFS(Data!$AG$2:$AG$1201,Data!$S$2:$S$1201,$B179))</f>
        <v/>
      </c>
      <c r="L179" s="45" t="str">
        <f>IF(OR($B179="",$D179=0),"",SUMIFS(Data!$N$2:$N$1201,Data!$S$2:$S$1201,$B179,Data!$AI$2:$AI$1201,1)/60/$D179)</f>
        <v/>
      </c>
      <c r="M179" s="49" t="str">
        <f>IF($B179="","",SUMIFS(Data!$AL$2:$AL$1201,Data!$S$2:$S$1201,$B179))</f>
        <v/>
      </c>
      <c r="Z179" t="str">
        <f>IFERROR(INDEX(Data!$S$2:$S$1201,MATCH(172,Data!$Y$2:$Y$1201,0)),"")</f>
        <v/>
      </c>
    </row>
    <row r="180" spans="2:26" x14ac:dyDescent="0.25">
      <c r="B180" s="51" t="str">
        <f>IFERROR(SMALL(Rhythm!$Z$8:$Z$207,171),"")</f>
        <v/>
      </c>
      <c r="C180" s="42" t="str">
        <f t="shared" si="20"/>
        <v/>
      </c>
      <c r="D180" s="44" t="str">
        <f>IF($B180="","",SUMIFS(Data!$N$2:$N$1201,Data!$S$2:$S$1201,$B180)/60)</f>
        <v/>
      </c>
      <c r="E180" s="52" t="str">
        <f>IF($B180="","",IF(SUMIFS(Data!$O$2:$O$1201,Data!$S$2:$S$1201,$B180,Data!$AP$2:$AP$1201,1)=0,"",SUMIFS(Data!$O$2:$O$1201,Data!$S$2:$S$1201,$B180,Data!$AP$2:$AP$1201,1)-$B180))</f>
        <v/>
      </c>
      <c r="F180" s="52" t="str">
        <f>IF($B180="","",IF(SUMIFS(Data!$P$2:$P$1201,Data!$S$2:$S$1201,$B180,Data!$AQ$2:$AQ$1201,1)=0,"",SUMIFS(Data!$P$2:$P$1201,Data!$S$2:$S$1201,$B180,Data!$AQ$2:$AQ$1201,1)-$B180))</f>
        <v/>
      </c>
      <c r="G180" s="53" t="str">
        <f t="shared" si="21"/>
        <v/>
      </c>
      <c r="H180" s="53" t="str">
        <f t="shared" si="22"/>
        <v/>
      </c>
      <c r="I180" s="45" t="str">
        <f t="shared" si="23"/>
        <v/>
      </c>
      <c r="J180" s="47" t="str">
        <f>IF($B180="","",COUNTIFS(Data!$S$2:$S$1201,$B180,Data!$E$2:$E$1201,"timed"))</f>
        <v/>
      </c>
      <c r="K180" s="47" t="str">
        <f>IF($B180="","",SUMIFS(Data!$AG$2:$AG$1201,Data!$S$2:$S$1201,$B180))</f>
        <v/>
      </c>
      <c r="L180" s="45" t="str">
        <f>IF(OR($B180="",$D180=0),"",SUMIFS(Data!$N$2:$N$1201,Data!$S$2:$S$1201,$B180,Data!$AI$2:$AI$1201,1)/60/$D180)</f>
        <v/>
      </c>
      <c r="M180" s="49" t="str">
        <f>IF($B180="","",SUMIFS(Data!$AL$2:$AL$1201,Data!$S$2:$S$1201,$B180))</f>
        <v/>
      </c>
      <c r="Z180" t="str">
        <f>IFERROR(INDEX(Data!$S$2:$S$1201,MATCH(173,Data!$Y$2:$Y$1201,0)),"")</f>
        <v/>
      </c>
    </row>
    <row r="181" spans="2:26" x14ac:dyDescent="0.25">
      <c r="B181" s="51" t="str">
        <f>IFERROR(SMALL(Rhythm!$Z$8:$Z$207,172),"")</f>
        <v/>
      </c>
      <c r="C181" s="42" t="str">
        <f t="shared" si="20"/>
        <v/>
      </c>
      <c r="D181" s="44" t="str">
        <f>IF($B181="","",SUMIFS(Data!$N$2:$N$1201,Data!$S$2:$S$1201,$B181)/60)</f>
        <v/>
      </c>
      <c r="E181" s="52" t="str">
        <f>IF($B181="","",IF(SUMIFS(Data!$O$2:$O$1201,Data!$S$2:$S$1201,$B181,Data!$AP$2:$AP$1201,1)=0,"",SUMIFS(Data!$O$2:$O$1201,Data!$S$2:$S$1201,$B181,Data!$AP$2:$AP$1201,1)-$B181))</f>
        <v/>
      </c>
      <c r="F181" s="52" t="str">
        <f>IF($B181="","",IF(SUMIFS(Data!$P$2:$P$1201,Data!$S$2:$S$1201,$B181,Data!$AQ$2:$AQ$1201,1)=0,"",SUMIFS(Data!$P$2:$P$1201,Data!$S$2:$S$1201,$B181,Data!$AQ$2:$AQ$1201,1)-$B181))</f>
        <v/>
      </c>
      <c r="G181" s="53" t="str">
        <f t="shared" si="21"/>
        <v/>
      </c>
      <c r="H181" s="53" t="str">
        <f t="shared" si="22"/>
        <v/>
      </c>
      <c r="I181" s="45" t="str">
        <f t="shared" si="23"/>
        <v/>
      </c>
      <c r="J181" s="47" t="str">
        <f>IF($B181="","",COUNTIFS(Data!$S$2:$S$1201,$B181,Data!$E$2:$E$1201,"timed"))</f>
        <v/>
      </c>
      <c r="K181" s="47" t="str">
        <f>IF($B181="","",SUMIFS(Data!$AG$2:$AG$1201,Data!$S$2:$S$1201,$B181))</f>
        <v/>
      </c>
      <c r="L181" s="45" t="str">
        <f>IF(OR($B181="",$D181=0),"",SUMIFS(Data!$N$2:$N$1201,Data!$S$2:$S$1201,$B181,Data!$AI$2:$AI$1201,1)/60/$D181)</f>
        <v/>
      </c>
      <c r="M181" s="49" t="str">
        <f>IF($B181="","",SUMIFS(Data!$AL$2:$AL$1201,Data!$S$2:$S$1201,$B181))</f>
        <v/>
      </c>
      <c r="Z181" t="str">
        <f>IFERROR(INDEX(Data!$S$2:$S$1201,MATCH(174,Data!$Y$2:$Y$1201,0)),"")</f>
        <v/>
      </c>
    </row>
    <row r="182" spans="2:26" x14ac:dyDescent="0.25">
      <c r="B182" s="51" t="str">
        <f>IFERROR(SMALL(Rhythm!$Z$8:$Z$207,173),"")</f>
        <v/>
      </c>
      <c r="C182" s="42" t="str">
        <f t="shared" si="20"/>
        <v/>
      </c>
      <c r="D182" s="44" t="str">
        <f>IF($B182="","",SUMIFS(Data!$N$2:$N$1201,Data!$S$2:$S$1201,$B182)/60)</f>
        <v/>
      </c>
      <c r="E182" s="52" t="str">
        <f>IF($B182="","",IF(SUMIFS(Data!$O$2:$O$1201,Data!$S$2:$S$1201,$B182,Data!$AP$2:$AP$1201,1)=0,"",SUMIFS(Data!$O$2:$O$1201,Data!$S$2:$S$1201,$B182,Data!$AP$2:$AP$1201,1)-$B182))</f>
        <v/>
      </c>
      <c r="F182" s="52" t="str">
        <f>IF($B182="","",IF(SUMIFS(Data!$P$2:$P$1201,Data!$S$2:$S$1201,$B182,Data!$AQ$2:$AQ$1201,1)=0,"",SUMIFS(Data!$P$2:$P$1201,Data!$S$2:$S$1201,$B182,Data!$AQ$2:$AQ$1201,1)-$B182))</f>
        <v/>
      </c>
      <c r="G182" s="53" t="str">
        <f t="shared" si="21"/>
        <v/>
      </c>
      <c r="H182" s="53" t="str">
        <f t="shared" si="22"/>
        <v/>
      </c>
      <c r="I182" s="45" t="str">
        <f t="shared" si="23"/>
        <v/>
      </c>
      <c r="J182" s="47" t="str">
        <f>IF($B182="","",COUNTIFS(Data!$S$2:$S$1201,$B182,Data!$E$2:$E$1201,"timed"))</f>
        <v/>
      </c>
      <c r="K182" s="47" t="str">
        <f>IF($B182="","",SUMIFS(Data!$AG$2:$AG$1201,Data!$S$2:$S$1201,$B182))</f>
        <v/>
      </c>
      <c r="L182" s="45" t="str">
        <f>IF(OR($B182="",$D182=0),"",SUMIFS(Data!$N$2:$N$1201,Data!$S$2:$S$1201,$B182,Data!$AI$2:$AI$1201,1)/60/$D182)</f>
        <v/>
      </c>
      <c r="M182" s="49" t="str">
        <f>IF($B182="","",SUMIFS(Data!$AL$2:$AL$1201,Data!$S$2:$S$1201,$B182))</f>
        <v/>
      </c>
      <c r="Z182" t="str">
        <f>IFERROR(INDEX(Data!$S$2:$S$1201,MATCH(175,Data!$Y$2:$Y$1201,0)),"")</f>
        <v/>
      </c>
    </row>
    <row r="183" spans="2:26" x14ac:dyDescent="0.25">
      <c r="B183" s="51" t="str">
        <f>IFERROR(SMALL(Rhythm!$Z$8:$Z$207,174),"")</f>
        <v/>
      </c>
      <c r="C183" s="42" t="str">
        <f t="shared" si="20"/>
        <v/>
      </c>
      <c r="D183" s="44" t="str">
        <f>IF($B183="","",SUMIFS(Data!$N$2:$N$1201,Data!$S$2:$S$1201,$B183)/60)</f>
        <v/>
      </c>
      <c r="E183" s="52" t="str">
        <f>IF($B183="","",IF(SUMIFS(Data!$O$2:$O$1201,Data!$S$2:$S$1201,$B183,Data!$AP$2:$AP$1201,1)=0,"",SUMIFS(Data!$O$2:$O$1201,Data!$S$2:$S$1201,$B183,Data!$AP$2:$AP$1201,1)-$B183))</f>
        <v/>
      </c>
      <c r="F183" s="52" t="str">
        <f>IF($B183="","",IF(SUMIFS(Data!$P$2:$P$1201,Data!$S$2:$S$1201,$B183,Data!$AQ$2:$AQ$1201,1)=0,"",SUMIFS(Data!$P$2:$P$1201,Data!$S$2:$S$1201,$B183,Data!$AQ$2:$AQ$1201,1)-$B183))</f>
        <v/>
      </c>
      <c r="G183" s="53" t="str">
        <f t="shared" si="21"/>
        <v/>
      </c>
      <c r="H183" s="53" t="str">
        <f t="shared" si="22"/>
        <v/>
      </c>
      <c r="I183" s="45" t="str">
        <f t="shared" si="23"/>
        <v/>
      </c>
      <c r="J183" s="47" t="str">
        <f>IF($B183="","",COUNTIFS(Data!$S$2:$S$1201,$B183,Data!$E$2:$E$1201,"timed"))</f>
        <v/>
      </c>
      <c r="K183" s="47" t="str">
        <f>IF($B183="","",SUMIFS(Data!$AG$2:$AG$1201,Data!$S$2:$S$1201,$B183))</f>
        <v/>
      </c>
      <c r="L183" s="45" t="str">
        <f>IF(OR($B183="",$D183=0),"",SUMIFS(Data!$N$2:$N$1201,Data!$S$2:$S$1201,$B183,Data!$AI$2:$AI$1201,1)/60/$D183)</f>
        <v/>
      </c>
      <c r="M183" s="49" t="str">
        <f>IF($B183="","",SUMIFS(Data!$AL$2:$AL$1201,Data!$S$2:$S$1201,$B183))</f>
        <v/>
      </c>
      <c r="Z183" t="str">
        <f>IFERROR(INDEX(Data!$S$2:$S$1201,MATCH(176,Data!$Y$2:$Y$1201,0)),"")</f>
        <v/>
      </c>
    </row>
    <row r="184" spans="2:26" x14ac:dyDescent="0.25">
      <c r="B184" s="51" t="str">
        <f>IFERROR(SMALL(Rhythm!$Z$8:$Z$207,175),"")</f>
        <v/>
      </c>
      <c r="C184" s="42" t="str">
        <f t="shared" si="20"/>
        <v/>
      </c>
      <c r="D184" s="44" t="str">
        <f>IF($B184="","",SUMIFS(Data!$N$2:$N$1201,Data!$S$2:$S$1201,$B184)/60)</f>
        <v/>
      </c>
      <c r="E184" s="52" t="str">
        <f>IF($B184="","",IF(SUMIFS(Data!$O$2:$O$1201,Data!$S$2:$S$1201,$B184,Data!$AP$2:$AP$1201,1)=0,"",SUMIFS(Data!$O$2:$O$1201,Data!$S$2:$S$1201,$B184,Data!$AP$2:$AP$1201,1)-$B184))</f>
        <v/>
      </c>
      <c r="F184" s="52" t="str">
        <f>IF($B184="","",IF(SUMIFS(Data!$P$2:$P$1201,Data!$S$2:$S$1201,$B184,Data!$AQ$2:$AQ$1201,1)=0,"",SUMIFS(Data!$P$2:$P$1201,Data!$S$2:$S$1201,$B184,Data!$AQ$2:$AQ$1201,1)-$B184))</f>
        <v/>
      </c>
      <c r="G184" s="53" t="str">
        <f t="shared" si="21"/>
        <v/>
      </c>
      <c r="H184" s="53" t="str">
        <f t="shared" si="22"/>
        <v/>
      </c>
      <c r="I184" s="45" t="str">
        <f t="shared" si="23"/>
        <v/>
      </c>
      <c r="J184" s="47" t="str">
        <f>IF($B184="","",COUNTIFS(Data!$S$2:$S$1201,$B184,Data!$E$2:$E$1201,"timed"))</f>
        <v/>
      </c>
      <c r="K184" s="47" t="str">
        <f>IF($B184="","",SUMIFS(Data!$AG$2:$AG$1201,Data!$S$2:$S$1201,$B184))</f>
        <v/>
      </c>
      <c r="L184" s="45" t="str">
        <f>IF(OR($B184="",$D184=0),"",SUMIFS(Data!$N$2:$N$1201,Data!$S$2:$S$1201,$B184,Data!$AI$2:$AI$1201,1)/60/$D184)</f>
        <v/>
      </c>
      <c r="M184" s="49" t="str">
        <f>IF($B184="","",SUMIFS(Data!$AL$2:$AL$1201,Data!$S$2:$S$1201,$B184))</f>
        <v/>
      </c>
      <c r="Z184" t="str">
        <f>IFERROR(INDEX(Data!$S$2:$S$1201,MATCH(177,Data!$Y$2:$Y$1201,0)),"")</f>
        <v/>
      </c>
    </row>
    <row r="185" spans="2:26" x14ac:dyDescent="0.25">
      <c r="B185" s="51" t="str">
        <f>IFERROR(SMALL(Rhythm!$Z$8:$Z$207,176),"")</f>
        <v/>
      </c>
      <c r="C185" s="42" t="str">
        <f t="shared" si="20"/>
        <v/>
      </c>
      <c r="D185" s="44" t="str">
        <f>IF($B185="","",SUMIFS(Data!$N$2:$N$1201,Data!$S$2:$S$1201,$B185)/60)</f>
        <v/>
      </c>
      <c r="E185" s="52" t="str">
        <f>IF($B185="","",IF(SUMIFS(Data!$O$2:$O$1201,Data!$S$2:$S$1201,$B185,Data!$AP$2:$AP$1201,1)=0,"",SUMIFS(Data!$O$2:$O$1201,Data!$S$2:$S$1201,$B185,Data!$AP$2:$AP$1201,1)-$B185))</f>
        <v/>
      </c>
      <c r="F185" s="52" t="str">
        <f>IF($B185="","",IF(SUMIFS(Data!$P$2:$P$1201,Data!$S$2:$S$1201,$B185,Data!$AQ$2:$AQ$1201,1)=0,"",SUMIFS(Data!$P$2:$P$1201,Data!$S$2:$S$1201,$B185,Data!$AQ$2:$AQ$1201,1)-$B185))</f>
        <v/>
      </c>
      <c r="G185" s="53" t="str">
        <f t="shared" si="21"/>
        <v/>
      </c>
      <c r="H185" s="53" t="str">
        <f t="shared" si="22"/>
        <v/>
      </c>
      <c r="I185" s="45" t="str">
        <f t="shared" si="23"/>
        <v/>
      </c>
      <c r="J185" s="47" t="str">
        <f>IF($B185="","",COUNTIFS(Data!$S$2:$S$1201,$B185,Data!$E$2:$E$1201,"timed"))</f>
        <v/>
      </c>
      <c r="K185" s="47" t="str">
        <f>IF($B185="","",SUMIFS(Data!$AG$2:$AG$1201,Data!$S$2:$S$1201,$B185))</f>
        <v/>
      </c>
      <c r="L185" s="45" t="str">
        <f>IF(OR($B185="",$D185=0),"",SUMIFS(Data!$N$2:$N$1201,Data!$S$2:$S$1201,$B185,Data!$AI$2:$AI$1201,1)/60/$D185)</f>
        <v/>
      </c>
      <c r="M185" s="49" t="str">
        <f>IF($B185="","",SUMIFS(Data!$AL$2:$AL$1201,Data!$S$2:$S$1201,$B185))</f>
        <v/>
      </c>
      <c r="Z185" t="str">
        <f>IFERROR(INDEX(Data!$S$2:$S$1201,MATCH(178,Data!$Y$2:$Y$1201,0)),"")</f>
        <v/>
      </c>
    </row>
    <row r="186" spans="2:26" x14ac:dyDescent="0.25">
      <c r="B186" s="51" t="str">
        <f>IFERROR(SMALL(Rhythm!$Z$8:$Z$207,177),"")</f>
        <v/>
      </c>
      <c r="C186" s="42" t="str">
        <f t="shared" si="20"/>
        <v/>
      </c>
      <c r="D186" s="44" t="str">
        <f>IF($B186="","",SUMIFS(Data!$N$2:$N$1201,Data!$S$2:$S$1201,$B186)/60)</f>
        <v/>
      </c>
      <c r="E186" s="52" t="str">
        <f>IF($B186="","",IF(SUMIFS(Data!$O$2:$O$1201,Data!$S$2:$S$1201,$B186,Data!$AP$2:$AP$1201,1)=0,"",SUMIFS(Data!$O$2:$O$1201,Data!$S$2:$S$1201,$B186,Data!$AP$2:$AP$1201,1)-$B186))</f>
        <v/>
      </c>
      <c r="F186" s="52" t="str">
        <f>IF($B186="","",IF(SUMIFS(Data!$P$2:$P$1201,Data!$S$2:$S$1201,$B186,Data!$AQ$2:$AQ$1201,1)=0,"",SUMIFS(Data!$P$2:$P$1201,Data!$S$2:$S$1201,$B186,Data!$AQ$2:$AQ$1201,1)-$B186))</f>
        <v/>
      </c>
      <c r="G186" s="53" t="str">
        <f t="shared" si="21"/>
        <v/>
      </c>
      <c r="H186" s="53" t="str">
        <f t="shared" si="22"/>
        <v/>
      </c>
      <c r="I186" s="45" t="str">
        <f t="shared" si="23"/>
        <v/>
      </c>
      <c r="J186" s="47" t="str">
        <f>IF($B186="","",COUNTIFS(Data!$S$2:$S$1201,$B186,Data!$E$2:$E$1201,"timed"))</f>
        <v/>
      </c>
      <c r="K186" s="47" t="str">
        <f>IF($B186="","",SUMIFS(Data!$AG$2:$AG$1201,Data!$S$2:$S$1201,$B186))</f>
        <v/>
      </c>
      <c r="L186" s="45" t="str">
        <f>IF(OR($B186="",$D186=0),"",SUMIFS(Data!$N$2:$N$1201,Data!$S$2:$S$1201,$B186,Data!$AI$2:$AI$1201,1)/60/$D186)</f>
        <v/>
      </c>
      <c r="M186" s="49" t="str">
        <f>IF($B186="","",SUMIFS(Data!$AL$2:$AL$1201,Data!$S$2:$S$1201,$B186))</f>
        <v/>
      </c>
      <c r="Z186" t="str">
        <f>IFERROR(INDEX(Data!$S$2:$S$1201,MATCH(179,Data!$Y$2:$Y$1201,0)),"")</f>
        <v/>
      </c>
    </row>
    <row r="187" spans="2:26" x14ac:dyDescent="0.25">
      <c r="B187" s="51" t="str">
        <f>IFERROR(SMALL(Rhythm!$Z$8:$Z$207,178),"")</f>
        <v/>
      </c>
      <c r="C187" s="42" t="str">
        <f t="shared" si="20"/>
        <v/>
      </c>
      <c r="D187" s="44" t="str">
        <f>IF($B187="","",SUMIFS(Data!$N$2:$N$1201,Data!$S$2:$S$1201,$B187)/60)</f>
        <v/>
      </c>
      <c r="E187" s="52" t="str">
        <f>IF($B187="","",IF(SUMIFS(Data!$O$2:$O$1201,Data!$S$2:$S$1201,$B187,Data!$AP$2:$AP$1201,1)=0,"",SUMIFS(Data!$O$2:$O$1201,Data!$S$2:$S$1201,$B187,Data!$AP$2:$AP$1201,1)-$B187))</f>
        <v/>
      </c>
      <c r="F187" s="52" t="str">
        <f>IF($B187="","",IF(SUMIFS(Data!$P$2:$P$1201,Data!$S$2:$S$1201,$B187,Data!$AQ$2:$AQ$1201,1)=0,"",SUMIFS(Data!$P$2:$P$1201,Data!$S$2:$S$1201,$B187,Data!$AQ$2:$AQ$1201,1)-$B187))</f>
        <v/>
      </c>
      <c r="G187" s="53" t="str">
        <f t="shared" si="21"/>
        <v/>
      </c>
      <c r="H187" s="53" t="str">
        <f t="shared" si="22"/>
        <v/>
      </c>
      <c r="I187" s="45" t="str">
        <f t="shared" si="23"/>
        <v/>
      </c>
      <c r="J187" s="47" t="str">
        <f>IF($B187="","",COUNTIFS(Data!$S$2:$S$1201,$B187,Data!$E$2:$E$1201,"timed"))</f>
        <v/>
      </c>
      <c r="K187" s="47" t="str">
        <f>IF($B187="","",SUMIFS(Data!$AG$2:$AG$1201,Data!$S$2:$S$1201,$B187))</f>
        <v/>
      </c>
      <c r="L187" s="45" t="str">
        <f>IF(OR($B187="",$D187=0),"",SUMIFS(Data!$N$2:$N$1201,Data!$S$2:$S$1201,$B187,Data!$AI$2:$AI$1201,1)/60/$D187)</f>
        <v/>
      </c>
      <c r="M187" s="49" t="str">
        <f>IF($B187="","",SUMIFS(Data!$AL$2:$AL$1201,Data!$S$2:$S$1201,$B187))</f>
        <v/>
      </c>
      <c r="Z187" t="str">
        <f>IFERROR(INDEX(Data!$S$2:$S$1201,MATCH(180,Data!$Y$2:$Y$1201,0)),"")</f>
        <v/>
      </c>
    </row>
    <row r="188" spans="2:26" x14ac:dyDescent="0.25">
      <c r="B188" s="51" t="str">
        <f>IFERROR(SMALL(Rhythm!$Z$8:$Z$207,179),"")</f>
        <v/>
      </c>
      <c r="C188" s="42" t="str">
        <f t="shared" si="20"/>
        <v/>
      </c>
      <c r="D188" s="44" t="str">
        <f>IF($B188="","",SUMIFS(Data!$N$2:$N$1201,Data!$S$2:$S$1201,$B188)/60)</f>
        <v/>
      </c>
      <c r="E188" s="52" t="str">
        <f>IF($B188="","",IF(SUMIFS(Data!$O$2:$O$1201,Data!$S$2:$S$1201,$B188,Data!$AP$2:$AP$1201,1)=0,"",SUMIFS(Data!$O$2:$O$1201,Data!$S$2:$S$1201,$B188,Data!$AP$2:$AP$1201,1)-$B188))</f>
        <v/>
      </c>
      <c r="F188" s="52" t="str">
        <f>IF($B188="","",IF(SUMIFS(Data!$P$2:$P$1201,Data!$S$2:$S$1201,$B188,Data!$AQ$2:$AQ$1201,1)=0,"",SUMIFS(Data!$P$2:$P$1201,Data!$S$2:$S$1201,$B188,Data!$AQ$2:$AQ$1201,1)-$B188))</f>
        <v/>
      </c>
      <c r="G188" s="53" t="str">
        <f t="shared" si="21"/>
        <v/>
      </c>
      <c r="H188" s="53" t="str">
        <f t="shared" si="22"/>
        <v/>
      </c>
      <c r="I188" s="45" t="str">
        <f t="shared" si="23"/>
        <v/>
      </c>
      <c r="J188" s="47" t="str">
        <f>IF($B188="","",COUNTIFS(Data!$S$2:$S$1201,$B188,Data!$E$2:$E$1201,"timed"))</f>
        <v/>
      </c>
      <c r="K188" s="47" t="str">
        <f>IF($B188="","",SUMIFS(Data!$AG$2:$AG$1201,Data!$S$2:$S$1201,$B188))</f>
        <v/>
      </c>
      <c r="L188" s="45" t="str">
        <f>IF(OR($B188="",$D188=0),"",SUMIFS(Data!$N$2:$N$1201,Data!$S$2:$S$1201,$B188,Data!$AI$2:$AI$1201,1)/60/$D188)</f>
        <v/>
      </c>
      <c r="M188" s="49" t="str">
        <f>IF($B188="","",SUMIFS(Data!$AL$2:$AL$1201,Data!$S$2:$S$1201,$B188))</f>
        <v/>
      </c>
      <c r="Z188" t="str">
        <f>IFERROR(INDEX(Data!$S$2:$S$1201,MATCH(181,Data!$Y$2:$Y$1201,0)),"")</f>
        <v/>
      </c>
    </row>
    <row r="189" spans="2:26" x14ac:dyDescent="0.25">
      <c r="B189" s="51" t="str">
        <f>IFERROR(SMALL(Rhythm!$Z$8:$Z$207,180),"")</f>
        <v/>
      </c>
      <c r="C189" s="42" t="str">
        <f t="shared" si="20"/>
        <v/>
      </c>
      <c r="D189" s="44" t="str">
        <f>IF($B189="","",SUMIFS(Data!$N$2:$N$1201,Data!$S$2:$S$1201,$B189)/60)</f>
        <v/>
      </c>
      <c r="E189" s="52" t="str">
        <f>IF($B189="","",IF(SUMIFS(Data!$O$2:$O$1201,Data!$S$2:$S$1201,$B189,Data!$AP$2:$AP$1201,1)=0,"",SUMIFS(Data!$O$2:$O$1201,Data!$S$2:$S$1201,$B189,Data!$AP$2:$AP$1201,1)-$B189))</f>
        <v/>
      </c>
      <c r="F189" s="52" t="str">
        <f>IF($B189="","",IF(SUMIFS(Data!$P$2:$P$1201,Data!$S$2:$S$1201,$B189,Data!$AQ$2:$AQ$1201,1)=0,"",SUMIFS(Data!$P$2:$P$1201,Data!$S$2:$S$1201,$B189,Data!$AQ$2:$AQ$1201,1)-$B189))</f>
        <v/>
      </c>
      <c r="G189" s="53" t="str">
        <f t="shared" si="21"/>
        <v/>
      </c>
      <c r="H189" s="53" t="str">
        <f t="shared" si="22"/>
        <v/>
      </c>
      <c r="I189" s="45" t="str">
        <f t="shared" si="23"/>
        <v/>
      </c>
      <c r="J189" s="47" t="str">
        <f>IF($B189="","",COUNTIFS(Data!$S$2:$S$1201,$B189,Data!$E$2:$E$1201,"timed"))</f>
        <v/>
      </c>
      <c r="K189" s="47" t="str">
        <f>IF($B189="","",SUMIFS(Data!$AG$2:$AG$1201,Data!$S$2:$S$1201,$B189))</f>
        <v/>
      </c>
      <c r="L189" s="45" t="str">
        <f>IF(OR($B189="",$D189=0),"",SUMIFS(Data!$N$2:$N$1201,Data!$S$2:$S$1201,$B189,Data!$AI$2:$AI$1201,1)/60/$D189)</f>
        <v/>
      </c>
      <c r="M189" s="49" t="str">
        <f>IF($B189="","",SUMIFS(Data!$AL$2:$AL$1201,Data!$S$2:$S$1201,$B189))</f>
        <v/>
      </c>
      <c r="Z189" t="str">
        <f>IFERROR(INDEX(Data!$S$2:$S$1201,MATCH(182,Data!$Y$2:$Y$1201,0)),"")</f>
        <v/>
      </c>
    </row>
    <row r="190" spans="2:26" x14ac:dyDescent="0.25">
      <c r="B190" s="51" t="str">
        <f>IFERROR(SMALL(Rhythm!$Z$8:$Z$207,181),"")</f>
        <v/>
      </c>
      <c r="C190" s="42" t="str">
        <f t="shared" si="20"/>
        <v/>
      </c>
      <c r="D190" s="44" t="str">
        <f>IF($B190="","",SUMIFS(Data!$N$2:$N$1201,Data!$S$2:$S$1201,$B190)/60)</f>
        <v/>
      </c>
      <c r="E190" s="52" t="str">
        <f>IF($B190="","",IF(SUMIFS(Data!$O$2:$O$1201,Data!$S$2:$S$1201,$B190,Data!$AP$2:$AP$1201,1)=0,"",SUMIFS(Data!$O$2:$O$1201,Data!$S$2:$S$1201,$B190,Data!$AP$2:$AP$1201,1)-$B190))</f>
        <v/>
      </c>
      <c r="F190" s="52" t="str">
        <f>IF($B190="","",IF(SUMIFS(Data!$P$2:$P$1201,Data!$S$2:$S$1201,$B190,Data!$AQ$2:$AQ$1201,1)=0,"",SUMIFS(Data!$P$2:$P$1201,Data!$S$2:$S$1201,$B190,Data!$AQ$2:$AQ$1201,1)-$B190))</f>
        <v/>
      </c>
      <c r="G190" s="53" t="str">
        <f t="shared" si="21"/>
        <v/>
      </c>
      <c r="H190" s="53" t="str">
        <f t="shared" si="22"/>
        <v/>
      </c>
      <c r="I190" s="45" t="str">
        <f t="shared" si="23"/>
        <v/>
      </c>
      <c r="J190" s="47" t="str">
        <f>IF($B190="","",COUNTIFS(Data!$S$2:$S$1201,$B190,Data!$E$2:$E$1201,"timed"))</f>
        <v/>
      </c>
      <c r="K190" s="47" t="str">
        <f>IF($B190="","",SUMIFS(Data!$AG$2:$AG$1201,Data!$S$2:$S$1201,$B190))</f>
        <v/>
      </c>
      <c r="L190" s="45" t="str">
        <f>IF(OR($B190="",$D190=0),"",SUMIFS(Data!$N$2:$N$1201,Data!$S$2:$S$1201,$B190,Data!$AI$2:$AI$1201,1)/60/$D190)</f>
        <v/>
      </c>
      <c r="M190" s="49" t="str">
        <f>IF($B190="","",SUMIFS(Data!$AL$2:$AL$1201,Data!$S$2:$S$1201,$B190))</f>
        <v/>
      </c>
      <c r="Z190" t="str">
        <f>IFERROR(INDEX(Data!$S$2:$S$1201,MATCH(183,Data!$Y$2:$Y$1201,0)),"")</f>
        <v/>
      </c>
    </row>
    <row r="191" spans="2:26" x14ac:dyDescent="0.25">
      <c r="B191" s="51" t="str">
        <f>IFERROR(SMALL(Rhythm!$Z$8:$Z$207,182),"")</f>
        <v/>
      </c>
      <c r="C191" s="42" t="str">
        <f t="shared" si="20"/>
        <v/>
      </c>
      <c r="D191" s="44" t="str">
        <f>IF($B191="","",SUMIFS(Data!$N$2:$N$1201,Data!$S$2:$S$1201,$B191)/60)</f>
        <v/>
      </c>
      <c r="E191" s="52" t="str">
        <f>IF($B191="","",IF(SUMIFS(Data!$O$2:$O$1201,Data!$S$2:$S$1201,$B191,Data!$AP$2:$AP$1201,1)=0,"",SUMIFS(Data!$O$2:$O$1201,Data!$S$2:$S$1201,$B191,Data!$AP$2:$AP$1201,1)-$B191))</f>
        <v/>
      </c>
      <c r="F191" s="52" t="str">
        <f>IF($B191="","",IF(SUMIFS(Data!$P$2:$P$1201,Data!$S$2:$S$1201,$B191,Data!$AQ$2:$AQ$1201,1)=0,"",SUMIFS(Data!$P$2:$P$1201,Data!$S$2:$S$1201,$B191,Data!$AQ$2:$AQ$1201,1)-$B191))</f>
        <v/>
      </c>
      <c r="G191" s="53" t="str">
        <f t="shared" si="21"/>
        <v/>
      </c>
      <c r="H191" s="53" t="str">
        <f t="shared" si="22"/>
        <v/>
      </c>
      <c r="I191" s="45" t="str">
        <f t="shared" si="23"/>
        <v/>
      </c>
      <c r="J191" s="47" t="str">
        <f>IF($B191="","",COUNTIFS(Data!$S$2:$S$1201,$B191,Data!$E$2:$E$1201,"timed"))</f>
        <v/>
      </c>
      <c r="K191" s="47" t="str">
        <f>IF($B191="","",SUMIFS(Data!$AG$2:$AG$1201,Data!$S$2:$S$1201,$B191))</f>
        <v/>
      </c>
      <c r="L191" s="45" t="str">
        <f>IF(OR($B191="",$D191=0),"",SUMIFS(Data!$N$2:$N$1201,Data!$S$2:$S$1201,$B191,Data!$AI$2:$AI$1201,1)/60/$D191)</f>
        <v/>
      </c>
      <c r="M191" s="49" t="str">
        <f>IF($B191="","",SUMIFS(Data!$AL$2:$AL$1201,Data!$S$2:$S$1201,$B191))</f>
        <v/>
      </c>
      <c r="Z191" t="str">
        <f>IFERROR(INDEX(Data!$S$2:$S$1201,MATCH(184,Data!$Y$2:$Y$1201,0)),"")</f>
        <v/>
      </c>
    </row>
    <row r="192" spans="2:26" x14ac:dyDescent="0.25">
      <c r="B192" s="51" t="str">
        <f>IFERROR(SMALL(Rhythm!$Z$8:$Z$207,183),"")</f>
        <v/>
      </c>
      <c r="C192" s="42" t="str">
        <f t="shared" si="20"/>
        <v/>
      </c>
      <c r="D192" s="44" t="str">
        <f>IF($B192="","",SUMIFS(Data!$N$2:$N$1201,Data!$S$2:$S$1201,$B192)/60)</f>
        <v/>
      </c>
      <c r="E192" s="52" t="str">
        <f>IF($B192="","",IF(SUMIFS(Data!$O$2:$O$1201,Data!$S$2:$S$1201,$B192,Data!$AP$2:$AP$1201,1)=0,"",SUMIFS(Data!$O$2:$O$1201,Data!$S$2:$S$1201,$B192,Data!$AP$2:$AP$1201,1)-$B192))</f>
        <v/>
      </c>
      <c r="F192" s="52" t="str">
        <f>IF($B192="","",IF(SUMIFS(Data!$P$2:$P$1201,Data!$S$2:$S$1201,$B192,Data!$AQ$2:$AQ$1201,1)=0,"",SUMIFS(Data!$P$2:$P$1201,Data!$S$2:$S$1201,$B192,Data!$AQ$2:$AQ$1201,1)-$B192))</f>
        <v/>
      </c>
      <c r="G192" s="53" t="str">
        <f t="shared" si="21"/>
        <v/>
      </c>
      <c r="H192" s="53" t="str">
        <f t="shared" si="22"/>
        <v/>
      </c>
      <c r="I192" s="45" t="str">
        <f t="shared" si="23"/>
        <v/>
      </c>
      <c r="J192" s="47" t="str">
        <f>IF($B192="","",COUNTIFS(Data!$S$2:$S$1201,$B192,Data!$E$2:$E$1201,"timed"))</f>
        <v/>
      </c>
      <c r="K192" s="47" t="str">
        <f>IF($B192="","",SUMIFS(Data!$AG$2:$AG$1201,Data!$S$2:$S$1201,$B192))</f>
        <v/>
      </c>
      <c r="L192" s="45" t="str">
        <f>IF(OR($B192="",$D192=0),"",SUMIFS(Data!$N$2:$N$1201,Data!$S$2:$S$1201,$B192,Data!$AI$2:$AI$1201,1)/60/$D192)</f>
        <v/>
      </c>
      <c r="M192" s="49" t="str">
        <f>IF($B192="","",SUMIFS(Data!$AL$2:$AL$1201,Data!$S$2:$S$1201,$B192))</f>
        <v/>
      </c>
      <c r="Z192" t="str">
        <f>IFERROR(INDEX(Data!$S$2:$S$1201,MATCH(185,Data!$Y$2:$Y$1201,0)),"")</f>
        <v/>
      </c>
    </row>
    <row r="193" spans="2:26" x14ac:dyDescent="0.25">
      <c r="B193" s="51" t="str">
        <f>IFERROR(SMALL(Rhythm!$Z$8:$Z$207,184),"")</f>
        <v/>
      </c>
      <c r="C193" s="42" t="str">
        <f t="shared" si="20"/>
        <v/>
      </c>
      <c r="D193" s="44" t="str">
        <f>IF($B193="","",SUMIFS(Data!$N$2:$N$1201,Data!$S$2:$S$1201,$B193)/60)</f>
        <v/>
      </c>
      <c r="E193" s="52" t="str">
        <f>IF($B193="","",IF(SUMIFS(Data!$O$2:$O$1201,Data!$S$2:$S$1201,$B193,Data!$AP$2:$AP$1201,1)=0,"",SUMIFS(Data!$O$2:$O$1201,Data!$S$2:$S$1201,$B193,Data!$AP$2:$AP$1201,1)-$B193))</f>
        <v/>
      </c>
      <c r="F193" s="52" t="str">
        <f>IF($B193="","",IF(SUMIFS(Data!$P$2:$P$1201,Data!$S$2:$S$1201,$B193,Data!$AQ$2:$AQ$1201,1)=0,"",SUMIFS(Data!$P$2:$P$1201,Data!$S$2:$S$1201,$B193,Data!$AQ$2:$AQ$1201,1)-$B193))</f>
        <v/>
      </c>
      <c r="G193" s="53" t="str">
        <f t="shared" si="21"/>
        <v/>
      </c>
      <c r="H193" s="53" t="str">
        <f t="shared" si="22"/>
        <v/>
      </c>
      <c r="I193" s="45" t="str">
        <f t="shared" si="23"/>
        <v/>
      </c>
      <c r="J193" s="47" t="str">
        <f>IF($B193="","",COUNTIFS(Data!$S$2:$S$1201,$B193,Data!$E$2:$E$1201,"timed"))</f>
        <v/>
      </c>
      <c r="K193" s="47" t="str">
        <f>IF($B193="","",SUMIFS(Data!$AG$2:$AG$1201,Data!$S$2:$S$1201,$B193))</f>
        <v/>
      </c>
      <c r="L193" s="45" t="str">
        <f>IF(OR($B193="",$D193=0),"",SUMIFS(Data!$N$2:$N$1201,Data!$S$2:$S$1201,$B193,Data!$AI$2:$AI$1201,1)/60/$D193)</f>
        <v/>
      </c>
      <c r="M193" s="49" t="str">
        <f>IF($B193="","",SUMIFS(Data!$AL$2:$AL$1201,Data!$S$2:$S$1201,$B193))</f>
        <v/>
      </c>
      <c r="Z193" t="str">
        <f>IFERROR(INDEX(Data!$S$2:$S$1201,MATCH(186,Data!$Y$2:$Y$1201,0)),"")</f>
        <v/>
      </c>
    </row>
    <row r="194" spans="2:26" x14ac:dyDescent="0.25">
      <c r="B194" s="51" t="str">
        <f>IFERROR(SMALL(Rhythm!$Z$8:$Z$207,185),"")</f>
        <v/>
      </c>
      <c r="C194" s="42" t="str">
        <f t="shared" si="20"/>
        <v/>
      </c>
      <c r="D194" s="44" t="str">
        <f>IF($B194="","",SUMIFS(Data!$N$2:$N$1201,Data!$S$2:$S$1201,$B194)/60)</f>
        <v/>
      </c>
      <c r="E194" s="52" t="str">
        <f>IF($B194="","",IF(SUMIFS(Data!$O$2:$O$1201,Data!$S$2:$S$1201,$B194,Data!$AP$2:$AP$1201,1)=0,"",SUMIFS(Data!$O$2:$O$1201,Data!$S$2:$S$1201,$B194,Data!$AP$2:$AP$1201,1)-$B194))</f>
        <v/>
      </c>
      <c r="F194" s="52" t="str">
        <f>IF($B194="","",IF(SUMIFS(Data!$P$2:$P$1201,Data!$S$2:$S$1201,$B194,Data!$AQ$2:$AQ$1201,1)=0,"",SUMIFS(Data!$P$2:$P$1201,Data!$S$2:$S$1201,$B194,Data!$AQ$2:$AQ$1201,1)-$B194))</f>
        <v/>
      </c>
      <c r="G194" s="53" t="str">
        <f t="shared" si="21"/>
        <v/>
      </c>
      <c r="H194" s="53" t="str">
        <f t="shared" si="22"/>
        <v/>
      </c>
      <c r="I194" s="45" t="str">
        <f t="shared" si="23"/>
        <v/>
      </c>
      <c r="J194" s="47" t="str">
        <f>IF($B194="","",COUNTIFS(Data!$S$2:$S$1201,$B194,Data!$E$2:$E$1201,"timed"))</f>
        <v/>
      </c>
      <c r="K194" s="47" t="str">
        <f>IF($B194="","",SUMIFS(Data!$AG$2:$AG$1201,Data!$S$2:$S$1201,$B194))</f>
        <v/>
      </c>
      <c r="L194" s="45" t="str">
        <f>IF(OR($B194="",$D194=0),"",SUMIFS(Data!$N$2:$N$1201,Data!$S$2:$S$1201,$B194,Data!$AI$2:$AI$1201,1)/60/$D194)</f>
        <v/>
      </c>
      <c r="M194" s="49" t="str">
        <f>IF($B194="","",SUMIFS(Data!$AL$2:$AL$1201,Data!$S$2:$S$1201,$B194))</f>
        <v/>
      </c>
      <c r="Z194" t="str">
        <f>IFERROR(INDEX(Data!$S$2:$S$1201,MATCH(187,Data!$Y$2:$Y$1201,0)),"")</f>
        <v/>
      </c>
    </row>
    <row r="195" spans="2:26" x14ac:dyDescent="0.25">
      <c r="B195" s="51" t="str">
        <f>IFERROR(SMALL(Rhythm!$Z$8:$Z$207,186),"")</f>
        <v/>
      </c>
      <c r="C195" s="42" t="str">
        <f t="shared" si="20"/>
        <v/>
      </c>
      <c r="D195" s="44" t="str">
        <f>IF($B195="","",SUMIFS(Data!$N$2:$N$1201,Data!$S$2:$S$1201,$B195)/60)</f>
        <v/>
      </c>
      <c r="E195" s="52" t="str">
        <f>IF($B195="","",IF(SUMIFS(Data!$O$2:$O$1201,Data!$S$2:$S$1201,$B195,Data!$AP$2:$AP$1201,1)=0,"",SUMIFS(Data!$O$2:$O$1201,Data!$S$2:$S$1201,$B195,Data!$AP$2:$AP$1201,1)-$B195))</f>
        <v/>
      </c>
      <c r="F195" s="52" t="str">
        <f>IF($B195="","",IF(SUMIFS(Data!$P$2:$P$1201,Data!$S$2:$S$1201,$B195,Data!$AQ$2:$AQ$1201,1)=0,"",SUMIFS(Data!$P$2:$P$1201,Data!$S$2:$S$1201,$B195,Data!$AQ$2:$AQ$1201,1)-$B195))</f>
        <v/>
      </c>
      <c r="G195" s="53" t="str">
        <f t="shared" si="21"/>
        <v/>
      </c>
      <c r="H195" s="53" t="str">
        <f t="shared" si="22"/>
        <v/>
      </c>
      <c r="I195" s="45" t="str">
        <f t="shared" si="23"/>
        <v/>
      </c>
      <c r="J195" s="47" t="str">
        <f>IF($B195="","",COUNTIFS(Data!$S$2:$S$1201,$B195,Data!$E$2:$E$1201,"timed"))</f>
        <v/>
      </c>
      <c r="K195" s="47" t="str">
        <f>IF($B195="","",SUMIFS(Data!$AG$2:$AG$1201,Data!$S$2:$S$1201,$B195))</f>
        <v/>
      </c>
      <c r="L195" s="45" t="str">
        <f>IF(OR($B195="",$D195=0),"",SUMIFS(Data!$N$2:$N$1201,Data!$S$2:$S$1201,$B195,Data!$AI$2:$AI$1201,1)/60/$D195)</f>
        <v/>
      </c>
      <c r="M195" s="49" t="str">
        <f>IF($B195="","",SUMIFS(Data!$AL$2:$AL$1201,Data!$S$2:$S$1201,$B195))</f>
        <v/>
      </c>
      <c r="Z195" t="str">
        <f>IFERROR(INDEX(Data!$S$2:$S$1201,MATCH(188,Data!$Y$2:$Y$1201,0)),"")</f>
        <v/>
      </c>
    </row>
    <row r="196" spans="2:26" x14ac:dyDescent="0.25">
      <c r="B196" s="51" t="str">
        <f>IFERROR(SMALL(Rhythm!$Z$8:$Z$207,187),"")</f>
        <v/>
      </c>
      <c r="C196" s="42" t="str">
        <f t="shared" si="20"/>
        <v/>
      </c>
      <c r="D196" s="44" t="str">
        <f>IF($B196="","",SUMIFS(Data!$N$2:$N$1201,Data!$S$2:$S$1201,$B196)/60)</f>
        <v/>
      </c>
      <c r="E196" s="52" t="str">
        <f>IF($B196="","",IF(SUMIFS(Data!$O$2:$O$1201,Data!$S$2:$S$1201,$B196,Data!$AP$2:$AP$1201,1)=0,"",SUMIFS(Data!$O$2:$O$1201,Data!$S$2:$S$1201,$B196,Data!$AP$2:$AP$1201,1)-$B196))</f>
        <v/>
      </c>
      <c r="F196" s="52" t="str">
        <f>IF($B196="","",IF(SUMIFS(Data!$P$2:$P$1201,Data!$S$2:$S$1201,$B196,Data!$AQ$2:$AQ$1201,1)=0,"",SUMIFS(Data!$P$2:$P$1201,Data!$S$2:$S$1201,$B196,Data!$AQ$2:$AQ$1201,1)-$B196))</f>
        <v/>
      </c>
      <c r="G196" s="53" t="str">
        <f t="shared" si="21"/>
        <v/>
      </c>
      <c r="H196" s="53" t="str">
        <f t="shared" si="22"/>
        <v/>
      </c>
      <c r="I196" s="45" t="str">
        <f t="shared" si="23"/>
        <v/>
      </c>
      <c r="J196" s="47" t="str">
        <f>IF($B196="","",COUNTIFS(Data!$S$2:$S$1201,$B196,Data!$E$2:$E$1201,"timed"))</f>
        <v/>
      </c>
      <c r="K196" s="47" t="str">
        <f>IF($B196="","",SUMIFS(Data!$AG$2:$AG$1201,Data!$S$2:$S$1201,$B196))</f>
        <v/>
      </c>
      <c r="L196" s="45" t="str">
        <f>IF(OR($B196="",$D196=0),"",SUMIFS(Data!$N$2:$N$1201,Data!$S$2:$S$1201,$B196,Data!$AI$2:$AI$1201,1)/60/$D196)</f>
        <v/>
      </c>
      <c r="M196" s="49" t="str">
        <f>IF($B196="","",SUMIFS(Data!$AL$2:$AL$1201,Data!$S$2:$S$1201,$B196))</f>
        <v/>
      </c>
      <c r="Z196" t="str">
        <f>IFERROR(INDEX(Data!$S$2:$S$1201,MATCH(189,Data!$Y$2:$Y$1201,0)),"")</f>
        <v/>
      </c>
    </row>
    <row r="197" spans="2:26" x14ac:dyDescent="0.25">
      <c r="B197" s="51" t="str">
        <f>IFERROR(SMALL(Rhythm!$Z$8:$Z$207,188),"")</f>
        <v/>
      </c>
      <c r="C197" s="42" t="str">
        <f t="shared" si="20"/>
        <v/>
      </c>
      <c r="D197" s="44" t="str">
        <f>IF($B197="","",SUMIFS(Data!$N$2:$N$1201,Data!$S$2:$S$1201,$B197)/60)</f>
        <v/>
      </c>
      <c r="E197" s="52" t="str">
        <f>IF($B197="","",IF(SUMIFS(Data!$O$2:$O$1201,Data!$S$2:$S$1201,$B197,Data!$AP$2:$AP$1201,1)=0,"",SUMIFS(Data!$O$2:$O$1201,Data!$S$2:$S$1201,$B197,Data!$AP$2:$AP$1201,1)-$B197))</f>
        <v/>
      </c>
      <c r="F197" s="52" t="str">
        <f>IF($B197="","",IF(SUMIFS(Data!$P$2:$P$1201,Data!$S$2:$S$1201,$B197,Data!$AQ$2:$AQ$1201,1)=0,"",SUMIFS(Data!$P$2:$P$1201,Data!$S$2:$S$1201,$B197,Data!$AQ$2:$AQ$1201,1)-$B197))</f>
        <v/>
      </c>
      <c r="G197" s="53" t="str">
        <f t="shared" si="21"/>
        <v/>
      </c>
      <c r="H197" s="53" t="str">
        <f t="shared" si="22"/>
        <v/>
      </c>
      <c r="I197" s="45" t="str">
        <f t="shared" si="23"/>
        <v/>
      </c>
      <c r="J197" s="47" t="str">
        <f>IF($B197="","",COUNTIFS(Data!$S$2:$S$1201,$B197,Data!$E$2:$E$1201,"timed"))</f>
        <v/>
      </c>
      <c r="K197" s="47" t="str">
        <f>IF($B197="","",SUMIFS(Data!$AG$2:$AG$1201,Data!$S$2:$S$1201,$B197))</f>
        <v/>
      </c>
      <c r="L197" s="45" t="str">
        <f>IF(OR($B197="",$D197=0),"",SUMIFS(Data!$N$2:$N$1201,Data!$S$2:$S$1201,$B197,Data!$AI$2:$AI$1201,1)/60/$D197)</f>
        <v/>
      </c>
      <c r="M197" s="49" t="str">
        <f>IF($B197="","",SUMIFS(Data!$AL$2:$AL$1201,Data!$S$2:$S$1201,$B197))</f>
        <v/>
      </c>
      <c r="Z197" t="str">
        <f>IFERROR(INDEX(Data!$S$2:$S$1201,MATCH(190,Data!$Y$2:$Y$1201,0)),"")</f>
        <v/>
      </c>
    </row>
    <row r="198" spans="2:26" x14ac:dyDescent="0.25">
      <c r="B198" s="51" t="str">
        <f>IFERROR(SMALL(Rhythm!$Z$8:$Z$207,189),"")</f>
        <v/>
      </c>
      <c r="C198" s="42" t="str">
        <f t="shared" si="20"/>
        <v/>
      </c>
      <c r="D198" s="44" t="str">
        <f>IF($B198="","",SUMIFS(Data!$N$2:$N$1201,Data!$S$2:$S$1201,$B198)/60)</f>
        <v/>
      </c>
      <c r="E198" s="52" t="str">
        <f>IF($B198="","",IF(SUMIFS(Data!$O$2:$O$1201,Data!$S$2:$S$1201,$B198,Data!$AP$2:$AP$1201,1)=0,"",SUMIFS(Data!$O$2:$O$1201,Data!$S$2:$S$1201,$B198,Data!$AP$2:$AP$1201,1)-$B198))</f>
        <v/>
      </c>
      <c r="F198" s="52" t="str">
        <f>IF($B198="","",IF(SUMIFS(Data!$P$2:$P$1201,Data!$S$2:$S$1201,$B198,Data!$AQ$2:$AQ$1201,1)=0,"",SUMIFS(Data!$P$2:$P$1201,Data!$S$2:$S$1201,$B198,Data!$AQ$2:$AQ$1201,1)-$B198))</f>
        <v/>
      </c>
      <c r="G198" s="53" t="str">
        <f t="shared" si="21"/>
        <v/>
      </c>
      <c r="H198" s="53" t="str">
        <f t="shared" si="22"/>
        <v/>
      </c>
      <c r="I198" s="45" t="str">
        <f t="shared" si="23"/>
        <v/>
      </c>
      <c r="J198" s="47" t="str">
        <f>IF($B198="","",COUNTIFS(Data!$S$2:$S$1201,$B198,Data!$E$2:$E$1201,"timed"))</f>
        <v/>
      </c>
      <c r="K198" s="47" t="str">
        <f>IF($B198="","",SUMIFS(Data!$AG$2:$AG$1201,Data!$S$2:$S$1201,$B198))</f>
        <v/>
      </c>
      <c r="L198" s="45" t="str">
        <f>IF(OR($B198="",$D198=0),"",SUMIFS(Data!$N$2:$N$1201,Data!$S$2:$S$1201,$B198,Data!$AI$2:$AI$1201,1)/60/$D198)</f>
        <v/>
      </c>
      <c r="M198" s="49" t="str">
        <f>IF($B198="","",SUMIFS(Data!$AL$2:$AL$1201,Data!$S$2:$S$1201,$B198))</f>
        <v/>
      </c>
      <c r="Z198" t="str">
        <f>IFERROR(INDEX(Data!$S$2:$S$1201,MATCH(191,Data!$Y$2:$Y$1201,0)),"")</f>
        <v/>
      </c>
    </row>
    <row r="199" spans="2:26" x14ac:dyDescent="0.25">
      <c r="B199" s="51" t="str">
        <f>IFERROR(SMALL(Rhythm!$Z$8:$Z$207,190),"")</f>
        <v/>
      </c>
      <c r="C199" s="42" t="str">
        <f t="shared" si="20"/>
        <v/>
      </c>
      <c r="D199" s="44" t="str">
        <f>IF($B199="","",SUMIFS(Data!$N$2:$N$1201,Data!$S$2:$S$1201,$B199)/60)</f>
        <v/>
      </c>
      <c r="E199" s="52" t="str">
        <f>IF($B199="","",IF(SUMIFS(Data!$O$2:$O$1201,Data!$S$2:$S$1201,$B199,Data!$AP$2:$AP$1201,1)=0,"",SUMIFS(Data!$O$2:$O$1201,Data!$S$2:$S$1201,$B199,Data!$AP$2:$AP$1201,1)-$B199))</f>
        <v/>
      </c>
      <c r="F199" s="52" t="str">
        <f>IF($B199="","",IF(SUMIFS(Data!$P$2:$P$1201,Data!$S$2:$S$1201,$B199,Data!$AQ$2:$AQ$1201,1)=0,"",SUMIFS(Data!$P$2:$P$1201,Data!$S$2:$S$1201,$B199,Data!$AQ$2:$AQ$1201,1)-$B199))</f>
        <v/>
      </c>
      <c r="G199" s="53" t="str">
        <f t="shared" si="21"/>
        <v/>
      </c>
      <c r="H199" s="53" t="str">
        <f t="shared" si="22"/>
        <v/>
      </c>
      <c r="I199" s="45" t="str">
        <f t="shared" si="23"/>
        <v/>
      </c>
      <c r="J199" s="47" t="str">
        <f>IF($B199="","",COUNTIFS(Data!$S$2:$S$1201,$B199,Data!$E$2:$E$1201,"timed"))</f>
        <v/>
      </c>
      <c r="K199" s="47" t="str">
        <f>IF($B199="","",SUMIFS(Data!$AG$2:$AG$1201,Data!$S$2:$S$1201,$B199))</f>
        <v/>
      </c>
      <c r="L199" s="45" t="str">
        <f>IF(OR($B199="",$D199=0),"",SUMIFS(Data!$N$2:$N$1201,Data!$S$2:$S$1201,$B199,Data!$AI$2:$AI$1201,1)/60/$D199)</f>
        <v/>
      </c>
      <c r="M199" s="49" t="str">
        <f>IF($B199="","",SUMIFS(Data!$AL$2:$AL$1201,Data!$S$2:$S$1201,$B199))</f>
        <v/>
      </c>
      <c r="Z199" t="str">
        <f>IFERROR(INDEX(Data!$S$2:$S$1201,MATCH(192,Data!$Y$2:$Y$1201,0)),"")</f>
        <v/>
      </c>
    </row>
    <row r="200" spans="2:26" x14ac:dyDescent="0.25">
      <c r="B200" s="51" t="str">
        <f>IFERROR(SMALL(Rhythm!$Z$8:$Z$207,191),"")</f>
        <v/>
      </c>
      <c r="C200" s="42" t="str">
        <f t="shared" si="20"/>
        <v/>
      </c>
      <c r="D200" s="44" t="str">
        <f>IF($B200="","",SUMIFS(Data!$N$2:$N$1201,Data!$S$2:$S$1201,$B200)/60)</f>
        <v/>
      </c>
      <c r="E200" s="52" t="str">
        <f>IF($B200="","",IF(SUMIFS(Data!$O$2:$O$1201,Data!$S$2:$S$1201,$B200,Data!$AP$2:$AP$1201,1)=0,"",SUMIFS(Data!$O$2:$O$1201,Data!$S$2:$S$1201,$B200,Data!$AP$2:$AP$1201,1)-$B200))</f>
        <v/>
      </c>
      <c r="F200" s="52" t="str">
        <f>IF($B200="","",IF(SUMIFS(Data!$P$2:$P$1201,Data!$S$2:$S$1201,$B200,Data!$AQ$2:$AQ$1201,1)=0,"",SUMIFS(Data!$P$2:$P$1201,Data!$S$2:$S$1201,$B200,Data!$AQ$2:$AQ$1201,1)-$B200))</f>
        <v/>
      </c>
      <c r="G200" s="53" t="str">
        <f t="shared" si="21"/>
        <v/>
      </c>
      <c r="H200" s="53" t="str">
        <f t="shared" si="22"/>
        <v/>
      </c>
      <c r="I200" s="45" t="str">
        <f t="shared" si="23"/>
        <v/>
      </c>
      <c r="J200" s="47" t="str">
        <f>IF($B200="","",COUNTIFS(Data!$S$2:$S$1201,$B200,Data!$E$2:$E$1201,"timed"))</f>
        <v/>
      </c>
      <c r="K200" s="47" t="str">
        <f>IF($B200="","",SUMIFS(Data!$AG$2:$AG$1201,Data!$S$2:$S$1201,$B200))</f>
        <v/>
      </c>
      <c r="L200" s="45" t="str">
        <f>IF(OR($B200="",$D200=0),"",SUMIFS(Data!$N$2:$N$1201,Data!$S$2:$S$1201,$B200,Data!$AI$2:$AI$1201,1)/60/$D200)</f>
        <v/>
      </c>
      <c r="M200" s="49" t="str">
        <f>IF($B200="","",SUMIFS(Data!$AL$2:$AL$1201,Data!$S$2:$S$1201,$B200))</f>
        <v/>
      </c>
      <c r="Z200" t="str">
        <f>IFERROR(INDEX(Data!$S$2:$S$1201,MATCH(193,Data!$Y$2:$Y$1201,0)),"")</f>
        <v/>
      </c>
    </row>
    <row r="201" spans="2:26" x14ac:dyDescent="0.25">
      <c r="B201" s="51" t="str">
        <f>IFERROR(SMALL(Rhythm!$Z$8:$Z$207,192),"")</f>
        <v/>
      </c>
      <c r="C201" s="42" t="str">
        <f t="shared" si="20"/>
        <v/>
      </c>
      <c r="D201" s="44" t="str">
        <f>IF($B201="","",SUMIFS(Data!$N$2:$N$1201,Data!$S$2:$S$1201,$B201)/60)</f>
        <v/>
      </c>
      <c r="E201" s="52" t="str">
        <f>IF($B201="","",IF(SUMIFS(Data!$O$2:$O$1201,Data!$S$2:$S$1201,$B201,Data!$AP$2:$AP$1201,1)=0,"",SUMIFS(Data!$O$2:$O$1201,Data!$S$2:$S$1201,$B201,Data!$AP$2:$AP$1201,1)-$B201))</f>
        <v/>
      </c>
      <c r="F201" s="52" t="str">
        <f>IF($B201="","",IF(SUMIFS(Data!$P$2:$P$1201,Data!$S$2:$S$1201,$B201,Data!$AQ$2:$AQ$1201,1)=0,"",SUMIFS(Data!$P$2:$P$1201,Data!$S$2:$S$1201,$B201,Data!$AQ$2:$AQ$1201,1)-$B201))</f>
        <v/>
      </c>
      <c r="G201" s="53" t="str">
        <f t="shared" si="21"/>
        <v/>
      </c>
      <c r="H201" s="53" t="str">
        <f t="shared" si="22"/>
        <v/>
      </c>
      <c r="I201" s="45" t="str">
        <f t="shared" si="23"/>
        <v/>
      </c>
      <c r="J201" s="47" t="str">
        <f>IF($B201="","",COUNTIFS(Data!$S$2:$S$1201,$B201,Data!$E$2:$E$1201,"timed"))</f>
        <v/>
      </c>
      <c r="K201" s="47" t="str">
        <f>IF($B201="","",SUMIFS(Data!$AG$2:$AG$1201,Data!$S$2:$S$1201,$B201))</f>
        <v/>
      </c>
      <c r="L201" s="45" t="str">
        <f>IF(OR($B201="",$D201=0),"",SUMIFS(Data!$N$2:$N$1201,Data!$S$2:$S$1201,$B201,Data!$AI$2:$AI$1201,1)/60/$D201)</f>
        <v/>
      </c>
      <c r="M201" s="49" t="str">
        <f>IF($B201="","",SUMIFS(Data!$AL$2:$AL$1201,Data!$S$2:$S$1201,$B201))</f>
        <v/>
      </c>
      <c r="Z201" t="str">
        <f>IFERROR(INDEX(Data!$S$2:$S$1201,MATCH(194,Data!$Y$2:$Y$1201,0)),"")</f>
        <v/>
      </c>
    </row>
    <row r="202" spans="2:26" x14ac:dyDescent="0.25">
      <c r="B202" s="51" t="str">
        <f>IFERROR(SMALL(Rhythm!$Z$8:$Z$207,193),"")</f>
        <v/>
      </c>
      <c r="C202" s="42" t="str">
        <f t="shared" ref="C202:C209" si="24">IF($B202="","",TEXT($B202,"ddd"))</f>
        <v/>
      </c>
      <c r="D202" s="44" t="str">
        <f>IF($B202="","",SUMIFS(Data!$N$2:$N$1201,Data!$S$2:$S$1201,$B202)/60)</f>
        <v/>
      </c>
      <c r="E202" s="52" t="str">
        <f>IF($B202="","",IF(SUMIFS(Data!$O$2:$O$1201,Data!$S$2:$S$1201,$B202,Data!$AP$2:$AP$1201,1)=0,"",SUMIFS(Data!$O$2:$O$1201,Data!$S$2:$S$1201,$B202,Data!$AP$2:$AP$1201,1)-$B202))</f>
        <v/>
      </c>
      <c r="F202" s="52" t="str">
        <f>IF($B202="","",IF(SUMIFS(Data!$P$2:$P$1201,Data!$S$2:$S$1201,$B202,Data!$AQ$2:$AQ$1201,1)=0,"",SUMIFS(Data!$P$2:$P$1201,Data!$S$2:$S$1201,$B202,Data!$AQ$2:$AQ$1201,1)-$B202))</f>
        <v/>
      </c>
      <c r="G202" s="53" t="str">
        <f t="shared" ref="G202:G209" si="25">IF($B202="","",MAX($D202,IF(OR($E202="",$F202="",$F202&lt;=$E202),0,($F202-$E202)*24)))</f>
        <v/>
      </c>
      <c r="H202" s="53" t="str">
        <f t="shared" ref="H202:H209" si="26">IF($G202="","",$G202-$D202)</f>
        <v/>
      </c>
      <c r="I202" s="45" t="str">
        <f t="shared" ref="I202:I209" si="27">IF(OR($G202="",$G202=0),"",$D202/$G202)</f>
        <v/>
      </c>
      <c r="J202" s="47" t="str">
        <f>IF($B202="","",COUNTIFS(Data!$S$2:$S$1201,$B202,Data!$E$2:$E$1201,"timed"))</f>
        <v/>
      </c>
      <c r="K202" s="47" t="str">
        <f>IF($B202="","",SUMIFS(Data!$AG$2:$AG$1201,Data!$S$2:$S$1201,$B202))</f>
        <v/>
      </c>
      <c r="L202" s="45" t="str">
        <f>IF(OR($B202="",$D202=0),"",SUMIFS(Data!$N$2:$N$1201,Data!$S$2:$S$1201,$B202,Data!$AI$2:$AI$1201,1)/60/$D202)</f>
        <v/>
      </c>
      <c r="M202" s="49" t="str">
        <f>IF($B202="","",SUMIFS(Data!$AL$2:$AL$1201,Data!$S$2:$S$1201,$B202))</f>
        <v/>
      </c>
      <c r="Z202" t="str">
        <f>IFERROR(INDEX(Data!$S$2:$S$1201,MATCH(195,Data!$Y$2:$Y$1201,0)),"")</f>
        <v/>
      </c>
    </row>
    <row r="203" spans="2:26" x14ac:dyDescent="0.25">
      <c r="B203" s="51" t="str">
        <f>IFERROR(SMALL(Rhythm!$Z$8:$Z$207,194),"")</f>
        <v/>
      </c>
      <c r="C203" s="42" t="str">
        <f t="shared" si="24"/>
        <v/>
      </c>
      <c r="D203" s="44" t="str">
        <f>IF($B203="","",SUMIFS(Data!$N$2:$N$1201,Data!$S$2:$S$1201,$B203)/60)</f>
        <v/>
      </c>
      <c r="E203" s="52" t="str">
        <f>IF($B203="","",IF(SUMIFS(Data!$O$2:$O$1201,Data!$S$2:$S$1201,$B203,Data!$AP$2:$AP$1201,1)=0,"",SUMIFS(Data!$O$2:$O$1201,Data!$S$2:$S$1201,$B203,Data!$AP$2:$AP$1201,1)-$B203))</f>
        <v/>
      </c>
      <c r="F203" s="52" t="str">
        <f>IF($B203="","",IF(SUMIFS(Data!$P$2:$P$1201,Data!$S$2:$S$1201,$B203,Data!$AQ$2:$AQ$1201,1)=0,"",SUMIFS(Data!$P$2:$P$1201,Data!$S$2:$S$1201,$B203,Data!$AQ$2:$AQ$1201,1)-$B203))</f>
        <v/>
      </c>
      <c r="G203" s="53" t="str">
        <f t="shared" si="25"/>
        <v/>
      </c>
      <c r="H203" s="53" t="str">
        <f t="shared" si="26"/>
        <v/>
      </c>
      <c r="I203" s="45" t="str">
        <f t="shared" si="27"/>
        <v/>
      </c>
      <c r="J203" s="47" t="str">
        <f>IF($B203="","",COUNTIFS(Data!$S$2:$S$1201,$B203,Data!$E$2:$E$1201,"timed"))</f>
        <v/>
      </c>
      <c r="K203" s="47" t="str">
        <f>IF($B203="","",SUMIFS(Data!$AG$2:$AG$1201,Data!$S$2:$S$1201,$B203))</f>
        <v/>
      </c>
      <c r="L203" s="45" t="str">
        <f>IF(OR($B203="",$D203=0),"",SUMIFS(Data!$N$2:$N$1201,Data!$S$2:$S$1201,$B203,Data!$AI$2:$AI$1201,1)/60/$D203)</f>
        <v/>
      </c>
      <c r="M203" s="49" t="str">
        <f>IF($B203="","",SUMIFS(Data!$AL$2:$AL$1201,Data!$S$2:$S$1201,$B203))</f>
        <v/>
      </c>
      <c r="Z203" t="str">
        <f>IFERROR(INDEX(Data!$S$2:$S$1201,MATCH(196,Data!$Y$2:$Y$1201,0)),"")</f>
        <v/>
      </c>
    </row>
    <row r="204" spans="2:26" x14ac:dyDescent="0.25">
      <c r="B204" s="51" t="str">
        <f>IFERROR(SMALL(Rhythm!$Z$8:$Z$207,195),"")</f>
        <v/>
      </c>
      <c r="C204" s="42" t="str">
        <f t="shared" si="24"/>
        <v/>
      </c>
      <c r="D204" s="44" t="str">
        <f>IF($B204="","",SUMIFS(Data!$N$2:$N$1201,Data!$S$2:$S$1201,$B204)/60)</f>
        <v/>
      </c>
      <c r="E204" s="52" t="str">
        <f>IF($B204="","",IF(SUMIFS(Data!$O$2:$O$1201,Data!$S$2:$S$1201,$B204,Data!$AP$2:$AP$1201,1)=0,"",SUMIFS(Data!$O$2:$O$1201,Data!$S$2:$S$1201,$B204,Data!$AP$2:$AP$1201,1)-$B204))</f>
        <v/>
      </c>
      <c r="F204" s="52" t="str">
        <f>IF($B204="","",IF(SUMIFS(Data!$P$2:$P$1201,Data!$S$2:$S$1201,$B204,Data!$AQ$2:$AQ$1201,1)=0,"",SUMIFS(Data!$P$2:$P$1201,Data!$S$2:$S$1201,$B204,Data!$AQ$2:$AQ$1201,1)-$B204))</f>
        <v/>
      </c>
      <c r="G204" s="53" t="str">
        <f t="shared" si="25"/>
        <v/>
      </c>
      <c r="H204" s="53" t="str">
        <f t="shared" si="26"/>
        <v/>
      </c>
      <c r="I204" s="45" t="str">
        <f t="shared" si="27"/>
        <v/>
      </c>
      <c r="J204" s="47" t="str">
        <f>IF($B204="","",COUNTIFS(Data!$S$2:$S$1201,$B204,Data!$E$2:$E$1201,"timed"))</f>
        <v/>
      </c>
      <c r="K204" s="47" t="str">
        <f>IF($B204="","",SUMIFS(Data!$AG$2:$AG$1201,Data!$S$2:$S$1201,$B204))</f>
        <v/>
      </c>
      <c r="L204" s="45" t="str">
        <f>IF(OR($B204="",$D204=0),"",SUMIFS(Data!$N$2:$N$1201,Data!$S$2:$S$1201,$B204,Data!$AI$2:$AI$1201,1)/60/$D204)</f>
        <v/>
      </c>
      <c r="M204" s="49" t="str">
        <f>IF($B204="","",SUMIFS(Data!$AL$2:$AL$1201,Data!$S$2:$S$1201,$B204))</f>
        <v/>
      </c>
      <c r="Z204" t="str">
        <f>IFERROR(INDEX(Data!$S$2:$S$1201,MATCH(197,Data!$Y$2:$Y$1201,0)),"")</f>
        <v/>
      </c>
    </row>
    <row r="205" spans="2:26" x14ac:dyDescent="0.25">
      <c r="B205" s="51" t="str">
        <f>IFERROR(SMALL(Rhythm!$Z$8:$Z$207,196),"")</f>
        <v/>
      </c>
      <c r="C205" s="42" t="str">
        <f t="shared" si="24"/>
        <v/>
      </c>
      <c r="D205" s="44" t="str">
        <f>IF($B205="","",SUMIFS(Data!$N$2:$N$1201,Data!$S$2:$S$1201,$B205)/60)</f>
        <v/>
      </c>
      <c r="E205" s="52" t="str">
        <f>IF($B205="","",IF(SUMIFS(Data!$O$2:$O$1201,Data!$S$2:$S$1201,$B205,Data!$AP$2:$AP$1201,1)=0,"",SUMIFS(Data!$O$2:$O$1201,Data!$S$2:$S$1201,$B205,Data!$AP$2:$AP$1201,1)-$B205))</f>
        <v/>
      </c>
      <c r="F205" s="52" t="str">
        <f>IF($B205="","",IF(SUMIFS(Data!$P$2:$P$1201,Data!$S$2:$S$1201,$B205,Data!$AQ$2:$AQ$1201,1)=0,"",SUMIFS(Data!$P$2:$P$1201,Data!$S$2:$S$1201,$B205,Data!$AQ$2:$AQ$1201,1)-$B205))</f>
        <v/>
      </c>
      <c r="G205" s="53" t="str">
        <f t="shared" si="25"/>
        <v/>
      </c>
      <c r="H205" s="53" t="str">
        <f t="shared" si="26"/>
        <v/>
      </c>
      <c r="I205" s="45" t="str">
        <f t="shared" si="27"/>
        <v/>
      </c>
      <c r="J205" s="47" t="str">
        <f>IF($B205="","",COUNTIFS(Data!$S$2:$S$1201,$B205,Data!$E$2:$E$1201,"timed"))</f>
        <v/>
      </c>
      <c r="K205" s="47" t="str">
        <f>IF($B205="","",SUMIFS(Data!$AG$2:$AG$1201,Data!$S$2:$S$1201,$B205))</f>
        <v/>
      </c>
      <c r="L205" s="45" t="str">
        <f>IF(OR($B205="",$D205=0),"",SUMIFS(Data!$N$2:$N$1201,Data!$S$2:$S$1201,$B205,Data!$AI$2:$AI$1201,1)/60/$D205)</f>
        <v/>
      </c>
      <c r="M205" s="49" t="str">
        <f>IF($B205="","",SUMIFS(Data!$AL$2:$AL$1201,Data!$S$2:$S$1201,$B205))</f>
        <v/>
      </c>
      <c r="Z205" t="str">
        <f>IFERROR(INDEX(Data!$S$2:$S$1201,MATCH(198,Data!$Y$2:$Y$1201,0)),"")</f>
        <v/>
      </c>
    </row>
    <row r="206" spans="2:26" x14ac:dyDescent="0.25">
      <c r="B206" s="51" t="str">
        <f>IFERROR(SMALL(Rhythm!$Z$8:$Z$207,197),"")</f>
        <v/>
      </c>
      <c r="C206" s="42" t="str">
        <f t="shared" si="24"/>
        <v/>
      </c>
      <c r="D206" s="44" t="str">
        <f>IF($B206="","",SUMIFS(Data!$N$2:$N$1201,Data!$S$2:$S$1201,$B206)/60)</f>
        <v/>
      </c>
      <c r="E206" s="52" t="str">
        <f>IF($B206="","",IF(SUMIFS(Data!$O$2:$O$1201,Data!$S$2:$S$1201,$B206,Data!$AP$2:$AP$1201,1)=0,"",SUMIFS(Data!$O$2:$O$1201,Data!$S$2:$S$1201,$B206,Data!$AP$2:$AP$1201,1)-$B206))</f>
        <v/>
      </c>
      <c r="F206" s="52" t="str">
        <f>IF($B206="","",IF(SUMIFS(Data!$P$2:$P$1201,Data!$S$2:$S$1201,$B206,Data!$AQ$2:$AQ$1201,1)=0,"",SUMIFS(Data!$P$2:$P$1201,Data!$S$2:$S$1201,$B206,Data!$AQ$2:$AQ$1201,1)-$B206))</f>
        <v/>
      </c>
      <c r="G206" s="53" t="str">
        <f t="shared" si="25"/>
        <v/>
      </c>
      <c r="H206" s="53" t="str">
        <f t="shared" si="26"/>
        <v/>
      </c>
      <c r="I206" s="45" t="str">
        <f t="shared" si="27"/>
        <v/>
      </c>
      <c r="J206" s="47" t="str">
        <f>IF($B206="","",COUNTIFS(Data!$S$2:$S$1201,$B206,Data!$E$2:$E$1201,"timed"))</f>
        <v/>
      </c>
      <c r="K206" s="47" t="str">
        <f>IF($B206="","",SUMIFS(Data!$AG$2:$AG$1201,Data!$S$2:$S$1201,$B206))</f>
        <v/>
      </c>
      <c r="L206" s="45" t="str">
        <f>IF(OR($B206="",$D206=0),"",SUMIFS(Data!$N$2:$N$1201,Data!$S$2:$S$1201,$B206,Data!$AI$2:$AI$1201,1)/60/$D206)</f>
        <v/>
      </c>
      <c r="M206" s="49" t="str">
        <f>IF($B206="","",SUMIFS(Data!$AL$2:$AL$1201,Data!$S$2:$S$1201,$B206))</f>
        <v/>
      </c>
      <c r="Z206" t="str">
        <f>IFERROR(INDEX(Data!$S$2:$S$1201,MATCH(199,Data!$Y$2:$Y$1201,0)),"")</f>
        <v/>
      </c>
    </row>
    <row r="207" spans="2:26" x14ac:dyDescent="0.25">
      <c r="B207" s="51" t="str">
        <f>IFERROR(SMALL(Rhythm!$Z$8:$Z$207,198),"")</f>
        <v/>
      </c>
      <c r="C207" s="42" t="str">
        <f t="shared" si="24"/>
        <v/>
      </c>
      <c r="D207" s="44" t="str">
        <f>IF($B207="","",SUMIFS(Data!$N$2:$N$1201,Data!$S$2:$S$1201,$B207)/60)</f>
        <v/>
      </c>
      <c r="E207" s="52" t="str">
        <f>IF($B207="","",IF(SUMIFS(Data!$O$2:$O$1201,Data!$S$2:$S$1201,$B207,Data!$AP$2:$AP$1201,1)=0,"",SUMIFS(Data!$O$2:$O$1201,Data!$S$2:$S$1201,$B207,Data!$AP$2:$AP$1201,1)-$B207))</f>
        <v/>
      </c>
      <c r="F207" s="52" t="str">
        <f>IF($B207="","",IF(SUMIFS(Data!$P$2:$P$1201,Data!$S$2:$S$1201,$B207,Data!$AQ$2:$AQ$1201,1)=0,"",SUMIFS(Data!$P$2:$P$1201,Data!$S$2:$S$1201,$B207,Data!$AQ$2:$AQ$1201,1)-$B207))</f>
        <v/>
      </c>
      <c r="G207" s="53" t="str">
        <f t="shared" si="25"/>
        <v/>
      </c>
      <c r="H207" s="53" t="str">
        <f t="shared" si="26"/>
        <v/>
      </c>
      <c r="I207" s="45" t="str">
        <f t="shared" si="27"/>
        <v/>
      </c>
      <c r="J207" s="47" t="str">
        <f>IF($B207="","",COUNTIFS(Data!$S$2:$S$1201,$B207,Data!$E$2:$E$1201,"timed"))</f>
        <v/>
      </c>
      <c r="K207" s="47" t="str">
        <f>IF($B207="","",SUMIFS(Data!$AG$2:$AG$1201,Data!$S$2:$S$1201,$B207))</f>
        <v/>
      </c>
      <c r="L207" s="45" t="str">
        <f>IF(OR($B207="",$D207=0),"",SUMIFS(Data!$N$2:$N$1201,Data!$S$2:$S$1201,$B207,Data!$AI$2:$AI$1201,1)/60/$D207)</f>
        <v/>
      </c>
      <c r="M207" s="49" t="str">
        <f>IF($B207="","",SUMIFS(Data!$AL$2:$AL$1201,Data!$S$2:$S$1201,$B207))</f>
        <v/>
      </c>
      <c r="Z207" t="str">
        <f>IFERROR(INDEX(Data!$S$2:$S$1201,MATCH(200,Data!$Y$2:$Y$1201,0)),"")</f>
        <v/>
      </c>
    </row>
    <row r="208" spans="2:26" x14ac:dyDescent="0.25">
      <c r="B208" s="51" t="str">
        <f>IFERROR(SMALL(Rhythm!$Z$8:$Z$207,199),"")</f>
        <v/>
      </c>
      <c r="C208" s="42" t="str">
        <f t="shared" si="24"/>
        <v/>
      </c>
      <c r="D208" s="44" t="str">
        <f>IF($B208="","",SUMIFS(Data!$N$2:$N$1201,Data!$S$2:$S$1201,$B208)/60)</f>
        <v/>
      </c>
      <c r="E208" s="52" t="str">
        <f>IF($B208="","",IF(SUMIFS(Data!$O$2:$O$1201,Data!$S$2:$S$1201,$B208,Data!$AP$2:$AP$1201,1)=0,"",SUMIFS(Data!$O$2:$O$1201,Data!$S$2:$S$1201,$B208,Data!$AP$2:$AP$1201,1)-$B208))</f>
        <v/>
      </c>
      <c r="F208" s="52" t="str">
        <f>IF($B208="","",IF(SUMIFS(Data!$P$2:$P$1201,Data!$S$2:$S$1201,$B208,Data!$AQ$2:$AQ$1201,1)=0,"",SUMIFS(Data!$P$2:$P$1201,Data!$S$2:$S$1201,$B208,Data!$AQ$2:$AQ$1201,1)-$B208))</f>
        <v/>
      </c>
      <c r="G208" s="53" t="str">
        <f t="shared" si="25"/>
        <v/>
      </c>
      <c r="H208" s="53" t="str">
        <f t="shared" si="26"/>
        <v/>
      </c>
      <c r="I208" s="45" t="str">
        <f t="shared" si="27"/>
        <v/>
      </c>
      <c r="J208" s="47" t="str">
        <f>IF($B208="","",COUNTIFS(Data!$S$2:$S$1201,$B208,Data!$E$2:$E$1201,"timed"))</f>
        <v/>
      </c>
      <c r="K208" s="47" t="str">
        <f>IF($B208="","",SUMIFS(Data!$AG$2:$AG$1201,Data!$S$2:$S$1201,$B208))</f>
        <v/>
      </c>
      <c r="L208" s="45" t="str">
        <f>IF(OR($B208="",$D208=0),"",SUMIFS(Data!$N$2:$N$1201,Data!$S$2:$S$1201,$B208,Data!$AI$2:$AI$1201,1)/60/$D208)</f>
        <v/>
      </c>
      <c r="M208" s="49" t="str">
        <f>IF($B208="","",SUMIFS(Data!$AL$2:$AL$1201,Data!$S$2:$S$1201,$B208))</f>
        <v/>
      </c>
    </row>
    <row r="209" spans="2:13" x14ac:dyDescent="0.25">
      <c r="B209" s="51" t="str">
        <f>IFERROR(SMALL(Rhythm!$Z$8:$Z$207,200),"")</f>
        <v/>
      </c>
      <c r="C209" s="42" t="str">
        <f t="shared" si="24"/>
        <v/>
      </c>
      <c r="D209" s="44" t="str">
        <f>IF($B209="","",SUMIFS(Data!$N$2:$N$1201,Data!$S$2:$S$1201,$B209)/60)</f>
        <v/>
      </c>
      <c r="E209" s="52" t="str">
        <f>IF($B209="","",IF(SUMIFS(Data!$O$2:$O$1201,Data!$S$2:$S$1201,$B209,Data!$AP$2:$AP$1201,1)=0,"",SUMIFS(Data!$O$2:$O$1201,Data!$S$2:$S$1201,$B209,Data!$AP$2:$AP$1201,1)-$B209))</f>
        <v/>
      </c>
      <c r="F209" s="52" t="str">
        <f>IF($B209="","",IF(SUMIFS(Data!$P$2:$P$1201,Data!$S$2:$S$1201,$B209,Data!$AQ$2:$AQ$1201,1)=0,"",SUMIFS(Data!$P$2:$P$1201,Data!$S$2:$S$1201,$B209,Data!$AQ$2:$AQ$1201,1)-$B209))</f>
        <v/>
      </c>
      <c r="G209" s="53" t="str">
        <f t="shared" si="25"/>
        <v/>
      </c>
      <c r="H209" s="53" t="str">
        <f t="shared" si="26"/>
        <v/>
      </c>
      <c r="I209" s="45" t="str">
        <f t="shared" si="27"/>
        <v/>
      </c>
      <c r="J209" s="47" t="str">
        <f>IF($B209="","",COUNTIFS(Data!$S$2:$S$1201,$B209,Data!$E$2:$E$1201,"timed"))</f>
        <v/>
      </c>
      <c r="K209" s="47" t="str">
        <f>IF($B209="","",SUMIFS(Data!$AG$2:$AG$1201,Data!$S$2:$S$1201,$B209))</f>
        <v/>
      </c>
      <c r="L209" s="45" t="str">
        <f>IF(OR($B209="",$D209=0),"",SUMIFS(Data!$N$2:$N$1201,Data!$S$2:$S$1201,$B209,Data!$AI$2:$AI$1201,1)/60/$D209)</f>
        <v/>
      </c>
      <c r="M209" s="49" t="str">
        <f>IF($B209="","",SUMIFS(Data!$AL$2:$AL$1201,Data!$S$2:$S$1201,$B209))</f>
        <v/>
      </c>
    </row>
    <row r="212" spans="2:13" x14ac:dyDescent="0.25">
      <c r="B212" s="37" t="s">
        <v>116</v>
      </c>
      <c r="C212" s="38"/>
      <c r="D212" s="38"/>
      <c r="E212" s="38"/>
      <c r="F212" s="38"/>
      <c r="G212" s="38"/>
      <c r="H212" s="38"/>
      <c r="I212" s="38"/>
      <c r="J212" s="38"/>
      <c r="K212" s="38"/>
      <c r="L212" s="38"/>
      <c r="M212" s="38"/>
    </row>
    <row r="213" spans="2:13" x14ac:dyDescent="0.25">
      <c r="B213" s="39" t="s">
        <v>117</v>
      </c>
    </row>
    <row r="215" spans="2:13" x14ac:dyDescent="0.25">
      <c r="B215" s="40" t="s">
        <v>118</v>
      </c>
      <c r="C215" s="41" t="s">
        <v>119</v>
      </c>
      <c r="D215" s="41" t="s">
        <v>120</v>
      </c>
      <c r="E215" s="41" t="s">
        <v>121</v>
      </c>
      <c r="F215" s="41" t="s">
        <v>122</v>
      </c>
      <c r="G215" s="41" t="s">
        <v>123</v>
      </c>
      <c r="H215" s="41" t="s">
        <v>124</v>
      </c>
      <c r="I215" s="41" t="s">
        <v>125</v>
      </c>
      <c r="J215" s="41" t="s">
        <v>126</v>
      </c>
      <c r="K215" s="41" t="s">
        <v>96</v>
      </c>
    </row>
    <row r="216" spans="2:13" x14ac:dyDescent="0.25">
      <c r="B216" s="50" t="s">
        <v>127</v>
      </c>
      <c r="C216" s="54">
        <f>IF(SUMIFS(Data!$N$2:$N$1201,Data!$E$2:$E$1201,"timed")=0,"",SUMIFS(Data!$N$2:$N$1201,Data!$Q$2:$Q$1201,0,Data!$R$2:$R$1201,1)/60)</f>
        <v>0</v>
      </c>
      <c r="D216" s="54">
        <f>IF(SUMIFS(Data!$N$2:$N$1201,Data!$E$2:$E$1201,"timed")=0,"",SUMIFS(Data!$N$2:$N$1201,Data!$Q$2:$Q$1201,0,Data!$R$2:$R$1201,2)/60)</f>
        <v>0</v>
      </c>
      <c r="E216" s="54">
        <f>IF(SUMIFS(Data!$N$2:$N$1201,Data!$E$2:$E$1201,"timed")=0,"",SUMIFS(Data!$N$2:$N$1201,Data!$Q$2:$Q$1201,0,Data!$R$2:$R$1201,3)/60)</f>
        <v>0</v>
      </c>
      <c r="F216" s="54">
        <f>IF(SUMIFS(Data!$N$2:$N$1201,Data!$E$2:$E$1201,"timed")=0,"",SUMIFS(Data!$N$2:$N$1201,Data!$Q$2:$Q$1201,0,Data!$R$2:$R$1201,4)/60)</f>
        <v>0</v>
      </c>
      <c r="G216" s="54">
        <f>IF(SUMIFS(Data!$N$2:$N$1201,Data!$E$2:$E$1201,"timed")=0,"",SUMIFS(Data!$N$2:$N$1201,Data!$Q$2:$Q$1201,0,Data!$R$2:$R$1201,5)/60)</f>
        <v>0</v>
      </c>
      <c r="H216" s="54">
        <f>IF(SUMIFS(Data!$N$2:$N$1201,Data!$E$2:$E$1201,"timed")=0,"",SUMIFS(Data!$N$2:$N$1201,Data!$Q$2:$Q$1201,0,Data!$R$2:$R$1201,6)/60)</f>
        <v>0</v>
      </c>
      <c r="I216" s="54">
        <f>IF(SUMIFS(Data!$N$2:$N$1201,Data!$E$2:$E$1201,"timed")=0,"",SUMIFS(Data!$N$2:$N$1201,Data!$Q$2:$Q$1201,0,Data!$R$2:$R$1201,7)/60)</f>
        <v>0</v>
      </c>
      <c r="J216" s="44">
        <f>IF(SUMIFS(Data!$N$2:$N$1201,Data!$E$2:$E$1201,"timed")=0,"",SUMIFS(Data!$N$2:$N$1201,Data!$Q$2:$Q$1201,0)/60)</f>
        <v>0</v>
      </c>
      <c r="K216" s="45">
        <f>IF(SUMIFS(Data!$N$2:$N$1201,Data!$E$2:$E$1201,"timed")=0,"",SUMIFS(Data!$N$2:$N$1201,Data!$Q$2:$Q$1201,0)/SUMIFS(Data!$N$2:$N$1201,Data!$E$2:$E$1201,"timed"))</f>
        <v>0</v>
      </c>
    </row>
    <row r="217" spans="2:13" x14ac:dyDescent="0.25">
      <c r="B217" s="50" t="s">
        <v>128</v>
      </c>
      <c r="C217" s="54">
        <f>IF(SUMIFS(Data!$N$2:$N$1201,Data!$E$2:$E$1201,"timed")=0,"",SUMIFS(Data!$N$2:$N$1201,Data!$Q$2:$Q$1201,1,Data!$R$2:$R$1201,1)/60)</f>
        <v>0</v>
      </c>
      <c r="D217" s="54">
        <f>IF(SUMIFS(Data!$N$2:$N$1201,Data!$E$2:$E$1201,"timed")=0,"",SUMIFS(Data!$N$2:$N$1201,Data!$Q$2:$Q$1201,1,Data!$R$2:$R$1201,2)/60)</f>
        <v>0</v>
      </c>
      <c r="E217" s="54">
        <f>IF(SUMIFS(Data!$N$2:$N$1201,Data!$E$2:$E$1201,"timed")=0,"",SUMIFS(Data!$N$2:$N$1201,Data!$Q$2:$Q$1201,1,Data!$R$2:$R$1201,3)/60)</f>
        <v>0</v>
      </c>
      <c r="F217" s="54">
        <f>IF(SUMIFS(Data!$N$2:$N$1201,Data!$E$2:$E$1201,"timed")=0,"",SUMIFS(Data!$N$2:$N$1201,Data!$Q$2:$Q$1201,1,Data!$R$2:$R$1201,4)/60)</f>
        <v>0</v>
      </c>
      <c r="G217" s="54">
        <f>IF(SUMIFS(Data!$N$2:$N$1201,Data!$E$2:$E$1201,"timed")=0,"",SUMIFS(Data!$N$2:$N$1201,Data!$Q$2:$Q$1201,1,Data!$R$2:$R$1201,5)/60)</f>
        <v>0</v>
      </c>
      <c r="H217" s="54">
        <f>IF(SUMIFS(Data!$N$2:$N$1201,Data!$E$2:$E$1201,"timed")=0,"",SUMIFS(Data!$N$2:$N$1201,Data!$Q$2:$Q$1201,1,Data!$R$2:$R$1201,6)/60)</f>
        <v>0</v>
      </c>
      <c r="I217" s="54">
        <f>IF(SUMIFS(Data!$N$2:$N$1201,Data!$E$2:$E$1201,"timed")=0,"",SUMIFS(Data!$N$2:$N$1201,Data!$Q$2:$Q$1201,1,Data!$R$2:$R$1201,7)/60)</f>
        <v>0</v>
      </c>
      <c r="J217" s="44">
        <f>IF(SUMIFS(Data!$N$2:$N$1201,Data!$E$2:$E$1201,"timed")=0,"",SUMIFS(Data!$N$2:$N$1201,Data!$Q$2:$Q$1201,1)/60)</f>
        <v>0</v>
      </c>
      <c r="K217" s="45">
        <f>IF(SUMIFS(Data!$N$2:$N$1201,Data!$E$2:$E$1201,"timed")=0,"",SUMIFS(Data!$N$2:$N$1201,Data!$Q$2:$Q$1201,1)/SUMIFS(Data!$N$2:$N$1201,Data!$E$2:$E$1201,"timed"))</f>
        <v>0</v>
      </c>
    </row>
    <row r="218" spans="2:13" x14ac:dyDescent="0.25">
      <c r="B218" s="50" t="s">
        <v>129</v>
      </c>
      <c r="C218" s="54">
        <f>IF(SUMIFS(Data!$N$2:$N$1201,Data!$E$2:$E$1201,"timed")=0,"",SUMIFS(Data!$N$2:$N$1201,Data!$Q$2:$Q$1201,2,Data!$R$2:$R$1201,1)/60)</f>
        <v>0</v>
      </c>
      <c r="D218" s="54">
        <f>IF(SUMIFS(Data!$N$2:$N$1201,Data!$E$2:$E$1201,"timed")=0,"",SUMIFS(Data!$N$2:$N$1201,Data!$Q$2:$Q$1201,2,Data!$R$2:$R$1201,2)/60)</f>
        <v>0</v>
      </c>
      <c r="E218" s="54">
        <f>IF(SUMIFS(Data!$N$2:$N$1201,Data!$E$2:$E$1201,"timed")=0,"",SUMIFS(Data!$N$2:$N$1201,Data!$Q$2:$Q$1201,2,Data!$R$2:$R$1201,3)/60)</f>
        <v>0</v>
      </c>
      <c r="F218" s="54">
        <f>IF(SUMIFS(Data!$N$2:$N$1201,Data!$E$2:$E$1201,"timed")=0,"",SUMIFS(Data!$N$2:$N$1201,Data!$Q$2:$Q$1201,2,Data!$R$2:$R$1201,4)/60)</f>
        <v>0</v>
      </c>
      <c r="G218" s="54">
        <f>IF(SUMIFS(Data!$N$2:$N$1201,Data!$E$2:$E$1201,"timed")=0,"",SUMIFS(Data!$N$2:$N$1201,Data!$Q$2:$Q$1201,2,Data!$R$2:$R$1201,5)/60)</f>
        <v>0</v>
      </c>
      <c r="H218" s="54">
        <f>IF(SUMIFS(Data!$N$2:$N$1201,Data!$E$2:$E$1201,"timed")=0,"",SUMIFS(Data!$N$2:$N$1201,Data!$Q$2:$Q$1201,2,Data!$R$2:$R$1201,6)/60)</f>
        <v>0</v>
      </c>
      <c r="I218" s="54">
        <f>IF(SUMIFS(Data!$N$2:$N$1201,Data!$E$2:$E$1201,"timed")=0,"",SUMIFS(Data!$N$2:$N$1201,Data!$Q$2:$Q$1201,2,Data!$R$2:$R$1201,7)/60)</f>
        <v>0</v>
      </c>
      <c r="J218" s="44">
        <f>IF(SUMIFS(Data!$N$2:$N$1201,Data!$E$2:$E$1201,"timed")=0,"",SUMIFS(Data!$N$2:$N$1201,Data!$Q$2:$Q$1201,2)/60)</f>
        <v>0</v>
      </c>
      <c r="K218" s="45">
        <f>IF(SUMIFS(Data!$N$2:$N$1201,Data!$E$2:$E$1201,"timed")=0,"",SUMIFS(Data!$N$2:$N$1201,Data!$Q$2:$Q$1201,2)/SUMIFS(Data!$N$2:$N$1201,Data!$E$2:$E$1201,"timed"))</f>
        <v>0</v>
      </c>
    </row>
    <row r="219" spans="2:13" x14ac:dyDescent="0.25">
      <c r="B219" s="50" t="s">
        <v>130</v>
      </c>
      <c r="C219" s="54">
        <f>IF(SUMIFS(Data!$N$2:$N$1201,Data!$E$2:$E$1201,"timed")=0,"",SUMIFS(Data!$N$2:$N$1201,Data!$Q$2:$Q$1201,3,Data!$R$2:$R$1201,1)/60)</f>
        <v>0</v>
      </c>
      <c r="D219" s="54">
        <f>IF(SUMIFS(Data!$N$2:$N$1201,Data!$E$2:$E$1201,"timed")=0,"",SUMIFS(Data!$N$2:$N$1201,Data!$Q$2:$Q$1201,3,Data!$R$2:$R$1201,2)/60)</f>
        <v>0</v>
      </c>
      <c r="E219" s="54">
        <f>IF(SUMIFS(Data!$N$2:$N$1201,Data!$E$2:$E$1201,"timed")=0,"",SUMIFS(Data!$N$2:$N$1201,Data!$Q$2:$Q$1201,3,Data!$R$2:$R$1201,3)/60)</f>
        <v>0</v>
      </c>
      <c r="F219" s="54">
        <f>IF(SUMIFS(Data!$N$2:$N$1201,Data!$E$2:$E$1201,"timed")=0,"",SUMIFS(Data!$N$2:$N$1201,Data!$Q$2:$Q$1201,3,Data!$R$2:$R$1201,4)/60)</f>
        <v>0</v>
      </c>
      <c r="G219" s="54">
        <f>IF(SUMIFS(Data!$N$2:$N$1201,Data!$E$2:$E$1201,"timed")=0,"",SUMIFS(Data!$N$2:$N$1201,Data!$Q$2:$Q$1201,3,Data!$R$2:$R$1201,5)/60)</f>
        <v>0</v>
      </c>
      <c r="H219" s="54">
        <f>IF(SUMIFS(Data!$N$2:$N$1201,Data!$E$2:$E$1201,"timed")=0,"",SUMIFS(Data!$N$2:$N$1201,Data!$Q$2:$Q$1201,3,Data!$R$2:$R$1201,6)/60)</f>
        <v>0</v>
      </c>
      <c r="I219" s="54">
        <f>IF(SUMIFS(Data!$N$2:$N$1201,Data!$E$2:$E$1201,"timed")=0,"",SUMIFS(Data!$N$2:$N$1201,Data!$Q$2:$Q$1201,3,Data!$R$2:$R$1201,7)/60)</f>
        <v>0</v>
      </c>
      <c r="J219" s="44">
        <f>IF(SUMIFS(Data!$N$2:$N$1201,Data!$E$2:$E$1201,"timed")=0,"",SUMIFS(Data!$N$2:$N$1201,Data!$Q$2:$Q$1201,3)/60)</f>
        <v>0</v>
      </c>
      <c r="K219" s="45">
        <f>IF(SUMIFS(Data!$N$2:$N$1201,Data!$E$2:$E$1201,"timed")=0,"",SUMIFS(Data!$N$2:$N$1201,Data!$Q$2:$Q$1201,3)/SUMIFS(Data!$N$2:$N$1201,Data!$E$2:$E$1201,"timed"))</f>
        <v>0</v>
      </c>
    </row>
    <row r="220" spans="2:13" x14ac:dyDescent="0.25">
      <c r="B220" s="50" t="s">
        <v>131</v>
      </c>
      <c r="C220" s="54">
        <f>IF(SUMIFS(Data!$N$2:$N$1201,Data!$E$2:$E$1201,"timed")=0,"",SUMIFS(Data!$N$2:$N$1201,Data!$Q$2:$Q$1201,4,Data!$R$2:$R$1201,1)/60)</f>
        <v>0</v>
      </c>
      <c r="D220" s="54">
        <f>IF(SUMIFS(Data!$N$2:$N$1201,Data!$E$2:$E$1201,"timed")=0,"",SUMIFS(Data!$N$2:$N$1201,Data!$Q$2:$Q$1201,4,Data!$R$2:$R$1201,2)/60)</f>
        <v>0</v>
      </c>
      <c r="E220" s="54">
        <f>IF(SUMIFS(Data!$N$2:$N$1201,Data!$E$2:$E$1201,"timed")=0,"",SUMIFS(Data!$N$2:$N$1201,Data!$Q$2:$Q$1201,4,Data!$R$2:$R$1201,3)/60)</f>
        <v>0</v>
      </c>
      <c r="F220" s="54">
        <f>IF(SUMIFS(Data!$N$2:$N$1201,Data!$E$2:$E$1201,"timed")=0,"",SUMIFS(Data!$N$2:$N$1201,Data!$Q$2:$Q$1201,4,Data!$R$2:$R$1201,4)/60)</f>
        <v>0</v>
      </c>
      <c r="G220" s="54">
        <f>IF(SUMIFS(Data!$N$2:$N$1201,Data!$E$2:$E$1201,"timed")=0,"",SUMIFS(Data!$N$2:$N$1201,Data!$Q$2:$Q$1201,4,Data!$R$2:$R$1201,5)/60)</f>
        <v>0</v>
      </c>
      <c r="H220" s="54">
        <f>IF(SUMIFS(Data!$N$2:$N$1201,Data!$E$2:$E$1201,"timed")=0,"",SUMIFS(Data!$N$2:$N$1201,Data!$Q$2:$Q$1201,4,Data!$R$2:$R$1201,6)/60)</f>
        <v>0</v>
      </c>
      <c r="I220" s="54">
        <f>IF(SUMIFS(Data!$N$2:$N$1201,Data!$E$2:$E$1201,"timed")=0,"",SUMIFS(Data!$N$2:$N$1201,Data!$Q$2:$Q$1201,4,Data!$R$2:$R$1201,7)/60)</f>
        <v>0</v>
      </c>
      <c r="J220" s="44">
        <f>IF(SUMIFS(Data!$N$2:$N$1201,Data!$E$2:$E$1201,"timed")=0,"",SUMIFS(Data!$N$2:$N$1201,Data!$Q$2:$Q$1201,4)/60)</f>
        <v>0</v>
      </c>
      <c r="K220" s="45">
        <f>IF(SUMIFS(Data!$N$2:$N$1201,Data!$E$2:$E$1201,"timed")=0,"",SUMIFS(Data!$N$2:$N$1201,Data!$Q$2:$Q$1201,4)/SUMIFS(Data!$N$2:$N$1201,Data!$E$2:$E$1201,"timed"))</f>
        <v>0</v>
      </c>
    </row>
    <row r="221" spans="2:13" x14ac:dyDescent="0.25">
      <c r="B221" s="50" t="s">
        <v>132</v>
      </c>
      <c r="C221" s="54">
        <f>IF(SUMIFS(Data!$N$2:$N$1201,Data!$E$2:$E$1201,"timed")=0,"",SUMIFS(Data!$N$2:$N$1201,Data!$Q$2:$Q$1201,5,Data!$R$2:$R$1201,1)/60)</f>
        <v>0</v>
      </c>
      <c r="D221" s="54">
        <f>IF(SUMIFS(Data!$N$2:$N$1201,Data!$E$2:$E$1201,"timed")=0,"",SUMIFS(Data!$N$2:$N$1201,Data!$Q$2:$Q$1201,5,Data!$R$2:$R$1201,2)/60)</f>
        <v>0</v>
      </c>
      <c r="E221" s="54">
        <f>IF(SUMIFS(Data!$N$2:$N$1201,Data!$E$2:$E$1201,"timed")=0,"",SUMIFS(Data!$N$2:$N$1201,Data!$Q$2:$Q$1201,5,Data!$R$2:$R$1201,3)/60)</f>
        <v>0</v>
      </c>
      <c r="F221" s="54">
        <f>IF(SUMIFS(Data!$N$2:$N$1201,Data!$E$2:$E$1201,"timed")=0,"",SUMIFS(Data!$N$2:$N$1201,Data!$Q$2:$Q$1201,5,Data!$R$2:$R$1201,4)/60)</f>
        <v>0</v>
      </c>
      <c r="G221" s="54">
        <f>IF(SUMIFS(Data!$N$2:$N$1201,Data!$E$2:$E$1201,"timed")=0,"",SUMIFS(Data!$N$2:$N$1201,Data!$Q$2:$Q$1201,5,Data!$R$2:$R$1201,5)/60)</f>
        <v>0</v>
      </c>
      <c r="H221" s="54">
        <f>IF(SUMIFS(Data!$N$2:$N$1201,Data!$E$2:$E$1201,"timed")=0,"",SUMIFS(Data!$N$2:$N$1201,Data!$Q$2:$Q$1201,5,Data!$R$2:$R$1201,6)/60)</f>
        <v>0</v>
      </c>
      <c r="I221" s="54">
        <f>IF(SUMIFS(Data!$N$2:$N$1201,Data!$E$2:$E$1201,"timed")=0,"",SUMIFS(Data!$N$2:$N$1201,Data!$Q$2:$Q$1201,5,Data!$R$2:$R$1201,7)/60)</f>
        <v>0</v>
      </c>
      <c r="J221" s="44">
        <f>IF(SUMIFS(Data!$N$2:$N$1201,Data!$E$2:$E$1201,"timed")=0,"",SUMIFS(Data!$N$2:$N$1201,Data!$Q$2:$Q$1201,5)/60)</f>
        <v>0</v>
      </c>
      <c r="K221" s="45">
        <f>IF(SUMIFS(Data!$N$2:$N$1201,Data!$E$2:$E$1201,"timed")=0,"",SUMIFS(Data!$N$2:$N$1201,Data!$Q$2:$Q$1201,5)/SUMIFS(Data!$N$2:$N$1201,Data!$E$2:$E$1201,"timed"))</f>
        <v>0</v>
      </c>
    </row>
    <row r="222" spans="2:13" x14ac:dyDescent="0.25">
      <c r="B222" s="50" t="s">
        <v>133</v>
      </c>
      <c r="C222" s="54">
        <f>IF(SUMIFS(Data!$N$2:$N$1201,Data!$E$2:$E$1201,"timed")=0,"",SUMIFS(Data!$N$2:$N$1201,Data!$Q$2:$Q$1201,6,Data!$R$2:$R$1201,1)/60)</f>
        <v>0</v>
      </c>
      <c r="D222" s="54">
        <f>IF(SUMIFS(Data!$N$2:$N$1201,Data!$E$2:$E$1201,"timed")=0,"",SUMIFS(Data!$N$2:$N$1201,Data!$Q$2:$Q$1201,6,Data!$R$2:$R$1201,2)/60)</f>
        <v>0</v>
      </c>
      <c r="E222" s="54">
        <f>IF(SUMIFS(Data!$N$2:$N$1201,Data!$E$2:$E$1201,"timed")=0,"",SUMIFS(Data!$N$2:$N$1201,Data!$Q$2:$Q$1201,6,Data!$R$2:$R$1201,3)/60)</f>
        <v>0</v>
      </c>
      <c r="F222" s="54">
        <f>IF(SUMIFS(Data!$N$2:$N$1201,Data!$E$2:$E$1201,"timed")=0,"",SUMIFS(Data!$N$2:$N$1201,Data!$Q$2:$Q$1201,6,Data!$R$2:$R$1201,4)/60)</f>
        <v>0</v>
      </c>
      <c r="G222" s="54">
        <f>IF(SUMIFS(Data!$N$2:$N$1201,Data!$E$2:$E$1201,"timed")=0,"",SUMIFS(Data!$N$2:$N$1201,Data!$Q$2:$Q$1201,6,Data!$R$2:$R$1201,5)/60)</f>
        <v>0</v>
      </c>
      <c r="H222" s="54">
        <f>IF(SUMIFS(Data!$N$2:$N$1201,Data!$E$2:$E$1201,"timed")=0,"",SUMIFS(Data!$N$2:$N$1201,Data!$Q$2:$Q$1201,6,Data!$R$2:$R$1201,6)/60)</f>
        <v>0</v>
      </c>
      <c r="I222" s="54">
        <f>IF(SUMIFS(Data!$N$2:$N$1201,Data!$E$2:$E$1201,"timed")=0,"",SUMIFS(Data!$N$2:$N$1201,Data!$Q$2:$Q$1201,6,Data!$R$2:$R$1201,7)/60)</f>
        <v>0</v>
      </c>
      <c r="J222" s="44">
        <f>IF(SUMIFS(Data!$N$2:$N$1201,Data!$E$2:$E$1201,"timed")=0,"",SUMIFS(Data!$N$2:$N$1201,Data!$Q$2:$Q$1201,6)/60)</f>
        <v>0</v>
      </c>
      <c r="K222" s="45">
        <f>IF(SUMIFS(Data!$N$2:$N$1201,Data!$E$2:$E$1201,"timed")=0,"",SUMIFS(Data!$N$2:$N$1201,Data!$Q$2:$Q$1201,6)/SUMIFS(Data!$N$2:$N$1201,Data!$E$2:$E$1201,"timed"))</f>
        <v>0</v>
      </c>
    </row>
    <row r="223" spans="2:13" x14ac:dyDescent="0.25">
      <c r="B223" s="50" t="s">
        <v>134</v>
      </c>
      <c r="C223" s="54">
        <f>IF(SUMIFS(Data!$N$2:$N$1201,Data!$E$2:$E$1201,"timed")=0,"",SUMIFS(Data!$N$2:$N$1201,Data!$Q$2:$Q$1201,7,Data!$R$2:$R$1201,1)/60)</f>
        <v>0.5615</v>
      </c>
      <c r="D223" s="54">
        <f>IF(SUMIFS(Data!$N$2:$N$1201,Data!$E$2:$E$1201,"timed")=0,"",SUMIFS(Data!$N$2:$N$1201,Data!$Q$2:$Q$1201,7,Data!$R$2:$R$1201,2)/60)</f>
        <v>0.72650000000000003</v>
      </c>
      <c r="E223" s="54">
        <f>IF(SUMIFS(Data!$N$2:$N$1201,Data!$E$2:$E$1201,"timed")=0,"",SUMIFS(Data!$N$2:$N$1201,Data!$Q$2:$Q$1201,7,Data!$R$2:$R$1201,3)/60)</f>
        <v>0.92733333333333334</v>
      </c>
      <c r="F223" s="54">
        <f>IF(SUMIFS(Data!$N$2:$N$1201,Data!$E$2:$E$1201,"timed")=0,"",SUMIFS(Data!$N$2:$N$1201,Data!$Q$2:$Q$1201,7,Data!$R$2:$R$1201,4)/60)</f>
        <v>1.8816666666666666</v>
      </c>
      <c r="G223" s="54">
        <f>IF(SUMIFS(Data!$N$2:$N$1201,Data!$E$2:$E$1201,"timed")=0,"",SUMIFS(Data!$N$2:$N$1201,Data!$Q$2:$Q$1201,7,Data!$R$2:$R$1201,5)/60)</f>
        <v>0.96033333333333337</v>
      </c>
      <c r="H223" s="54">
        <f>IF(SUMIFS(Data!$N$2:$N$1201,Data!$E$2:$E$1201,"timed")=0,"",SUMIFS(Data!$N$2:$N$1201,Data!$Q$2:$Q$1201,7,Data!$R$2:$R$1201,6)/60)</f>
        <v>0</v>
      </c>
      <c r="I223" s="54">
        <f>IF(SUMIFS(Data!$N$2:$N$1201,Data!$E$2:$E$1201,"timed")=0,"",SUMIFS(Data!$N$2:$N$1201,Data!$Q$2:$Q$1201,7,Data!$R$2:$R$1201,7)/60)</f>
        <v>0</v>
      </c>
      <c r="J223" s="44">
        <f>IF(SUMIFS(Data!$N$2:$N$1201,Data!$E$2:$E$1201,"timed")=0,"",SUMIFS(Data!$N$2:$N$1201,Data!$Q$2:$Q$1201,7)/60)</f>
        <v>5.0573333333333332</v>
      </c>
      <c r="K223" s="45">
        <f>IF(SUMIFS(Data!$N$2:$N$1201,Data!$E$2:$E$1201,"timed")=0,"",SUMIFS(Data!$N$2:$N$1201,Data!$Q$2:$Q$1201,7)/SUMIFS(Data!$N$2:$N$1201,Data!$E$2:$E$1201,"timed"))</f>
        <v>0.11852199046949453</v>
      </c>
    </row>
    <row r="224" spans="2:13" x14ac:dyDescent="0.25">
      <c r="B224" s="50" t="s">
        <v>135</v>
      </c>
      <c r="C224" s="54">
        <f>IF(SUMIFS(Data!$N$2:$N$1201,Data!$E$2:$E$1201,"timed")=0,"",SUMIFS(Data!$N$2:$N$1201,Data!$Q$2:$Q$1201,8,Data!$R$2:$R$1201,1)/60)</f>
        <v>0.7756666666666665</v>
      </c>
      <c r="D224" s="54">
        <f>IF(SUMIFS(Data!$N$2:$N$1201,Data!$E$2:$E$1201,"timed")=0,"",SUMIFS(Data!$N$2:$N$1201,Data!$Q$2:$Q$1201,8,Data!$R$2:$R$1201,2)/60)</f>
        <v>1.0751666666666668</v>
      </c>
      <c r="E224" s="54">
        <f>IF(SUMIFS(Data!$N$2:$N$1201,Data!$E$2:$E$1201,"timed")=0,"",SUMIFS(Data!$N$2:$N$1201,Data!$Q$2:$Q$1201,8,Data!$R$2:$R$1201,3)/60)</f>
        <v>0.80366666666666664</v>
      </c>
      <c r="F224" s="54">
        <f>IF(SUMIFS(Data!$N$2:$N$1201,Data!$E$2:$E$1201,"timed")=0,"",SUMIFS(Data!$N$2:$N$1201,Data!$Q$2:$Q$1201,8,Data!$R$2:$R$1201,4)/60)</f>
        <v>0</v>
      </c>
      <c r="G224" s="54">
        <f>IF(SUMIFS(Data!$N$2:$N$1201,Data!$E$2:$E$1201,"timed")=0,"",SUMIFS(Data!$N$2:$N$1201,Data!$Q$2:$Q$1201,8,Data!$R$2:$R$1201,5)/60)</f>
        <v>1.2828333333333333</v>
      </c>
      <c r="H224" s="54">
        <f>IF(SUMIFS(Data!$N$2:$N$1201,Data!$E$2:$E$1201,"timed")=0,"",SUMIFS(Data!$N$2:$N$1201,Data!$Q$2:$Q$1201,8,Data!$R$2:$R$1201,6)/60)</f>
        <v>0</v>
      </c>
      <c r="I224" s="54">
        <f>IF(SUMIFS(Data!$N$2:$N$1201,Data!$E$2:$E$1201,"timed")=0,"",SUMIFS(Data!$N$2:$N$1201,Data!$Q$2:$Q$1201,8,Data!$R$2:$R$1201,7)/60)</f>
        <v>0</v>
      </c>
      <c r="J224" s="44">
        <f>IF(SUMIFS(Data!$N$2:$N$1201,Data!$E$2:$E$1201,"timed")=0,"",SUMIFS(Data!$N$2:$N$1201,Data!$Q$2:$Q$1201,8)/60)</f>
        <v>3.9373333333333331</v>
      </c>
      <c r="K224" s="45">
        <f>IF(SUMIFS(Data!$N$2:$N$1201,Data!$E$2:$E$1201,"timed")=0,"",SUMIFS(Data!$N$2:$N$1201,Data!$Q$2:$Q$1201,8)/SUMIFS(Data!$N$2:$N$1201,Data!$E$2:$E$1201,"timed"))</f>
        <v>9.2274041090539771E-2</v>
      </c>
    </row>
    <row r="225" spans="2:11" x14ac:dyDescent="0.25">
      <c r="B225" s="50" t="s">
        <v>136</v>
      </c>
      <c r="C225" s="54">
        <f>IF(SUMIFS(Data!$N$2:$N$1201,Data!$E$2:$E$1201,"timed")=0,"",SUMIFS(Data!$N$2:$N$1201,Data!$Q$2:$Q$1201,9,Data!$R$2:$R$1201,1)/60)</f>
        <v>1.478</v>
      </c>
      <c r="D225" s="54">
        <f>IF(SUMIFS(Data!$N$2:$N$1201,Data!$E$2:$E$1201,"timed")=0,"",SUMIFS(Data!$N$2:$N$1201,Data!$Q$2:$Q$1201,9,Data!$R$2:$R$1201,2)/60)</f>
        <v>0.73</v>
      </c>
      <c r="E225" s="54">
        <f>IF(SUMIFS(Data!$N$2:$N$1201,Data!$E$2:$E$1201,"timed")=0,"",SUMIFS(Data!$N$2:$N$1201,Data!$Q$2:$Q$1201,9,Data!$R$2:$R$1201,3)/60)</f>
        <v>3.0125000000000002</v>
      </c>
      <c r="F225" s="54">
        <f>IF(SUMIFS(Data!$N$2:$N$1201,Data!$E$2:$E$1201,"timed")=0,"",SUMIFS(Data!$N$2:$N$1201,Data!$Q$2:$Q$1201,9,Data!$R$2:$R$1201,4)/60)</f>
        <v>1.2915000000000001</v>
      </c>
      <c r="G225" s="54">
        <f>IF(SUMIFS(Data!$N$2:$N$1201,Data!$E$2:$E$1201,"timed")=0,"",SUMIFS(Data!$N$2:$N$1201,Data!$Q$2:$Q$1201,9,Data!$R$2:$R$1201,5)/60)</f>
        <v>0.26716666666666666</v>
      </c>
      <c r="H225" s="54">
        <f>IF(SUMIFS(Data!$N$2:$N$1201,Data!$E$2:$E$1201,"timed")=0,"",SUMIFS(Data!$N$2:$N$1201,Data!$Q$2:$Q$1201,9,Data!$R$2:$R$1201,6)/60)</f>
        <v>0</v>
      </c>
      <c r="I225" s="54">
        <f>IF(SUMIFS(Data!$N$2:$N$1201,Data!$E$2:$E$1201,"timed")=0,"",SUMIFS(Data!$N$2:$N$1201,Data!$Q$2:$Q$1201,9,Data!$R$2:$R$1201,7)/60)</f>
        <v>0</v>
      </c>
      <c r="J225" s="44">
        <f>IF(SUMIFS(Data!$N$2:$N$1201,Data!$E$2:$E$1201,"timed")=0,"",SUMIFS(Data!$N$2:$N$1201,Data!$Q$2:$Q$1201,9)/60)</f>
        <v>6.7791666666666668</v>
      </c>
      <c r="K225" s="45">
        <f>IF(SUMIFS(Data!$N$2:$N$1201,Data!$E$2:$E$1201,"timed")=0,"",SUMIFS(Data!$N$2:$N$1201,Data!$Q$2:$Q$1201,9)/SUMIFS(Data!$N$2:$N$1201,Data!$E$2:$E$1201,"timed"))</f>
        <v>0.15887430669478941</v>
      </c>
    </row>
    <row r="226" spans="2:11" x14ac:dyDescent="0.25">
      <c r="B226" s="50" t="s">
        <v>137</v>
      </c>
      <c r="C226" s="54">
        <f>IF(SUMIFS(Data!$N$2:$N$1201,Data!$E$2:$E$1201,"timed")=0,"",SUMIFS(Data!$N$2:$N$1201,Data!$Q$2:$Q$1201,10,Data!$R$2:$R$1201,1)/60)</f>
        <v>1.7696666666666667</v>
      </c>
      <c r="D226" s="54">
        <f>IF(SUMIFS(Data!$N$2:$N$1201,Data!$E$2:$E$1201,"timed")=0,"",SUMIFS(Data!$N$2:$N$1201,Data!$Q$2:$Q$1201,10,Data!$R$2:$R$1201,2)/60)</f>
        <v>1.4448333333333332</v>
      </c>
      <c r="E226" s="54">
        <f>IF(SUMIFS(Data!$N$2:$N$1201,Data!$E$2:$E$1201,"timed")=0,"",SUMIFS(Data!$N$2:$N$1201,Data!$Q$2:$Q$1201,10,Data!$R$2:$R$1201,3)/60)</f>
        <v>0</v>
      </c>
      <c r="F226" s="54">
        <f>IF(SUMIFS(Data!$N$2:$N$1201,Data!$E$2:$E$1201,"timed")=0,"",SUMIFS(Data!$N$2:$N$1201,Data!$Q$2:$Q$1201,10,Data!$R$2:$R$1201,4)/60)</f>
        <v>2.8734999999999999</v>
      </c>
      <c r="G226" s="54">
        <f>IF(SUMIFS(Data!$N$2:$N$1201,Data!$E$2:$E$1201,"timed")=0,"",SUMIFS(Data!$N$2:$N$1201,Data!$Q$2:$Q$1201,10,Data!$R$2:$R$1201,5)/60)</f>
        <v>1.4396666666666667</v>
      </c>
      <c r="H226" s="54">
        <f>IF(SUMIFS(Data!$N$2:$N$1201,Data!$E$2:$E$1201,"timed")=0,"",SUMIFS(Data!$N$2:$N$1201,Data!$Q$2:$Q$1201,10,Data!$R$2:$R$1201,6)/60)</f>
        <v>0</v>
      </c>
      <c r="I226" s="54">
        <f>IF(SUMIFS(Data!$N$2:$N$1201,Data!$E$2:$E$1201,"timed")=0,"",SUMIFS(Data!$N$2:$N$1201,Data!$Q$2:$Q$1201,10,Data!$R$2:$R$1201,7)/60)</f>
        <v>0</v>
      </c>
      <c r="J226" s="44">
        <f>IF(SUMIFS(Data!$N$2:$N$1201,Data!$E$2:$E$1201,"timed")=0,"",SUMIFS(Data!$N$2:$N$1201,Data!$Q$2:$Q$1201,10)/60)</f>
        <v>7.5276666666666658</v>
      </c>
      <c r="K226" s="45">
        <f>IF(SUMIFS(Data!$N$2:$N$1201,Data!$E$2:$E$1201,"timed")=0,"",SUMIFS(Data!$N$2:$N$1201,Data!$Q$2:$Q$1201,10)/SUMIFS(Data!$N$2:$N$1201,Data!$E$2:$E$1201,"timed"))</f>
        <v>0.17641590500742124</v>
      </c>
    </row>
    <row r="227" spans="2:11" x14ac:dyDescent="0.25">
      <c r="B227" s="50" t="s">
        <v>138</v>
      </c>
      <c r="C227" s="54">
        <f>IF(SUMIFS(Data!$N$2:$N$1201,Data!$E$2:$E$1201,"timed")=0,"",SUMIFS(Data!$N$2:$N$1201,Data!$Q$2:$Q$1201,11,Data!$R$2:$R$1201,1)/60)</f>
        <v>0</v>
      </c>
      <c r="D227" s="54">
        <f>IF(SUMIFS(Data!$N$2:$N$1201,Data!$E$2:$E$1201,"timed")=0,"",SUMIFS(Data!$N$2:$N$1201,Data!$Q$2:$Q$1201,11,Data!$R$2:$R$1201,2)/60)</f>
        <v>1.5465000000000002</v>
      </c>
      <c r="E227" s="54">
        <f>IF(SUMIFS(Data!$N$2:$N$1201,Data!$E$2:$E$1201,"timed")=0,"",SUMIFS(Data!$N$2:$N$1201,Data!$Q$2:$Q$1201,11,Data!$R$2:$R$1201,3)/60)</f>
        <v>0</v>
      </c>
      <c r="F227" s="54">
        <f>IF(SUMIFS(Data!$N$2:$N$1201,Data!$E$2:$E$1201,"timed")=0,"",SUMIFS(Data!$N$2:$N$1201,Data!$Q$2:$Q$1201,11,Data!$R$2:$R$1201,4)/60)</f>
        <v>0</v>
      </c>
      <c r="G227" s="54">
        <f>IF(SUMIFS(Data!$N$2:$N$1201,Data!$E$2:$E$1201,"timed")=0,"",SUMIFS(Data!$N$2:$N$1201,Data!$Q$2:$Q$1201,11,Data!$R$2:$R$1201,5)/60)</f>
        <v>0.62966666666666671</v>
      </c>
      <c r="H227" s="54">
        <f>IF(SUMIFS(Data!$N$2:$N$1201,Data!$E$2:$E$1201,"timed")=0,"",SUMIFS(Data!$N$2:$N$1201,Data!$Q$2:$Q$1201,11,Data!$R$2:$R$1201,6)/60)</f>
        <v>0</v>
      </c>
      <c r="I227" s="54">
        <f>IF(SUMIFS(Data!$N$2:$N$1201,Data!$E$2:$E$1201,"timed")=0,"",SUMIFS(Data!$N$2:$N$1201,Data!$Q$2:$Q$1201,11,Data!$R$2:$R$1201,7)/60)</f>
        <v>0</v>
      </c>
      <c r="J227" s="44">
        <f>IF(SUMIFS(Data!$N$2:$N$1201,Data!$E$2:$E$1201,"timed")=0,"",SUMIFS(Data!$N$2:$N$1201,Data!$Q$2:$Q$1201,11)/60)</f>
        <v>2.1761666666666666</v>
      </c>
      <c r="K227" s="45">
        <f>IF(SUMIFS(Data!$N$2:$N$1201,Data!$E$2:$E$1201,"timed")=0,"",SUMIFS(Data!$N$2:$N$1201,Data!$Q$2:$Q$1201,11)/SUMIFS(Data!$N$2:$N$1201,Data!$E$2:$E$1201,"timed"))</f>
        <v>5.0999921881103021E-2</v>
      </c>
    </row>
    <row r="228" spans="2:11" x14ac:dyDescent="0.25">
      <c r="B228" s="50" t="s">
        <v>139</v>
      </c>
      <c r="C228" s="54">
        <f>IF(SUMIFS(Data!$N$2:$N$1201,Data!$E$2:$E$1201,"timed")=0,"",SUMIFS(Data!$N$2:$N$1201,Data!$Q$2:$Q$1201,12,Data!$R$2:$R$1201,1)/60)</f>
        <v>2.4643333333333333</v>
      </c>
      <c r="D228" s="54">
        <f>IF(SUMIFS(Data!$N$2:$N$1201,Data!$E$2:$E$1201,"timed")=0,"",SUMIFS(Data!$N$2:$N$1201,Data!$Q$2:$Q$1201,12,Data!$R$2:$R$1201,2)/60)</f>
        <v>0</v>
      </c>
      <c r="E228" s="54">
        <f>IF(SUMIFS(Data!$N$2:$N$1201,Data!$E$2:$E$1201,"timed")=0,"",SUMIFS(Data!$N$2:$N$1201,Data!$Q$2:$Q$1201,12,Data!$R$2:$R$1201,3)/60)</f>
        <v>1.4861666666666666</v>
      </c>
      <c r="F228" s="54">
        <f>IF(SUMIFS(Data!$N$2:$N$1201,Data!$E$2:$E$1201,"timed")=0,"",SUMIFS(Data!$N$2:$N$1201,Data!$Q$2:$Q$1201,12,Data!$R$2:$R$1201,4)/60)</f>
        <v>0</v>
      </c>
      <c r="G228" s="54">
        <f>IF(SUMIFS(Data!$N$2:$N$1201,Data!$E$2:$E$1201,"timed")=0,"",SUMIFS(Data!$N$2:$N$1201,Data!$Q$2:$Q$1201,12,Data!$R$2:$R$1201,5)/60)</f>
        <v>2.1116666666666668</v>
      </c>
      <c r="H228" s="54">
        <f>IF(SUMIFS(Data!$N$2:$N$1201,Data!$E$2:$E$1201,"timed")=0,"",SUMIFS(Data!$N$2:$N$1201,Data!$Q$2:$Q$1201,12,Data!$R$2:$R$1201,6)/60)</f>
        <v>0</v>
      </c>
      <c r="I228" s="54">
        <f>IF(SUMIFS(Data!$N$2:$N$1201,Data!$E$2:$E$1201,"timed")=0,"",SUMIFS(Data!$N$2:$N$1201,Data!$Q$2:$Q$1201,12,Data!$R$2:$R$1201,7)/60)</f>
        <v>0</v>
      </c>
      <c r="J228" s="44">
        <f>IF(SUMIFS(Data!$N$2:$N$1201,Data!$E$2:$E$1201,"timed")=0,"",SUMIFS(Data!$N$2:$N$1201,Data!$Q$2:$Q$1201,12)/60)</f>
        <v>6.0621666666666671</v>
      </c>
      <c r="K228" s="45">
        <f>IF(SUMIFS(Data!$N$2:$N$1201,Data!$E$2:$E$1201,"timed")=0,"",SUMIFS(Data!$N$2:$N$1201,Data!$Q$2:$Q$1201,12)/SUMIFS(Data!$N$2:$N$1201,Data!$E$2:$E$1201,"timed"))</f>
        <v>0.14207093195844073</v>
      </c>
    </row>
    <row r="229" spans="2:11" x14ac:dyDescent="0.25">
      <c r="B229" s="50" t="s">
        <v>140</v>
      </c>
      <c r="C229" s="54">
        <f>IF(SUMIFS(Data!$N$2:$N$1201,Data!$E$2:$E$1201,"timed")=0,"",SUMIFS(Data!$N$2:$N$1201,Data!$Q$2:$Q$1201,13,Data!$R$2:$R$1201,1)/60)</f>
        <v>0</v>
      </c>
      <c r="D229" s="54">
        <f>IF(SUMIFS(Data!$N$2:$N$1201,Data!$E$2:$E$1201,"timed")=0,"",SUMIFS(Data!$N$2:$N$1201,Data!$Q$2:$Q$1201,13,Data!$R$2:$R$1201,2)/60)</f>
        <v>0.83750000000000002</v>
      </c>
      <c r="E229" s="54">
        <f>IF(SUMIFS(Data!$N$2:$N$1201,Data!$E$2:$E$1201,"timed")=0,"",SUMIFS(Data!$N$2:$N$1201,Data!$Q$2:$Q$1201,13,Data!$R$2:$R$1201,3)/60)</f>
        <v>1.3516666666666666</v>
      </c>
      <c r="F229" s="54">
        <f>IF(SUMIFS(Data!$N$2:$N$1201,Data!$E$2:$E$1201,"timed")=0,"",SUMIFS(Data!$N$2:$N$1201,Data!$Q$2:$Q$1201,13,Data!$R$2:$R$1201,4)/60)</f>
        <v>0.8125</v>
      </c>
      <c r="G229" s="54">
        <f>IF(SUMIFS(Data!$N$2:$N$1201,Data!$E$2:$E$1201,"timed")=0,"",SUMIFS(Data!$N$2:$N$1201,Data!$Q$2:$Q$1201,13,Data!$R$2:$R$1201,5)/60)</f>
        <v>0</v>
      </c>
      <c r="H229" s="54">
        <f>IF(SUMIFS(Data!$N$2:$N$1201,Data!$E$2:$E$1201,"timed")=0,"",SUMIFS(Data!$N$2:$N$1201,Data!$Q$2:$Q$1201,13,Data!$R$2:$R$1201,6)/60)</f>
        <v>0</v>
      </c>
      <c r="I229" s="54">
        <f>IF(SUMIFS(Data!$N$2:$N$1201,Data!$E$2:$E$1201,"timed")=0,"",SUMIFS(Data!$N$2:$N$1201,Data!$Q$2:$Q$1201,13,Data!$R$2:$R$1201,7)/60)</f>
        <v>0</v>
      </c>
      <c r="J229" s="44">
        <f>IF(SUMIFS(Data!$N$2:$N$1201,Data!$E$2:$E$1201,"timed")=0,"",SUMIFS(Data!$N$2:$N$1201,Data!$Q$2:$Q$1201,13)/60)</f>
        <v>3.0016666666666665</v>
      </c>
      <c r="K229" s="45">
        <f>IF(SUMIFS(Data!$N$2:$N$1201,Data!$E$2:$E$1201,"timed")=0,"",SUMIFS(Data!$N$2:$N$1201,Data!$Q$2:$Q$1201,13)/SUMIFS(Data!$N$2:$N$1201,Data!$E$2:$E$1201,"timed"))</f>
        <v>7.0346066713537977E-2</v>
      </c>
    </row>
    <row r="230" spans="2:11" x14ac:dyDescent="0.25">
      <c r="B230" s="50" t="s">
        <v>141</v>
      </c>
      <c r="C230" s="54">
        <f>IF(SUMIFS(Data!$N$2:$N$1201,Data!$E$2:$E$1201,"timed")=0,"",SUMIFS(Data!$N$2:$N$1201,Data!$Q$2:$Q$1201,14,Data!$R$2:$R$1201,1)/60)</f>
        <v>0.32200000000000001</v>
      </c>
      <c r="D230" s="54">
        <f>IF(SUMIFS(Data!$N$2:$N$1201,Data!$E$2:$E$1201,"timed")=0,"",SUMIFS(Data!$N$2:$N$1201,Data!$Q$2:$Q$1201,14,Data!$R$2:$R$1201,2)/60)</f>
        <v>1.9346666666666665</v>
      </c>
      <c r="E230" s="54">
        <f>IF(SUMIFS(Data!$N$2:$N$1201,Data!$E$2:$E$1201,"timed")=0,"",SUMIFS(Data!$N$2:$N$1201,Data!$Q$2:$Q$1201,14,Data!$R$2:$R$1201,3)/60)</f>
        <v>0</v>
      </c>
      <c r="F230" s="54">
        <f>IF(SUMIFS(Data!$N$2:$N$1201,Data!$E$2:$E$1201,"timed")=0,"",SUMIFS(Data!$N$2:$N$1201,Data!$Q$2:$Q$1201,14,Data!$R$2:$R$1201,4)/60)</f>
        <v>1.1013333333333333</v>
      </c>
      <c r="G230" s="54">
        <f>IF(SUMIFS(Data!$N$2:$N$1201,Data!$E$2:$E$1201,"timed")=0,"",SUMIFS(Data!$N$2:$N$1201,Data!$Q$2:$Q$1201,14,Data!$R$2:$R$1201,5)/60)</f>
        <v>1.6495</v>
      </c>
      <c r="H230" s="54">
        <f>IF(SUMIFS(Data!$N$2:$N$1201,Data!$E$2:$E$1201,"timed")=0,"",SUMIFS(Data!$N$2:$N$1201,Data!$Q$2:$Q$1201,14,Data!$R$2:$R$1201,6)/60)</f>
        <v>0</v>
      </c>
      <c r="I230" s="54">
        <f>IF(SUMIFS(Data!$N$2:$N$1201,Data!$E$2:$E$1201,"timed")=0,"",SUMIFS(Data!$N$2:$N$1201,Data!$Q$2:$Q$1201,14,Data!$R$2:$R$1201,7)/60)</f>
        <v>0</v>
      </c>
      <c r="J230" s="44">
        <f>IF(SUMIFS(Data!$N$2:$N$1201,Data!$E$2:$E$1201,"timed")=0,"",SUMIFS(Data!$N$2:$N$1201,Data!$Q$2:$Q$1201,14)/60)</f>
        <v>5.0074999999999994</v>
      </c>
      <c r="K230" s="45">
        <f>IF(SUMIFS(Data!$N$2:$N$1201,Data!$E$2:$E$1201,"timed")=0,"",SUMIFS(Data!$N$2:$N$1201,Data!$Q$2:$Q$1201,14)/SUMIFS(Data!$N$2:$N$1201,Data!$E$2:$E$1201,"timed"))</f>
        <v>0.11735411295992497</v>
      </c>
    </row>
    <row r="231" spans="2:11" x14ac:dyDescent="0.25">
      <c r="B231" s="50" t="s">
        <v>142</v>
      </c>
      <c r="C231" s="54">
        <f>IF(SUMIFS(Data!$N$2:$N$1201,Data!$E$2:$E$1201,"timed")=0,"",SUMIFS(Data!$N$2:$N$1201,Data!$Q$2:$Q$1201,15,Data!$R$2:$R$1201,1)/60)</f>
        <v>0.86716666666666664</v>
      </c>
      <c r="D231" s="54">
        <f>IF(SUMIFS(Data!$N$2:$N$1201,Data!$E$2:$E$1201,"timed")=0,"",SUMIFS(Data!$N$2:$N$1201,Data!$Q$2:$Q$1201,15,Data!$R$2:$R$1201,2)/60)</f>
        <v>0.34066666666666667</v>
      </c>
      <c r="E231" s="54">
        <f>IF(SUMIFS(Data!$N$2:$N$1201,Data!$E$2:$E$1201,"timed")=0,"",SUMIFS(Data!$N$2:$N$1201,Data!$Q$2:$Q$1201,15,Data!$R$2:$R$1201,3)/60)</f>
        <v>0.16900000000000001</v>
      </c>
      <c r="F231" s="54">
        <f>IF(SUMIFS(Data!$N$2:$N$1201,Data!$E$2:$E$1201,"timed")=0,"",SUMIFS(Data!$N$2:$N$1201,Data!$Q$2:$Q$1201,15,Data!$R$2:$R$1201,4)/60)</f>
        <v>0.73716666666666664</v>
      </c>
      <c r="G231" s="54">
        <f>IF(SUMIFS(Data!$N$2:$N$1201,Data!$E$2:$E$1201,"timed")=0,"",SUMIFS(Data!$N$2:$N$1201,Data!$Q$2:$Q$1201,15,Data!$R$2:$R$1201,5)/60)</f>
        <v>0.18183333333333335</v>
      </c>
      <c r="H231" s="54">
        <f>IF(SUMIFS(Data!$N$2:$N$1201,Data!$E$2:$E$1201,"timed")=0,"",SUMIFS(Data!$N$2:$N$1201,Data!$Q$2:$Q$1201,15,Data!$R$2:$R$1201,6)/60)</f>
        <v>0</v>
      </c>
      <c r="I231" s="54">
        <f>IF(SUMIFS(Data!$N$2:$N$1201,Data!$E$2:$E$1201,"timed")=0,"",SUMIFS(Data!$N$2:$N$1201,Data!$Q$2:$Q$1201,15,Data!$R$2:$R$1201,7)/60)</f>
        <v>0</v>
      </c>
      <c r="J231" s="44">
        <f>IF(SUMIFS(Data!$N$2:$N$1201,Data!$E$2:$E$1201,"timed")=0,"",SUMIFS(Data!$N$2:$N$1201,Data!$Q$2:$Q$1201,15)/60)</f>
        <v>2.2958333333333334</v>
      </c>
      <c r="K231" s="45">
        <f>IF(SUMIFS(Data!$N$2:$N$1201,Data!$E$2:$E$1201,"timed")=0,"",SUMIFS(Data!$N$2:$N$1201,Data!$Q$2:$Q$1201,15)/SUMIFS(Data!$N$2:$N$1201,Data!$E$2:$E$1201,"timed"))</f>
        <v>5.3804390282009201E-2</v>
      </c>
    </row>
    <row r="232" spans="2:11" x14ac:dyDescent="0.25">
      <c r="B232" s="50" t="s">
        <v>143</v>
      </c>
      <c r="C232" s="54">
        <f>IF(SUMIFS(Data!$N$2:$N$1201,Data!$E$2:$E$1201,"timed")=0,"",SUMIFS(Data!$N$2:$N$1201,Data!$Q$2:$Q$1201,16,Data!$R$2:$R$1201,1)/60)</f>
        <v>0</v>
      </c>
      <c r="D232" s="54">
        <f>IF(SUMIFS(Data!$N$2:$N$1201,Data!$E$2:$E$1201,"timed")=0,"",SUMIFS(Data!$N$2:$N$1201,Data!$Q$2:$Q$1201,16,Data!$R$2:$R$1201,2)/60)</f>
        <v>6.8333333333333329E-2</v>
      </c>
      <c r="E232" s="54">
        <f>IF(SUMIFS(Data!$N$2:$N$1201,Data!$E$2:$E$1201,"timed")=0,"",SUMIFS(Data!$N$2:$N$1201,Data!$Q$2:$Q$1201,16,Data!$R$2:$R$1201,3)/60)</f>
        <v>0</v>
      </c>
      <c r="F232" s="54">
        <f>IF(SUMIFS(Data!$N$2:$N$1201,Data!$E$2:$E$1201,"timed")=0,"",SUMIFS(Data!$N$2:$N$1201,Data!$Q$2:$Q$1201,16,Data!$R$2:$R$1201,4)/60)</f>
        <v>0.7536666666666666</v>
      </c>
      <c r="G232" s="54">
        <f>IF(SUMIFS(Data!$N$2:$N$1201,Data!$E$2:$E$1201,"timed")=0,"",SUMIFS(Data!$N$2:$N$1201,Data!$Q$2:$Q$1201,16,Data!$R$2:$R$1201,5)/60)</f>
        <v>2E-3</v>
      </c>
      <c r="H232" s="54">
        <f>IF(SUMIFS(Data!$N$2:$N$1201,Data!$E$2:$E$1201,"timed")=0,"",SUMIFS(Data!$N$2:$N$1201,Data!$Q$2:$Q$1201,16,Data!$R$2:$R$1201,6)/60)</f>
        <v>0</v>
      </c>
      <c r="I232" s="54">
        <f>IF(SUMIFS(Data!$N$2:$N$1201,Data!$E$2:$E$1201,"timed")=0,"",SUMIFS(Data!$N$2:$N$1201,Data!$Q$2:$Q$1201,16,Data!$R$2:$R$1201,7)/60)</f>
        <v>0</v>
      </c>
      <c r="J232" s="44">
        <f>IF(SUMIFS(Data!$N$2:$N$1201,Data!$E$2:$E$1201,"timed")=0,"",SUMIFS(Data!$N$2:$N$1201,Data!$Q$2:$Q$1201,16)/60)</f>
        <v>0.82400000000000007</v>
      </c>
      <c r="K232" s="45">
        <f>IF(SUMIFS(Data!$N$2:$N$1201,Data!$E$2:$E$1201,"timed")=0,"",SUMIFS(Data!$N$2:$N$1201,Data!$Q$2:$Q$1201,16)/SUMIFS(Data!$N$2:$N$1201,Data!$E$2:$E$1201,"timed"))</f>
        <v>1.9310991328802433E-2</v>
      </c>
    </row>
    <row r="233" spans="2:11" x14ac:dyDescent="0.25">
      <c r="B233" s="50" t="s">
        <v>144</v>
      </c>
      <c r="C233" s="54">
        <f>IF(SUMIFS(Data!$N$2:$N$1201,Data!$E$2:$E$1201,"timed")=0,"",SUMIFS(Data!$N$2:$N$1201,Data!$Q$2:$Q$1201,17,Data!$R$2:$R$1201,1)/60)</f>
        <v>1.1666666666666668E-3</v>
      </c>
      <c r="D233" s="54">
        <f>IF(SUMIFS(Data!$N$2:$N$1201,Data!$E$2:$E$1201,"timed")=0,"",SUMIFS(Data!$N$2:$N$1201,Data!$Q$2:$Q$1201,17,Data!$R$2:$R$1201,2)/60)</f>
        <v>0</v>
      </c>
      <c r="E233" s="54">
        <f>IF(SUMIFS(Data!$N$2:$N$1201,Data!$E$2:$E$1201,"timed")=0,"",SUMIFS(Data!$N$2:$N$1201,Data!$Q$2:$Q$1201,17,Data!$R$2:$R$1201,3)/60)</f>
        <v>0</v>
      </c>
      <c r="F233" s="54">
        <f>IF(SUMIFS(Data!$N$2:$N$1201,Data!$E$2:$E$1201,"timed")=0,"",SUMIFS(Data!$N$2:$N$1201,Data!$Q$2:$Q$1201,17,Data!$R$2:$R$1201,4)/60)</f>
        <v>0</v>
      </c>
      <c r="G233" s="54">
        <f>IF(SUMIFS(Data!$N$2:$N$1201,Data!$E$2:$E$1201,"timed")=0,"",SUMIFS(Data!$N$2:$N$1201,Data!$Q$2:$Q$1201,17,Data!$R$2:$R$1201,5)/60)</f>
        <v>0</v>
      </c>
      <c r="H233" s="54">
        <f>IF(SUMIFS(Data!$N$2:$N$1201,Data!$E$2:$E$1201,"timed")=0,"",SUMIFS(Data!$N$2:$N$1201,Data!$Q$2:$Q$1201,17,Data!$R$2:$R$1201,6)/60)</f>
        <v>0</v>
      </c>
      <c r="I233" s="54">
        <f>IF(SUMIFS(Data!$N$2:$N$1201,Data!$E$2:$E$1201,"timed")=0,"",SUMIFS(Data!$N$2:$N$1201,Data!$Q$2:$Q$1201,17,Data!$R$2:$R$1201,7)/60)</f>
        <v>0</v>
      </c>
      <c r="J233" s="44">
        <f>IF(SUMIFS(Data!$N$2:$N$1201,Data!$E$2:$E$1201,"timed")=0,"",SUMIFS(Data!$N$2:$N$1201,Data!$Q$2:$Q$1201,17)/60)</f>
        <v>1.1666666666666668E-3</v>
      </c>
      <c r="K233" s="45">
        <f>IF(SUMIFS(Data!$N$2:$N$1201,Data!$E$2:$E$1201,"timed")=0,"",SUMIFS(Data!$N$2:$N$1201,Data!$Q$2:$Q$1201,17)/SUMIFS(Data!$N$2:$N$1201,Data!$E$2:$E$1201,"timed"))</f>
        <v>2.7341613936411211E-5</v>
      </c>
    </row>
    <row r="234" spans="2:11" x14ac:dyDescent="0.25">
      <c r="B234" s="50" t="s">
        <v>145</v>
      </c>
      <c r="C234" s="54">
        <f>IF(SUMIFS(Data!$N$2:$N$1201,Data!$E$2:$E$1201,"timed")=0,"",SUMIFS(Data!$N$2:$N$1201,Data!$Q$2:$Q$1201,18,Data!$R$2:$R$1201,1)/60)</f>
        <v>0</v>
      </c>
      <c r="D234" s="54">
        <f>IF(SUMIFS(Data!$N$2:$N$1201,Data!$E$2:$E$1201,"timed")=0,"",SUMIFS(Data!$N$2:$N$1201,Data!$Q$2:$Q$1201,18,Data!$R$2:$R$1201,2)/60)</f>
        <v>0</v>
      </c>
      <c r="E234" s="54">
        <f>IF(SUMIFS(Data!$N$2:$N$1201,Data!$E$2:$E$1201,"timed")=0,"",SUMIFS(Data!$N$2:$N$1201,Data!$Q$2:$Q$1201,18,Data!$R$2:$R$1201,3)/60)</f>
        <v>0</v>
      </c>
      <c r="F234" s="54">
        <f>IF(SUMIFS(Data!$N$2:$N$1201,Data!$E$2:$E$1201,"timed")=0,"",SUMIFS(Data!$N$2:$N$1201,Data!$Q$2:$Q$1201,18,Data!$R$2:$R$1201,4)/60)</f>
        <v>0</v>
      </c>
      <c r="G234" s="54">
        <f>IF(SUMIFS(Data!$N$2:$N$1201,Data!$E$2:$E$1201,"timed")=0,"",SUMIFS(Data!$N$2:$N$1201,Data!$Q$2:$Q$1201,18,Data!$R$2:$R$1201,5)/60)</f>
        <v>0</v>
      </c>
      <c r="H234" s="54">
        <f>IF(SUMIFS(Data!$N$2:$N$1201,Data!$E$2:$E$1201,"timed")=0,"",SUMIFS(Data!$N$2:$N$1201,Data!$Q$2:$Q$1201,18,Data!$R$2:$R$1201,6)/60)</f>
        <v>0</v>
      </c>
      <c r="I234" s="54">
        <f>IF(SUMIFS(Data!$N$2:$N$1201,Data!$E$2:$E$1201,"timed")=0,"",SUMIFS(Data!$N$2:$N$1201,Data!$Q$2:$Q$1201,18,Data!$R$2:$R$1201,7)/60)</f>
        <v>0</v>
      </c>
      <c r="J234" s="44">
        <f>IF(SUMIFS(Data!$N$2:$N$1201,Data!$E$2:$E$1201,"timed")=0,"",SUMIFS(Data!$N$2:$N$1201,Data!$Q$2:$Q$1201,18)/60)</f>
        <v>0</v>
      </c>
      <c r="K234" s="45">
        <f>IF(SUMIFS(Data!$N$2:$N$1201,Data!$E$2:$E$1201,"timed")=0,"",SUMIFS(Data!$N$2:$N$1201,Data!$Q$2:$Q$1201,18)/SUMIFS(Data!$N$2:$N$1201,Data!$E$2:$E$1201,"timed"))</f>
        <v>0</v>
      </c>
    </row>
    <row r="235" spans="2:11" x14ac:dyDescent="0.25">
      <c r="B235" s="50" t="s">
        <v>146</v>
      </c>
      <c r="C235" s="54">
        <f>IF(SUMIFS(Data!$N$2:$N$1201,Data!$E$2:$E$1201,"timed")=0,"",SUMIFS(Data!$N$2:$N$1201,Data!$Q$2:$Q$1201,19,Data!$R$2:$R$1201,1)/60)</f>
        <v>0</v>
      </c>
      <c r="D235" s="54">
        <f>IF(SUMIFS(Data!$N$2:$N$1201,Data!$E$2:$E$1201,"timed")=0,"",SUMIFS(Data!$N$2:$N$1201,Data!$Q$2:$Q$1201,19,Data!$R$2:$R$1201,2)/60)</f>
        <v>0</v>
      </c>
      <c r="E235" s="54">
        <f>IF(SUMIFS(Data!$N$2:$N$1201,Data!$E$2:$E$1201,"timed")=0,"",SUMIFS(Data!$N$2:$N$1201,Data!$Q$2:$Q$1201,19,Data!$R$2:$R$1201,3)/60)</f>
        <v>0</v>
      </c>
      <c r="F235" s="54">
        <f>IF(SUMIFS(Data!$N$2:$N$1201,Data!$E$2:$E$1201,"timed")=0,"",SUMIFS(Data!$N$2:$N$1201,Data!$Q$2:$Q$1201,19,Data!$R$2:$R$1201,4)/60)</f>
        <v>0</v>
      </c>
      <c r="G235" s="54">
        <f>IF(SUMIFS(Data!$N$2:$N$1201,Data!$E$2:$E$1201,"timed")=0,"",SUMIFS(Data!$N$2:$N$1201,Data!$Q$2:$Q$1201,19,Data!$R$2:$R$1201,5)/60)</f>
        <v>0</v>
      </c>
      <c r="H235" s="54">
        <f>IF(SUMIFS(Data!$N$2:$N$1201,Data!$E$2:$E$1201,"timed")=0,"",SUMIFS(Data!$N$2:$N$1201,Data!$Q$2:$Q$1201,19,Data!$R$2:$R$1201,6)/60)</f>
        <v>0</v>
      </c>
      <c r="I235" s="54">
        <f>IF(SUMIFS(Data!$N$2:$N$1201,Data!$E$2:$E$1201,"timed")=0,"",SUMIFS(Data!$N$2:$N$1201,Data!$Q$2:$Q$1201,19,Data!$R$2:$R$1201,7)/60)</f>
        <v>0</v>
      </c>
      <c r="J235" s="44">
        <f>IF(SUMIFS(Data!$N$2:$N$1201,Data!$E$2:$E$1201,"timed")=0,"",SUMIFS(Data!$N$2:$N$1201,Data!$Q$2:$Q$1201,19)/60)</f>
        <v>0</v>
      </c>
      <c r="K235" s="45">
        <f>IF(SUMIFS(Data!$N$2:$N$1201,Data!$E$2:$E$1201,"timed")=0,"",SUMIFS(Data!$N$2:$N$1201,Data!$Q$2:$Q$1201,19)/SUMIFS(Data!$N$2:$N$1201,Data!$E$2:$E$1201,"timed"))</f>
        <v>0</v>
      </c>
    </row>
    <row r="236" spans="2:11" x14ac:dyDescent="0.25">
      <c r="B236" s="50" t="s">
        <v>147</v>
      </c>
      <c r="C236" s="54">
        <f>IF(SUMIFS(Data!$N$2:$N$1201,Data!$E$2:$E$1201,"timed")=0,"",SUMIFS(Data!$N$2:$N$1201,Data!$Q$2:$Q$1201,20,Data!$R$2:$R$1201,1)/60)</f>
        <v>0</v>
      </c>
      <c r="D236" s="54">
        <f>IF(SUMIFS(Data!$N$2:$N$1201,Data!$E$2:$E$1201,"timed")=0,"",SUMIFS(Data!$N$2:$N$1201,Data!$Q$2:$Q$1201,20,Data!$R$2:$R$1201,2)/60)</f>
        <v>0</v>
      </c>
      <c r="E236" s="54">
        <f>IF(SUMIFS(Data!$N$2:$N$1201,Data!$E$2:$E$1201,"timed")=0,"",SUMIFS(Data!$N$2:$N$1201,Data!$Q$2:$Q$1201,20,Data!$R$2:$R$1201,3)/60)</f>
        <v>0</v>
      </c>
      <c r="F236" s="54">
        <f>IF(SUMIFS(Data!$N$2:$N$1201,Data!$E$2:$E$1201,"timed")=0,"",SUMIFS(Data!$N$2:$N$1201,Data!$Q$2:$Q$1201,20,Data!$R$2:$R$1201,4)/60)</f>
        <v>0</v>
      </c>
      <c r="G236" s="54">
        <f>IF(SUMIFS(Data!$N$2:$N$1201,Data!$E$2:$E$1201,"timed")=0,"",SUMIFS(Data!$N$2:$N$1201,Data!$Q$2:$Q$1201,20,Data!$R$2:$R$1201,5)/60)</f>
        <v>0</v>
      </c>
      <c r="H236" s="54">
        <f>IF(SUMIFS(Data!$N$2:$N$1201,Data!$E$2:$E$1201,"timed")=0,"",SUMIFS(Data!$N$2:$N$1201,Data!$Q$2:$Q$1201,20,Data!$R$2:$R$1201,6)/60)</f>
        <v>0</v>
      </c>
      <c r="I236" s="54">
        <f>IF(SUMIFS(Data!$N$2:$N$1201,Data!$E$2:$E$1201,"timed")=0,"",SUMIFS(Data!$N$2:$N$1201,Data!$Q$2:$Q$1201,20,Data!$R$2:$R$1201,7)/60)</f>
        <v>0</v>
      </c>
      <c r="J236" s="44">
        <f>IF(SUMIFS(Data!$N$2:$N$1201,Data!$E$2:$E$1201,"timed")=0,"",SUMIFS(Data!$N$2:$N$1201,Data!$Q$2:$Q$1201,20)/60)</f>
        <v>0</v>
      </c>
      <c r="K236" s="45">
        <f>IF(SUMIFS(Data!$N$2:$N$1201,Data!$E$2:$E$1201,"timed")=0,"",SUMIFS(Data!$N$2:$N$1201,Data!$Q$2:$Q$1201,20)/SUMIFS(Data!$N$2:$N$1201,Data!$E$2:$E$1201,"timed"))</f>
        <v>0</v>
      </c>
    </row>
    <row r="237" spans="2:11" x14ac:dyDescent="0.25">
      <c r="B237" s="50" t="s">
        <v>148</v>
      </c>
      <c r="C237" s="54">
        <f>IF(SUMIFS(Data!$N$2:$N$1201,Data!$E$2:$E$1201,"timed")=0,"",SUMIFS(Data!$N$2:$N$1201,Data!$Q$2:$Q$1201,21,Data!$R$2:$R$1201,1)/60)</f>
        <v>0</v>
      </c>
      <c r="D237" s="54">
        <f>IF(SUMIFS(Data!$N$2:$N$1201,Data!$E$2:$E$1201,"timed")=0,"",SUMIFS(Data!$N$2:$N$1201,Data!$Q$2:$Q$1201,21,Data!$R$2:$R$1201,2)/60)</f>
        <v>0</v>
      </c>
      <c r="E237" s="54">
        <f>IF(SUMIFS(Data!$N$2:$N$1201,Data!$E$2:$E$1201,"timed")=0,"",SUMIFS(Data!$N$2:$N$1201,Data!$Q$2:$Q$1201,21,Data!$R$2:$R$1201,3)/60)</f>
        <v>0</v>
      </c>
      <c r="F237" s="54">
        <f>IF(SUMIFS(Data!$N$2:$N$1201,Data!$E$2:$E$1201,"timed")=0,"",SUMIFS(Data!$N$2:$N$1201,Data!$Q$2:$Q$1201,21,Data!$R$2:$R$1201,4)/60)</f>
        <v>0</v>
      </c>
      <c r="G237" s="54">
        <f>IF(SUMIFS(Data!$N$2:$N$1201,Data!$E$2:$E$1201,"timed")=0,"",SUMIFS(Data!$N$2:$N$1201,Data!$Q$2:$Q$1201,21,Data!$R$2:$R$1201,5)/60)</f>
        <v>0</v>
      </c>
      <c r="H237" s="54">
        <f>IF(SUMIFS(Data!$N$2:$N$1201,Data!$E$2:$E$1201,"timed")=0,"",SUMIFS(Data!$N$2:$N$1201,Data!$Q$2:$Q$1201,21,Data!$R$2:$R$1201,6)/60)</f>
        <v>0</v>
      </c>
      <c r="I237" s="54">
        <f>IF(SUMIFS(Data!$N$2:$N$1201,Data!$E$2:$E$1201,"timed")=0,"",SUMIFS(Data!$N$2:$N$1201,Data!$Q$2:$Q$1201,21,Data!$R$2:$R$1201,7)/60)</f>
        <v>0</v>
      </c>
      <c r="J237" s="44">
        <f>IF(SUMIFS(Data!$N$2:$N$1201,Data!$E$2:$E$1201,"timed")=0,"",SUMIFS(Data!$N$2:$N$1201,Data!$Q$2:$Q$1201,21)/60)</f>
        <v>0</v>
      </c>
      <c r="K237" s="45">
        <f>IF(SUMIFS(Data!$N$2:$N$1201,Data!$E$2:$E$1201,"timed")=0,"",SUMIFS(Data!$N$2:$N$1201,Data!$Q$2:$Q$1201,21)/SUMIFS(Data!$N$2:$N$1201,Data!$E$2:$E$1201,"timed"))</f>
        <v>0</v>
      </c>
    </row>
    <row r="238" spans="2:11" x14ac:dyDescent="0.25">
      <c r="B238" s="50" t="s">
        <v>149</v>
      </c>
      <c r="C238" s="54">
        <f>IF(SUMIFS(Data!$N$2:$N$1201,Data!$E$2:$E$1201,"timed")=0,"",SUMIFS(Data!$N$2:$N$1201,Data!$Q$2:$Q$1201,22,Data!$R$2:$R$1201,1)/60)</f>
        <v>0</v>
      </c>
      <c r="D238" s="54">
        <f>IF(SUMIFS(Data!$N$2:$N$1201,Data!$E$2:$E$1201,"timed")=0,"",SUMIFS(Data!$N$2:$N$1201,Data!$Q$2:$Q$1201,22,Data!$R$2:$R$1201,2)/60)</f>
        <v>0</v>
      </c>
      <c r="E238" s="54">
        <f>IF(SUMIFS(Data!$N$2:$N$1201,Data!$E$2:$E$1201,"timed")=0,"",SUMIFS(Data!$N$2:$N$1201,Data!$Q$2:$Q$1201,22,Data!$R$2:$R$1201,3)/60)</f>
        <v>0</v>
      </c>
      <c r="F238" s="54">
        <f>IF(SUMIFS(Data!$N$2:$N$1201,Data!$E$2:$E$1201,"timed")=0,"",SUMIFS(Data!$N$2:$N$1201,Data!$Q$2:$Q$1201,22,Data!$R$2:$R$1201,4)/60)</f>
        <v>0</v>
      </c>
      <c r="G238" s="54">
        <f>IF(SUMIFS(Data!$N$2:$N$1201,Data!$E$2:$E$1201,"timed")=0,"",SUMIFS(Data!$N$2:$N$1201,Data!$Q$2:$Q$1201,22,Data!$R$2:$R$1201,5)/60)</f>
        <v>0</v>
      </c>
      <c r="H238" s="54">
        <f>IF(SUMIFS(Data!$N$2:$N$1201,Data!$E$2:$E$1201,"timed")=0,"",SUMIFS(Data!$N$2:$N$1201,Data!$Q$2:$Q$1201,22,Data!$R$2:$R$1201,6)/60)</f>
        <v>0</v>
      </c>
      <c r="I238" s="54">
        <f>IF(SUMIFS(Data!$N$2:$N$1201,Data!$E$2:$E$1201,"timed")=0,"",SUMIFS(Data!$N$2:$N$1201,Data!$Q$2:$Q$1201,22,Data!$R$2:$R$1201,7)/60)</f>
        <v>0</v>
      </c>
      <c r="J238" s="44">
        <f>IF(SUMIFS(Data!$N$2:$N$1201,Data!$E$2:$E$1201,"timed")=0,"",SUMIFS(Data!$N$2:$N$1201,Data!$Q$2:$Q$1201,22)/60)</f>
        <v>0</v>
      </c>
      <c r="K238" s="45">
        <f>IF(SUMIFS(Data!$N$2:$N$1201,Data!$E$2:$E$1201,"timed")=0,"",SUMIFS(Data!$N$2:$N$1201,Data!$Q$2:$Q$1201,22)/SUMIFS(Data!$N$2:$N$1201,Data!$E$2:$E$1201,"timed"))</f>
        <v>0</v>
      </c>
    </row>
    <row r="239" spans="2:11" x14ac:dyDescent="0.25">
      <c r="B239" s="50" t="s">
        <v>150</v>
      </c>
      <c r="C239" s="54">
        <f>IF(SUMIFS(Data!$N$2:$N$1201,Data!$E$2:$E$1201,"timed")=0,"",SUMIFS(Data!$N$2:$N$1201,Data!$Q$2:$Q$1201,23,Data!$R$2:$R$1201,1)/60)</f>
        <v>0</v>
      </c>
      <c r="D239" s="54">
        <f>IF(SUMIFS(Data!$N$2:$N$1201,Data!$E$2:$E$1201,"timed")=0,"",SUMIFS(Data!$N$2:$N$1201,Data!$Q$2:$Q$1201,23,Data!$R$2:$R$1201,2)/60)</f>
        <v>0</v>
      </c>
      <c r="E239" s="54">
        <f>IF(SUMIFS(Data!$N$2:$N$1201,Data!$E$2:$E$1201,"timed")=0,"",SUMIFS(Data!$N$2:$N$1201,Data!$Q$2:$Q$1201,23,Data!$R$2:$R$1201,3)/60)</f>
        <v>0</v>
      </c>
      <c r="F239" s="54">
        <f>IF(SUMIFS(Data!$N$2:$N$1201,Data!$E$2:$E$1201,"timed")=0,"",SUMIFS(Data!$N$2:$N$1201,Data!$Q$2:$Q$1201,23,Data!$R$2:$R$1201,4)/60)</f>
        <v>0</v>
      </c>
      <c r="G239" s="54">
        <f>IF(SUMIFS(Data!$N$2:$N$1201,Data!$E$2:$E$1201,"timed")=0,"",SUMIFS(Data!$N$2:$N$1201,Data!$Q$2:$Q$1201,23,Data!$R$2:$R$1201,5)/60)</f>
        <v>0</v>
      </c>
      <c r="H239" s="54">
        <f>IF(SUMIFS(Data!$N$2:$N$1201,Data!$E$2:$E$1201,"timed")=0,"",SUMIFS(Data!$N$2:$N$1201,Data!$Q$2:$Q$1201,23,Data!$R$2:$R$1201,6)/60)</f>
        <v>0</v>
      </c>
      <c r="I239" s="54">
        <f>IF(SUMIFS(Data!$N$2:$N$1201,Data!$E$2:$E$1201,"timed")=0,"",SUMIFS(Data!$N$2:$N$1201,Data!$Q$2:$Q$1201,23,Data!$R$2:$R$1201,7)/60)</f>
        <v>0</v>
      </c>
      <c r="J239" s="44">
        <f>IF(SUMIFS(Data!$N$2:$N$1201,Data!$E$2:$E$1201,"timed")=0,"",SUMIFS(Data!$N$2:$N$1201,Data!$Q$2:$Q$1201,23)/60)</f>
        <v>0</v>
      </c>
      <c r="K239" s="45">
        <f>IF(SUMIFS(Data!$N$2:$N$1201,Data!$E$2:$E$1201,"timed")=0,"",SUMIFS(Data!$N$2:$N$1201,Data!$Q$2:$Q$1201,23)/SUMIFS(Data!$N$2:$N$1201,Data!$E$2:$E$1201,"timed"))</f>
        <v>0</v>
      </c>
    </row>
    <row r="242" spans="2:5" x14ac:dyDescent="0.25">
      <c r="B242" s="37" t="s">
        <v>151</v>
      </c>
      <c r="C242" s="38"/>
      <c r="D242" s="38"/>
      <c r="E242" s="38"/>
    </row>
    <row r="243" spans="2:5" x14ac:dyDescent="0.25">
      <c r="B243" s="39" t="s">
        <v>152</v>
      </c>
    </row>
    <row r="245" spans="2:5" x14ac:dyDescent="0.25">
      <c r="B245" s="40" t="s">
        <v>107</v>
      </c>
      <c r="C245" s="41" t="s">
        <v>95</v>
      </c>
    </row>
    <row r="246" spans="2:5" x14ac:dyDescent="0.25">
      <c r="B246" s="51">
        <f>IF(Settings!$C$15="","",Settings!$C$15-27)</f>
        <v>46242</v>
      </c>
      <c r="C246" s="55">
        <f>IF($B246="",0,SUMIFS(Data!$N$2:$N$1201,Data!$S$2:$S$1201,$B246)/60)</f>
        <v>0</v>
      </c>
    </row>
    <row r="247" spans="2:5" x14ac:dyDescent="0.25">
      <c r="B247" s="51">
        <f>IF(Settings!$C$15="","",Settings!$C$15-26)</f>
        <v>46243</v>
      </c>
      <c r="C247" s="55">
        <f>IF($B247="",0,SUMIFS(Data!$N$2:$N$1201,Data!$S$2:$S$1201,$B247)/60)</f>
        <v>0</v>
      </c>
    </row>
    <row r="248" spans="2:5" x14ac:dyDescent="0.25">
      <c r="B248" s="51">
        <f>IF(Settings!$C$15="","",Settings!$C$15-25)</f>
        <v>46244</v>
      </c>
      <c r="C248" s="55">
        <f>IF($B248="",0,SUMIFS(Data!$N$2:$N$1201,Data!$S$2:$S$1201,$B248)/60)</f>
        <v>0</v>
      </c>
    </row>
    <row r="249" spans="2:5" x14ac:dyDescent="0.25">
      <c r="B249" s="51">
        <f>IF(Settings!$C$15="","",Settings!$C$15-24)</f>
        <v>46245</v>
      </c>
      <c r="C249" s="55">
        <f>IF($B249="",0,SUMIFS(Data!$N$2:$N$1201,Data!$S$2:$S$1201,$B249)/60)</f>
        <v>0</v>
      </c>
    </row>
    <row r="250" spans="2:5" x14ac:dyDescent="0.25">
      <c r="B250" s="51">
        <f>IF(Settings!$C$15="","",Settings!$C$15-23)</f>
        <v>46246</v>
      </c>
      <c r="C250" s="55">
        <f>IF($B250="",0,SUMIFS(Data!$N$2:$N$1201,Data!$S$2:$S$1201,$B250)/60)</f>
        <v>0</v>
      </c>
    </row>
    <row r="251" spans="2:5" x14ac:dyDescent="0.25">
      <c r="B251" s="51">
        <f>IF(Settings!$C$15="","",Settings!$C$15-22)</f>
        <v>46247</v>
      </c>
      <c r="C251" s="55">
        <f>IF($B251="",0,SUMIFS(Data!$N$2:$N$1201,Data!$S$2:$S$1201,$B251)/60)</f>
        <v>0</v>
      </c>
    </row>
    <row r="252" spans="2:5" x14ac:dyDescent="0.25">
      <c r="B252" s="51">
        <f>IF(Settings!$C$15="","",Settings!$C$15-21)</f>
        <v>46248</v>
      </c>
      <c r="C252" s="55">
        <f>IF($B252="",0,SUMIFS(Data!$N$2:$N$1201,Data!$S$2:$S$1201,$B252)/60)</f>
        <v>0</v>
      </c>
    </row>
    <row r="253" spans="2:5" x14ac:dyDescent="0.25">
      <c r="B253" s="51">
        <f>IF(Settings!$C$15="","",Settings!$C$15-20)</f>
        <v>46249</v>
      </c>
      <c r="C253" s="55">
        <f>IF($B253="",0,SUMIFS(Data!$N$2:$N$1201,Data!$S$2:$S$1201,$B253)/60)</f>
        <v>0</v>
      </c>
    </row>
    <row r="254" spans="2:5" x14ac:dyDescent="0.25">
      <c r="B254" s="51">
        <f>IF(Settings!$C$15="","",Settings!$C$15-19)</f>
        <v>46250</v>
      </c>
      <c r="C254" s="55">
        <f>IF($B254="",0,SUMIFS(Data!$N$2:$N$1201,Data!$S$2:$S$1201,$B254)/60)</f>
        <v>0</v>
      </c>
    </row>
    <row r="255" spans="2:5" x14ac:dyDescent="0.25">
      <c r="B255" s="51">
        <f>IF(Settings!$C$15="","",Settings!$C$15-18)</f>
        <v>46251</v>
      </c>
      <c r="C255" s="55">
        <f>IF($B255="",0,SUMIFS(Data!$N$2:$N$1201,Data!$S$2:$S$1201,$B255)/60)</f>
        <v>0</v>
      </c>
    </row>
    <row r="256" spans="2:5" x14ac:dyDescent="0.25">
      <c r="B256" s="51">
        <f>IF(Settings!$C$15="","",Settings!$C$15-17)</f>
        <v>46252</v>
      </c>
      <c r="C256" s="55">
        <f>IF($B256="",0,SUMIFS(Data!$N$2:$N$1201,Data!$S$2:$S$1201,$B256)/60)</f>
        <v>0</v>
      </c>
    </row>
    <row r="257" spans="2:3" x14ac:dyDescent="0.25">
      <c r="B257" s="51">
        <f>IF(Settings!$C$15="","",Settings!$C$15-16)</f>
        <v>46253</v>
      </c>
      <c r="C257" s="55">
        <f>IF($B257="",0,SUMIFS(Data!$N$2:$N$1201,Data!$S$2:$S$1201,$B257)/60)</f>
        <v>0</v>
      </c>
    </row>
    <row r="258" spans="2:3" x14ac:dyDescent="0.25">
      <c r="B258" s="51">
        <f>IF(Settings!$C$15="","",Settings!$C$15-15)</f>
        <v>46254</v>
      </c>
      <c r="C258" s="55">
        <f>IF($B258="",0,SUMIFS(Data!$N$2:$N$1201,Data!$S$2:$S$1201,$B258)/60)</f>
        <v>0</v>
      </c>
    </row>
    <row r="259" spans="2:3" x14ac:dyDescent="0.25">
      <c r="B259" s="51">
        <f>IF(Settings!$C$15="","",Settings!$C$15-14)</f>
        <v>46255</v>
      </c>
      <c r="C259" s="55">
        <f>IF($B259="",0,SUMIFS(Data!$N$2:$N$1201,Data!$S$2:$S$1201,$B259)/60)</f>
        <v>0</v>
      </c>
    </row>
    <row r="260" spans="2:3" x14ac:dyDescent="0.25">
      <c r="B260" s="51">
        <f>IF(Settings!$C$15="","",Settings!$C$15-13)</f>
        <v>46256</v>
      </c>
      <c r="C260" s="55">
        <f>IF($B260="",0,SUMIFS(Data!$N$2:$N$1201,Data!$S$2:$S$1201,$B260)/60)</f>
        <v>0</v>
      </c>
    </row>
    <row r="261" spans="2:3" x14ac:dyDescent="0.25">
      <c r="B261" s="51">
        <f>IF(Settings!$C$15="","",Settings!$C$15-12)</f>
        <v>46257</v>
      </c>
      <c r="C261" s="55">
        <f>IF($B261="",0,SUMIFS(Data!$N$2:$N$1201,Data!$S$2:$S$1201,$B261)/60)</f>
        <v>0</v>
      </c>
    </row>
    <row r="262" spans="2:3" x14ac:dyDescent="0.25">
      <c r="B262" s="51">
        <f>IF(Settings!$C$15="","",Settings!$C$15-11)</f>
        <v>46258</v>
      </c>
      <c r="C262" s="55">
        <f>IF($B262="",0,SUMIFS(Data!$N$2:$N$1201,Data!$S$2:$S$1201,$B262)/60)</f>
        <v>0</v>
      </c>
    </row>
    <row r="263" spans="2:3" x14ac:dyDescent="0.25">
      <c r="B263" s="51">
        <f>IF(Settings!$C$15="","",Settings!$C$15-10)</f>
        <v>46259</v>
      </c>
      <c r="C263" s="55">
        <f>IF($B263="",0,SUMIFS(Data!$N$2:$N$1201,Data!$S$2:$S$1201,$B263)/60)</f>
        <v>0</v>
      </c>
    </row>
    <row r="264" spans="2:3" x14ac:dyDescent="0.25">
      <c r="B264" s="51">
        <f>IF(Settings!$C$15="","",Settings!$C$15-9)</f>
        <v>46260</v>
      </c>
      <c r="C264" s="55">
        <f>IF($B264="",0,SUMIFS(Data!$N$2:$N$1201,Data!$S$2:$S$1201,$B264)/60)</f>
        <v>0</v>
      </c>
    </row>
    <row r="265" spans="2:3" x14ac:dyDescent="0.25">
      <c r="B265" s="51">
        <f>IF(Settings!$C$15="","",Settings!$C$15-8)</f>
        <v>46261</v>
      </c>
      <c r="C265" s="55">
        <f>IF($B265="",0,SUMIFS(Data!$N$2:$N$1201,Data!$S$2:$S$1201,$B265)/60)</f>
        <v>0</v>
      </c>
    </row>
    <row r="266" spans="2:3" x14ac:dyDescent="0.25">
      <c r="B266" s="51">
        <f>IF(Settings!$C$15="","",Settings!$C$15-7)</f>
        <v>46262</v>
      </c>
      <c r="C266" s="55">
        <f>IF($B266="",0,SUMIFS(Data!$N$2:$N$1201,Data!$S$2:$S$1201,$B266)/60)</f>
        <v>0</v>
      </c>
    </row>
    <row r="267" spans="2:3" x14ac:dyDescent="0.25">
      <c r="B267" s="51">
        <f>IF(Settings!$C$15="","",Settings!$C$15-6)</f>
        <v>46263</v>
      </c>
      <c r="C267" s="55">
        <f>IF($B267="",0,SUMIFS(Data!$N$2:$N$1201,Data!$S$2:$S$1201,$B267)/60)</f>
        <v>0</v>
      </c>
    </row>
    <row r="268" spans="2:3" x14ac:dyDescent="0.25">
      <c r="B268" s="51">
        <f>IF(Settings!$C$15="","",Settings!$C$15-5)</f>
        <v>46264</v>
      </c>
      <c r="C268" s="55">
        <f>IF($B268="",0,SUMIFS(Data!$N$2:$N$1201,Data!$S$2:$S$1201,$B268)/60)</f>
        <v>0</v>
      </c>
    </row>
    <row r="269" spans="2:3" x14ac:dyDescent="0.25">
      <c r="B269" s="51">
        <f>IF(Settings!$C$15="","",Settings!$C$15-4)</f>
        <v>46265</v>
      </c>
      <c r="C269" s="55">
        <f>IF($B269="",0,SUMIFS(Data!$N$2:$N$1201,Data!$S$2:$S$1201,$B269)/60)</f>
        <v>8.2394999999999996</v>
      </c>
    </row>
    <row r="270" spans="2:3" x14ac:dyDescent="0.25">
      <c r="B270" s="51">
        <f>IF(Settings!$C$15="","",Settings!$C$15-3)</f>
        <v>46266</v>
      </c>
      <c r="C270" s="55">
        <f>IF($B270="",0,SUMIFS(Data!$N$2:$N$1201,Data!$S$2:$S$1201,$B270)/60)</f>
        <v>8.7041666666666675</v>
      </c>
    </row>
    <row r="271" spans="2:3" x14ac:dyDescent="0.25">
      <c r="B271" s="51">
        <f>IF(Settings!$C$15="","",Settings!$C$15-2)</f>
        <v>46267</v>
      </c>
      <c r="C271" s="55">
        <f>IF($B271="",0,SUMIFS(Data!$N$2:$N$1201,Data!$S$2:$S$1201,$B271)/60)</f>
        <v>7.7503333333333329</v>
      </c>
    </row>
    <row r="272" spans="2:3" x14ac:dyDescent="0.25">
      <c r="B272" s="51">
        <f>IF(Settings!$C$15="","",Settings!$C$15-1)</f>
        <v>46268</v>
      </c>
      <c r="C272" s="55">
        <f>IF($B272="",0,SUMIFS(Data!$N$2:$N$1201,Data!$S$2:$S$1201,$B272)/60)</f>
        <v>9.4513333333333325</v>
      </c>
    </row>
    <row r="273" spans="2:3" x14ac:dyDescent="0.25">
      <c r="B273" s="51">
        <f>IF(Settings!$C$15="","",Settings!$C$15-0)</f>
        <v>46269</v>
      </c>
      <c r="C273" s="55">
        <f>IF($B273="",0,SUMIFS(Data!$N$2:$N$1201,Data!$S$2:$S$1201,$B273)/60)</f>
        <v>8.5246666666666648</v>
      </c>
    </row>
  </sheetData>
  <mergeCells count="2">
    <mergeCell ref="B3:M3"/>
    <mergeCell ref="B7:M8"/>
  </mergeCells>
  <conditionalFormatting sqref="B246:C273">
    <cfRule type="expression" dxfId="22" priority="8">
      <formula>$B246&lt;&gt;""</formula>
    </cfRule>
  </conditionalFormatting>
  <conditionalFormatting sqref="B216:K239">
    <cfRule type="expression" dxfId="21" priority="5">
      <formula>$B216&lt;&gt;""</formula>
    </cfRule>
  </conditionalFormatting>
  <conditionalFormatting sqref="B10:M209">
    <cfRule type="expression" dxfId="20" priority="2">
      <formula>$B10&lt;&gt;""</formula>
    </cfRule>
  </conditionalFormatting>
  <conditionalFormatting sqref="C246:C273">
    <cfRule type="dataBar" priority="7">
      <dataBar>
        <cfvo type="num" val="0"/>
        <cfvo type="max"/>
        <color rgb="FFDBE5FD"/>
      </dataBar>
      <extLst>
        <ext xmlns:x14="http://schemas.microsoft.com/office/spreadsheetml/2009/9/main" uri="{B025F937-C7B1-47D3-B67F-A62EFF666E3E}">
          <x14:id>{67D03B78-4F92-419E-AFC4-494AB3D1B8F0}</x14:id>
        </ext>
      </extLst>
    </cfRule>
  </conditionalFormatting>
  <conditionalFormatting sqref="D10:D209">
    <cfRule type="dataBar" priority="4">
      <dataBar>
        <cfvo type="num" val="0"/>
        <cfvo type="max"/>
        <color rgb="FFDBE5FD"/>
      </dataBar>
      <extLst>
        <ext xmlns:x14="http://schemas.microsoft.com/office/spreadsheetml/2009/9/main" uri="{B025F937-C7B1-47D3-B67F-A62EFF666E3E}">
          <x14:id>{52224A8D-A2BD-4CAD-A3CC-B1BED269656A}</x14:id>
        </ext>
      </extLst>
    </cfRule>
  </conditionalFormatting>
  <conditionalFormatting sqref="I10:I209">
    <cfRule type="colorScale" priority="3">
      <colorScale>
        <cfvo type="num" val="0"/>
        <cfvo type="num" val="0.7"/>
        <cfvo type="num" val="1"/>
        <color rgb="FFFCE9E4"/>
        <color rgb="FFFEF5DE"/>
        <color rgb="FFE4F5E4"/>
      </colorScale>
    </cfRule>
  </conditionalFormatting>
  <conditionalFormatting sqref="J216:J239">
    <cfRule type="dataBar" priority="6">
      <dataBar>
        <cfvo type="num" val="0"/>
        <cfvo type="max"/>
        <color rgb="FFDBE5FD"/>
      </dataBar>
      <extLst>
        <ext xmlns:x14="http://schemas.microsoft.com/office/spreadsheetml/2009/9/main" uri="{B025F937-C7B1-47D3-B67F-A62EFF666E3E}">
          <x14:id>{C5B315B0-3083-4A17-B7F6-D61757D3F9BC}</x14:id>
        </ext>
      </extLst>
    </cfRule>
  </conditionalFormatting>
  <pageMargins left="0.75" right="0.75" top="1" bottom="1" header="0.511811023622047" footer="0.511811023622047"/>
  <pageSetup paperSize="9" orientation="portrait" horizontalDpi="300" verticalDpi="300"/>
  <extLst>
    <ext xmlns:x14="http://schemas.microsoft.com/office/spreadsheetml/2009/9/main" uri="{78C0D931-6437-407d-A8EE-F0AAD7539E65}">
      <x14:conditionalFormattings>
        <x14:conditionalFormatting xmlns:xm="http://schemas.microsoft.com/office/excel/2006/main">
          <x14:cfRule type="dataBar" id="{67D03B78-4F92-419E-AFC4-494AB3D1B8F0}">
            <x14:dataBar minLength="0" maxLength="100" gradient="0" axisPosition="none">
              <x14:cfvo type="num">
                <xm:f>0</xm:f>
              </x14:cfvo>
              <x14:cfvo type="max"/>
              <x14:negativeFillColor rgb="FFDBE5FD"/>
            </x14:dataBar>
          </x14:cfRule>
          <xm:sqref>C246:C273</xm:sqref>
        </x14:conditionalFormatting>
        <x14:conditionalFormatting xmlns:xm="http://schemas.microsoft.com/office/excel/2006/main">
          <x14:cfRule type="dataBar" id="{52224A8D-A2BD-4CAD-A3CC-B1BED269656A}">
            <x14:dataBar minLength="0" maxLength="100" gradient="0" axisPosition="none">
              <x14:cfvo type="num">
                <xm:f>0</xm:f>
              </x14:cfvo>
              <x14:cfvo type="max"/>
              <x14:negativeFillColor rgb="FFDBE5FD"/>
            </x14:dataBar>
          </x14:cfRule>
          <xm:sqref>D10:D209</xm:sqref>
        </x14:conditionalFormatting>
        <x14:conditionalFormatting xmlns:xm="http://schemas.microsoft.com/office/excel/2006/main">
          <x14:cfRule type="dataBar" id="{C5B315B0-3083-4A17-B7F6-D61757D3F9BC}">
            <x14:dataBar minLength="0" maxLength="100" gradient="0" axisPosition="none">
              <x14:cfvo type="num">
                <xm:f>0</xm:f>
              </x14:cfvo>
              <x14:cfvo type="max"/>
              <x14:negativeFillColor rgb="FFDBE5FD"/>
            </x14:dataBar>
          </x14:cfRule>
          <xm:sqref>J216:J239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J223"/>
  <sheetViews>
    <sheetView showGridLines="0" zoomScaleNormal="100" workbookViewId="0"/>
  </sheetViews>
  <sheetFormatPr defaultColWidth="8.7109375" defaultRowHeight="15" x14ac:dyDescent="0.25"/>
  <cols>
    <col min="1" max="1" width="3" customWidth="1"/>
    <col min="2" max="2" width="13" customWidth="1"/>
    <col min="3" max="3" width="7" customWidth="1"/>
    <col min="4" max="4" width="11" customWidth="1"/>
    <col min="5" max="5" width="12" customWidth="1"/>
    <col min="6" max="6" width="13" customWidth="1"/>
    <col min="7" max="7" width="12" customWidth="1"/>
    <col min="8" max="8" width="13" customWidth="1"/>
    <col min="9" max="9" width="12" customWidth="1"/>
    <col min="10" max="10" width="13" customWidth="1"/>
  </cols>
  <sheetData>
    <row r="2" spans="2:10" ht="25.5" customHeight="1" x14ac:dyDescent="0.35">
      <c r="B2" s="35" t="s">
        <v>153</v>
      </c>
    </row>
    <row r="3" spans="2:10" ht="15.75" customHeight="1" x14ac:dyDescent="0.25">
      <c r="B3" s="157" t="s">
        <v>154</v>
      </c>
      <c r="C3" s="157"/>
      <c r="D3" s="157"/>
      <c r="E3" s="157"/>
      <c r="F3" s="157"/>
      <c r="G3" s="157"/>
      <c r="H3" s="157"/>
      <c r="I3" s="157"/>
      <c r="J3" s="157"/>
    </row>
    <row r="6" spans="2:10" x14ac:dyDescent="0.25">
      <c r="B6" s="37" t="s">
        <v>155</v>
      </c>
      <c r="C6" s="38"/>
      <c r="D6" s="38"/>
      <c r="E6" s="38"/>
      <c r="F6" s="38"/>
      <c r="G6" s="38"/>
      <c r="H6" s="38"/>
      <c r="I6" s="38"/>
      <c r="J6" s="38"/>
    </row>
    <row r="7" spans="2:10" x14ac:dyDescent="0.25">
      <c r="B7" s="39" t="s">
        <v>156</v>
      </c>
    </row>
    <row r="9" spans="2:10" x14ac:dyDescent="0.25">
      <c r="B9" s="40" t="s">
        <v>107</v>
      </c>
      <c r="C9" s="40"/>
      <c r="D9" s="41" t="s">
        <v>108</v>
      </c>
      <c r="E9" s="41" t="s">
        <v>97</v>
      </c>
      <c r="F9" s="41" t="s">
        <v>114</v>
      </c>
      <c r="G9" s="41" t="s">
        <v>157</v>
      </c>
      <c r="H9" s="41" t="s">
        <v>158</v>
      </c>
      <c r="I9" s="41" t="s">
        <v>115</v>
      </c>
      <c r="J9" s="41" t="s">
        <v>159</v>
      </c>
    </row>
    <row r="10" spans="2:10" x14ac:dyDescent="0.25">
      <c r="B10" s="51">
        <f>IFERROR(SMALL(Rhythm!$Z$8:$Z$207,1),"")</f>
        <v>46265</v>
      </c>
      <c r="C10" s="42" t="str">
        <f t="shared" ref="C10:C41" si="0">IF($B10="","",TEXT($B10,"ddd"))</f>
        <v>Mon</v>
      </c>
      <c r="D10" s="53">
        <f>IF($B10="","",SUMIFS(Data!$N$2:$N$1201,Data!$S$2:$S$1201,$B10)/60)</f>
        <v>8.2394999999999996</v>
      </c>
      <c r="E10" s="47">
        <f>IF($B10="","",COUNTIFS(Data!$S$2:$S$1201,$B10,Data!$E$2:$E$1201,"timed"))</f>
        <v>17</v>
      </c>
      <c r="F10" s="56">
        <f>IF($B10="","",SUMIFS(Data!$AG$2:$AG$1201,Data!$S$2:$S$1201,$B10))</f>
        <v>15</v>
      </c>
      <c r="G10" s="54">
        <f t="shared" ref="G10:G41" si="1">IF(OR($B10="",$D10=0),"",$F10/$D10)</f>
        <v>1.8204988166757692</v>
      </c>
      <c r="H10" s="47">
        <f>IF($B10="","",COUNTIFS(Data!$S$2:$S$1201,$B10,Data!$AI$2:$AI$1201,1))</f>
        <v>3</v>
      </c>
      <c r="I10" s="45">
        <f>IF(OR($B10="",$D10=0),"",SUMIFS(Data!$N$2:$N$1201,Data!$S$2:$S$1201,$B10,Data!$AI$2:$AI$1201,1)/60/$D10)</f>
        <v>0.61502518356696401</v>
      </c>
      <c r="J10" s="48">
        <f>IF($B10="","",SUMIFS(Data!$AH$2:$AH$1201,Data!$S$2:$S$1201,$B10))</f>
        <v>116</v>
      </c>
    </row>
    <row r="11" spans="2:10" x14ac:dyDescent="0.25">
      <c r="B11" s="51">
        <f>IFERROR(SMALL(Rhythm!$Z$8:$Z$207,2),"")</f>
        <v>46266</v>
      </c>
      <c r="C11" s="42" t="str">
        <f t="shared" si="0"/>
        <v>Tue</v>
      </c>
      <c r="D11" s="53">
        <f>IF($B11="","",SUMIFS(Data!$N$2:$N$1201,Data!$S$2:$S$1201,$B11)/60)</f>
        <v>8.7041666666666675</v>
      </c>
      <c r="E11" s="47">
        <f>IF($B11="","",COUNTIFS(Data!$S$2:$S$1201,$B11,Data!$E$2:$E$1201,"timed"))</f>
        <v>14</v>
      </c>
      <c r="F11" s="56">
        <f>IF($B11="","",SUMIFS(Data!$AG$2:$AG$1201,Data!$S$2:$S$1201,$B11))</f>
        <v>13</v>
      </c>
      <c r="G11" s="54">
        <f t="shared" si="1"/>
        <v>1.4935375777884154</v>
      </c>
      <c r="H11" s="47">
        <f>IF($B11="","",COUNTIFS(Data!$S$2:$S$1201,$B11,Data!$AI$2:$AI$1201,1))</f>
        <v>4</v>
      </c>
      <c r="I11" s="45">
        <f>IF(OR($B11="",$D11=0),"",SUMIFS(Data!$N$2:$N$1201,Data!$S$2:$S$1201,$B11,Data!$AI$2:$AI$1201,1)/60/$D11)</f>
        <v>0.63856390617520342</v>
      </c>
      <c r="J11" s="48">
        <f>IF($B11="","",SUMIFS(Data!$AH$2:$AH$1201,Data!$S$2:$S$1201,$B11))</f>
        <v>4</v>
      </c>
    </row>
    <row r="12" spans="2:10" x14ac:dyDescent="0.25">
      <c r="B12" s="51">
        <f>IFERROR(SMALL(Rhythm!$Z$8:$Z$207,3),"")</f>
        <v>46267</v>
      </c>
      <c r="C12" s="42" t="str">
        <f t="shared" si="0"/>
        <v>Wed</v>
      </c>
      <c r="D12" s="53">
        <f>IF($B12="","",SUMIFS(Data!$N$2:$N$1201,Data!$S$2:$S$1201,$B12)/60)</f>
        <v>7.7503333333333329</v>
      </c>
      <c r="E12" s="47">
        <f>IF($B12="","",COUNTIFS(Data!$S$2:$S$1201,$B12,Data!$E$2:$E$1201,"timed"))</f>
        <v>19</v>
      </c>
      <c r="F12" s="56">
        <f>IF($B12="","",SUMIFS(Data!$AG$2:$AG$1201,Data!$S$2:$S$1201,$B12))</f>
        <v>18</v>
      </c>
      <c r="G12" s="54">
        <f t="shared" si="1"/>
        <v>2.3224807535159782</v>
      </c>
      <c r="H12" s="47">
        <f>IF($B12="","",COUNTIFS(Data!$S$2:$S$1201,$B12,Data!$AI$2:$AI$1201,1))</f>
        <v>3</v>
      </c>
      <c r="I12" s="45">
        <f>IF(OR($B12="",$D12=0),"",SUMIFS(Data!$N$2:$N$1201,Data!$S$2:$S$1201,$B12,Data!$AI$2:$AI$1201,1)/60/$D12)</f>
        <v>0.56141671325964482</v>
      </c>
      <c r="J12" s="48">
        <f>IF($B12="","",SUMIFS(Data!$AH$2:$AH$1201,Data!$S$2:$S$1201,$B12))</f>
        <v>42</v>
      </c>
    </row>
    <row r="13" spans="2:10" x14ac:dyDescent="0.25">
      <c r="B13" s="51">
        <f>IFERROR(SMALL(Rhythm!$Z$8:$Z$207,4),"")</f>
        <v>46268</v>
      </c>
      <c r="C13" s="42" t="str">
        <f t="shared" si="0"/>
        <v>Thu</v>
      </c>
      <c r="D13" s="53">
        <f>IF($B13="","",SUMIFS(Data!$N$2:$N$1201,Data!$S$2:$S$1201,$B13)/60)</f>
        <v>9.4513333333333325</v>
      </c>
      <c r="E13" s="47">
        <f>IF($B13="","",COUNTIFS(Data!$S$2:$S$1201,$B13,Data!$E$2:$E$1201,"timed"))</f>
        <v>10</v>
      </c>
      <c r="F13" s="56">
        <f>IF($B13="","",SUMIFS(Data!$AG$2:$AG$1201,Data!$S$2:$S$1201,$B13))</f>
        <v>9</v>
      </c>
      <c r="G13" s="54">
        <f t="shared" si="1"/>
        <v>0.952246596600127</v>
      </c>
      <c r="H13" s="47">
        <f>IF($B13="","",COUNTIFS(Data!$S$2:$S$1201,$B13,Data!$AI$2:$AI$1201,1))</f>
        <v>4</v>
      </c>
      <c r="I13" s="45">
        <f>IF(OR($B13="",$D13=0),"",SUMIFS(Data!$N$2:$N$1201,Data!$S$2:$S$1201,$B13,Data!$AI$2:$AI$1201,1)/60/$D13)</f>
        <v>0.64468858009451924</v>
      </c>
      <c r="J13" s="48">
        <f>IF($B13="","",SUMIFS(Data!$AH$2:$AH$1201,Data!$S$2:$S$1201,$B13))</f>
        <v>0</v>
      </c>
    </row>
    <row r="14" spans="2:10" x14ac:dyDescent="0.25">
      <c r="B14" s="51">
        <f>IFERROR(SMALL(Rhythm!$Z$8:$Z$207,5),"")</f>
        <v>46269</v>
      </c>
      <c r="C14" s="42" t="str">
        <f t="shared" si="0"/>
        <v>Fri</v>
      </c>
      <c r="D14" s="53">
        <f>IF($B14="","",SUMIFS(Data!$N$2:$N$1201,Data!$S$2:$S$1201,$B14)/60)</f>
        <v>8.5246666666666648</v>
      </c>
      <c r="E14" s="47">
        <f>IF($B14="","",COUNTIFS(Data!$S$2:$S$1201,$B14,Data!$E$2:$E$1201,"timed"))</f>
        <v>23</v>
      </c>
      <c r="F14" s="56">
        <f>IF($B14="","",SUMIFS(Data!$AG$2:$AG$1201,Data!$S$2:$S$1201,$B14))</f>
        <v>18</v>
      </c>
      <c r="G14" s="54">
        <f t="shared" si="1"/>
        <v>2.1115195120043797</v>
      </c>
      <c r="H14" s="47">
        <f>IF($B14="","",COUNTIFS(Data!$S$2:$S$1201,$B14,Data!$AI$2:$AI$1201,1))</f>
        <v>4</v>
      </c>
      <c r="I14" s="45">
        <f>IF(OR($B14="",$D14=0),"",SUMIFS(Data!$N$2:$N$1201,Data!$S$2:$S$1201,$B14,Data!$AI$2:$AI$1201,1)/60/$D14)</f>
        <v>0.47714475639321197</v>
      </c>
      <c r="J14" s="48">
        <f>IF($B14="","",SUMIFS(Data!$AH$2:$AH$1201,Data!$S$2:$S$1201,$B14))</f>
        <v>19</v>
      </c>
    </row>
    <row r="15" spans="2:10" x14ac:dyDescent="0.25">
      <c r="B15" s="51" t="str">
        <f>IFERROR(SMALL(Rhythm!$Z$8:$Z$207,6),"")</f>
        <v/>
      </c>
      <c r="C15" s="42" t="str">
        <f t="shared" si="0"/>
        <v/>
      </c>
      <c r="D15" s="53" t="str">
        <f>IF($B15="","",SUMIFS(Data!$N$2:$N$1201,Data!$S$2:$S$1201,$B15)/60)</f>
        <v/>
      </c>
      <c r="E15" s="47" t="str">
        <f>IF($B15="","",COUNTIFS(Data!$S$2:$S$1201,$B15,Data!$E$2:$E$1201,"timed"))</f>
        <v/>
      </c>
      <c r="F15" s="56" t="str">
        <f>IF($B15="","",SUMIFS(Data!$AG$2:$AG$1201,Data!$S$2:$S$1201,$B15))</f>
        <v/>
      </c>
      <c r="G15" s="54" t="str">
        <f t="shared" si="1"/>
        <v/>
      </c>
      <c r="H15" s="47" t="str">
        <f>IF($B15="","",COUNTIFS(Data!$S$2:$S$1201,$B15,Data!$AI$2:$AI$1201,1))</f>
        <v/>
      </c>
      <c r="I15" s="45" t="str">
        <f>IF(OR($B15="",$D15=0),"",SUMIFS(Data!$N$2:$N$1201,Data!$S$2:$S$1201,$B15,Data!$AI$2:$AI$1201,1)/60/$D15)</f>
        <v/>
      </c>
      <c r="J15" s="48" t="str">
        <f>IF($B15="","",SUMIFS(Data!$AH$2:$AH$1201,Data!$S$2:$S$1201,$B15))</f>
        <v/>
      </c>
    </row>
    <row r="16" spans="2:10" x14ac:dyDescent="0.25">
      <c r="B16" s="51" t="str">
        <f>IFERROR(SMALL(Rhythm!$Z$8:$Z$207,7),"")</f>
        <v/>
      </c>
      <c r="C16" s="42" t="str">
        <f t="shared" si="0"/>
        <v/>
      </c>
      <c r="D16" s="53" t="str">
        <f>IF($B16="","",SUMIFS(Data!$N$2:$N$1201,Data!$S$2:$S$1201,$B16)/60)</f>
        <v/>
      </c>
      <c r="E16" s="47" t="str">
        <f>IF($B16="","",COUNTIFS(Data!$S$2:$S$1201,$B16,Data!$E$2:$E$1201,"timed"))</f>
        <v/>
      </c>
      <c r="F16" s="56" t="str">
        <f>IF($B16="","",SUMIFS(Data!$AG$2:$AG$1201,Data!$S$2:$S$1201,$B16))</f>
        <v/>
      </c>
      <c r="G16" s="54" t="str">
        <f t="shared" si="1"/>
        <v/>
      </c>
      <c r="H16" s="47" t="str">
        <f>IF($B16="","",COUNTIFS(Data!$S$2:$S$1201,$B16,Data!$AI$2:$AI$1201,1))</f>
        <v/>
      </c>
      <c r="I16" s="45" t="str">
        <f>IF(OR($B16="",$D16=0),"",SUMIFS(Data!$N$2:$N$1201,Data!$S$2:$S$1201,$B16,Data!$AI$2:$AI$1201,1)/60/$D16)</f>
        <v/>
      </c>
      <c r="J16" s="48" t="str">
        <f>IF($B16="","",SUMIFS(Data!$AH$2:$AH$1201,Data!$S$2:$S$1201,$B16))</f>
        <v/>
      </c>
    </row>
    <row r="17" spans="2:10" x14ac:dyDescent="0.25">
      <c r="B17" s="51" t="str">
        <f>IFERROR(SMALL(Rhythm!$Z$8:$Z$207,8),"")</f>
        <v/>
      </c>
      <c r="C17" s="42" t="str">
        <f t="shared" si="0"/>
        <v/>
      </c>
      <c r="D17" s="53" t="str">
        <f>IF($B17="","",SUMIFS(Data!$N$2:$N$1201,Data!$S$2:$S$1201,$B17)/60)</f>
        <v/>
      </c>
      <c r="E17" s="47" t="str">
        <f>IF($B17="","",COUNTIFS(Data!$S$2:$S$1201,$B17,Data!$E$2:$E$1201,"timed"))</f>
        <v/>
      </c>
      <c r="F17" s="56" t="str">
        <f>IF($B17="","",SUMIFS(Data!$AG$2:$AG$1201,Data!$S$2:$S$1201,$B17))</f>
        <v/>
      </c>
      <c r="G17" s="54" t="str">
        <f t="shared" si="1"/>
        <v/>
      </c>
      <c r="H17" s="47" t="str">
        <f>IF($B17="","",COUNTIFS(Data!$S$2:$S$1201,$B17,Data!$AI$2:$AI$1201,1))</f>
        <v/>
      </c>
      <c r="I17" s="45" t="str">
        <f>IF(OR($B17="",$D17=0),"",SUMIFS(Data!$N$2:$N$1201,Data!$S$2:$S$1201,$B17,Data!$AI$2:$AI$1201,1)/60/$D17)</f>
        <v/>
      </c>
      <c r="J17" s="48" t="str">
        <f>IF($B17="","",SUMIFS(Data!$AH$2:$AH$1201,Data!$S$2:$S$1201,$B17))</f>
        <v/>
      </c>
    </row>
    <row r="18" spans="2:10" x14ac:dyDescent="0.25">
      <c r="B18" s="51" t="str">
        <f>IFERROR(SMALL(Rhythm!$Z$8:$Z$207,9),"")</f>
        <v/>
      </c>
      <c r="C18" s="42" t="str">
        <f t="shared" si="0"/>
        <v/>
      </c>
      <c r="D18" s="53" t="str">
        <f>IF($B18="","",SUMIFS(Data!$N$2:$N$1201,Data!$S$2:$S$1201,$B18)/60)</f>
        <v/>
      </c>
      <c r="E18" s="47" t="str">
        <f>IF($B18="","",COUNTIFS(Data!$S$2:$S$1201,$B18,Data!$E$2:$E$1201,"timed"))</f>
        <v/>
      </c>
      <c r="F18" s="56" t="str">
        <f>IF($B18="","",SUMIFS(Data!$AG$2:$AG$1201,Data!$S$2:$S$1201,$B18))</f>
        <v/>
      </c>
      <c r="G18" s="54" t="str">
        <f t="shared" si="1"/>
        <v/>
      </c>
      <c r="H18" s="47" t="str">
        <f>IF($B18="","",COUNTIFS(Data!$S$2:$S$1201,$B18,Data!$AI$2:$AI$1201,1))</f>
        <v/>
      </c>
      <c r="I18" s="45" t="str">
        <f>IF(OR($B18="",$D18=0),"",SUMIFS(Data!$N$2:$N$1201,Data!$S$2:$S$1201,$B18,Data!$AI$2:$AI$1201,1)/60/$D18)</f>
        <v/>
      </c>
      <c r="J18" s="48" t="str">
        <f>IF($B18="","",SUMIFS(Data!$AH$2:$AH$1201,Data!$S$2:$S$1201,$B18))</f>
        <v/>
      </c>
    </row>
    <row r="19" spans="2:10" x14ac:dyDescent="0.25">
      <c r="B19" s="51" t="str">
        <f>IFERROR(SMALL(Rhythm!$Z$8:$Z$207,10),"")</f>
        <v/>
      </c>
      <c r="C19" s="42" t="str">
        <f t="shared" si="0"/>
        <v/>
      </c>
      <c r="D19" s="53" t="str">
        <f>IF($B19="","",SUMIFS(Data!$N$2:$N$1201,Data!$S$2:$S$1201,$B19)/60)</f>
        <v/>
      </c>
      <c r="E19" s="47" t="str">
        <f>IF($B19="","",COUNTIFS(Data!$S$2:$S$1201,$B19,Data!$E$2:$E$1201,"timed"))</f>
        <v/>
      </c>
      <c r="F19" s="56" t="str">
        <f>IF($B19="","",SUMIFS(Data!$AG$2:$AG$1201,Data!$S$2:$S$1201,$B19))</f>
        <v/>
      </c>
      <c r="G19" s="54" t="str">
        <f t="shared" si="1"/>
        <v/>
      </c>
      <c r="H19" s="47" t="str">
        <f>IF($B19="","",COUNTIFS(Data!$S$2:$S$1201,$B19,Data!$AI$2:$AI$1201,1))</f>
        <v/>
      </c>
      <c r="I19" s="45" t="str">
        <f>IF(OR($B19="",$D19=0),"",SUMIFS(Data!$N$2:$N$1201,Data!$S$2:$S$1201,$B19,Data!$AI$2:$AI$1201,1)/60/$D19)</f>
        <v/>
      </c>
      <c r="J19" s="48" t="str">
        <f>IF($B19="","",SUMIFS(Data!$AH$2:$AH$1201,Data!$S$2:$S$1201,$B19))</f>
        <v/>
      </c>
    </row>
    <row r="20" spans="2:10" x14ac:dyDescent="0.25">
      <c r="B20" s="51" t="str">
        <f>IFERROR(SMALL(Rhythm!$Z$8:$Z$207,11),"")</f>
        <v/>
      </c>
      <c r="C20" s="42" t="str">
        <f t="shared" si="0"/>
        <v/>
      </c>
      <c r="D20" s="53" t="str">
        <f>IF($B20="","",SUMIFS(Data!$N$2:$N$1201,Data!$S$2:$S$1201,$B20)/60)</f>
        <v/>
      </c>
      <c r="E20" s="47" t="str">
        <f>IF($B20="","",COUNTIFS(Data!$S$2:$S$1201,$B20,Data!$E$2:$E$1201,"timed"))</f>
        <v/>
      </c>
      <c r="F20" s="56" t="str">
        <f>IF($B20="","",SUMIFS(Data!$AG$2:$AG$1201,Data!$S$2:$S$1201,$B20))</f>
        <v/>
      </c>
      <c r="G20" s="54" t="str">
        <f t="shared" si="1"/>
        <v/>
      </c>
      <c r="H20" s="47" t="str">
        <f>IF($B20="","",COUNTIFS(Data!$S$2:$S$1201,$B20,Data!$AI$2:$AI$1201,1))</f>
        <v/>
      </c>
      <c r="I20" s="45" t="str">
        <f>IF(OR($B20="",$D20=0),"",SUMIFS(Data!$N$2:$N$1201,Data!$S$2:$S$1201,$B20,Data!$AI$2:$AI$1201,1)/60/$D20)</f>
        <v/>
      </c>
      <c r="J20" s="48" t="str">
        <f>IF($B20="","",SUMIFS(Data!$AH$2:$AH$1201,Data!$S$2:$S$1201,$B20))</f>
        <v/>
      </c>
    </row>
    <row r="21" spans="2:10" x14ac:dyDescent="0.25">
      <c r="B21" s="51" t="str">
        <f>IFERROR(SMALL(Rhythm!$Z$8:$Z$207,12),"")</f>
        <v/>
      </c>
      <c r="C21" s="42" t="str">
        <f t="shared" si="0"/>
        <v/>
      </c>
      <c r="D21" s="53" t="str">
        <f>IF($B21="","",SUMIFS(Data!$N$2:$N$1201,Data!$S$2:$S$1201,$B21)/60)</f>
        <v/>
      </c>
      <c r="E21" s="47" t="str">
        <f>IF($B21="","",COUNTIFS(Data!$S$2:$S$1201,$B21,Data!$E$2:$E$1201,"timed"))</f>
        <v/>
      </c>
      <c r="F21" s="56" t="str">
        <f>IF($B21="","",SUMIFS(Data!$AG$2:$AG$1201,Data!$S$2:$S$1201,$B21))</f>
        <v/>
      </c>
      <c r="G21" s="54" t="str">
        <f t="shared" si="1"/>
        <v/>
      </c>
      <c r="H21" s="47" t="str">
        <f>IF($B21="","",COUNTIFS(Data!$S$2:$S$1201,$B21,Data!$AI$2:$AI$1201,1))</f>
        <v/>
      </c>
      <c r="I21" s="45" t="str">
        <f>IF(OR($B21="",$D21=0),"",SUMIFS(Data!$N$2:$N$1201,Data!$S$2:$S$1201,$B21,Data!$AI$2:$AI$1201,1)/60/$D21)</f>
        <v/>
      </c>
      <c r="J21" s="48" t="str">
        <f>IF($B21="","",SUMIFS(Data!$AH$2:$AH$1201,Data!$S$2:$S$1201,$B21))</f>
        <v/>
      </c>
    </row>
    <row r="22" spans="2:10" x14ac:dyDescent="0.25">
      <c r="B22" s="51" t="str">
        <f>IFERROR(SMALL(Rhythm!$Z$8:$Z$207,13),"")</f>
        <v/>
      </c>
      <c r="C22" s="42" t="str">
        <f t="shared" si="0"/>
        <v/>
      </c>
      <c r="D22" s="53" t="str">
        <f>IF($B22="","",SUMIFS(Data!$N$2:$N$1201,Data!$S$2:$S$1201,$B22)/60)</f>
        <v/>
      </c>
      <c r="E22" s="47" t="str">
        <f>IF($B22="","",COUNTIFS(Data!$S$2:$S$1201,$B22,Data!$E$2:$E$1201,"timed"))</f>
        <v/>
      </c>
      <c r="F22" s="56" t="str">
        <f>IF($B22="","",SUMIFS(Data!$AG$2:$AG$1201,Data!$S$2:$S$1201,$B22))</f>
        <v/>
      </c>
      <c r="G22" s="54" t="str">
        <f t="shared" si="1"/>
        <v/>
      </c>
      <c r="H22" s="47" t="str">
        <f>IF($B22="","",COUNTIFS(Data!$S$2:$S$1201,$B22,Data!$AI$2:$AI$1201,1))</f>
        <v/>
      </c>
      <c r="I22" s="45" t="str">
        <f>IF(OR($B22="",$D22=0),"",SUMIFS(Data!$N$2:$N$1201,Data!$S$2:$S$1201,$B22,Data!$AI$2:$AI$1201,1)/60/$D22)</f>
        <v/>
      </c>
      <c r="J22" s="48" t="str">
        <f>IF($B22="","",SUMIFS(Data!$AH$2:$AH$1201,Data!$S$2:$S$1201,$B22))</f>
        <v/>
      </c>
    </row>
    <row r="23" spans="2:10" x14ac:dyDescent="0.25">
      <c r="B23" s="51" t="str">
        <f>IFERROR(SMALL(Rhythm!$Z$8:$Z$207,14),"")</f>
        <v/>
      </c>
      <c r="C23" s="42" t="str">
        <f t="shared" si="0"/>
        <v/>
      </c>
      <c r="D23" s="53" t="str">
        <f>IF($B23="","",SUMIFS(Data!$N$2:$N$1201,Data!$S$2:$S$1201,$B23)/60)</f>
        <v/>
      </c>
      <c r="E23" s="47" t="str">
        <f>IF($B23="","",COUNTIFS(Data!$S$2:$S$1201,$B23,Data!$E$2:$E$1201,"timed"))</f>
        <v/>
      </c>
      <c r="F23" s="56" t="str">
        <f>IF($B23="","",SUMIFS(Data!$AG$2:$AG$1201,Data!$S$2:$S$1201,$B23))</f>
        <v/>
      </c>
      <c r="G23" s="54" t="str">
        <f t="shared" si="1"/>
        <v/>
      </c>
      <c r="H23" s="47" t="str">
        <f>IF($B23="","",COUNTIFS(Data!$S$2:$S$1201,$B23,Data!$AI$2:$AI$1201,1))</f>
        <v/>
      </c>
      <c r="I23" s="45" t="str">
        <f>IF(OR($B23="",$D23=0),"",SUMIFS(Data!$N$2:$N$1201,Data!$S$2:$S$1201,$B23,Data!$AI$2:$AI$1201,1)/60/$D23)</f>
        <v/>
      </c>
      <c r="J23" s="48" t="str">
        <f>IF($B23="","",SUMIFS(Data!$AH$2:$AH$1201,Data!$S$2:$S$1201,$B23))</f>
        <v/>
      </c>
    </row>
    <row r="24" spans="2:10" x14ac:dyDescent="0.25">
      <c r="B24" s="51" t="str">
        <f>IFERROR(SMALL(Rhythm!$Z$8:$Z$207,15),"")</f>
        <v/>
      </c>
      <c r="C24" s="42" t="str">
        <f t="shared" si="0"/>
        <v/>
      </c>
      <c r="D24" s="53" t="str">
        <f>IF($B24="","",SUMIFS(Data!$N$2:$N$1201,Data!$S$2:$S$1201,$B24)/60)</f>
        <v/>
      </c>
      <c r="E24" s="47" t="str">
        <f>IF($B24="","",COUNTIFS(Data!$S$2:$S$1201,$B24,Data!$E$2:$E$1201,"timed"))</f>
        <v/>
      </c>
      <c r="F24" s="56" t="str">
        <f>IF($B24="","",SUMIFS(Data!$AG$2:$AG$1201,Data!$S$2:$S$1201,$B24))</f>
        <v/>
      </c>
      <c r="G24" s="54" t="str">
        <f t="shared" si="1"/>
        <v/>
      </c>
      <c r="H24" s="47" t="str">
        <f>IF($B24="","",COUNTIFS(Data!$S$2:$S$1201,$B24,Data!$AI$2:$AI$1201,1))</f>
        <v/>
      </c>
      <c r="I24" s="45" t="str">
        <f>IF(OR($B24="",$D24=0),"",SUMIFS(Data!$N$2:$N$1201,Data!$S$2:$S$1201,$B24,Data!$AI$2:$AI$1201,1)/60/$D24)</f>
        <v/>
      </c>
      <c r="J24" s="48" t="str">
        <f>IF($B24="","",SUMIFS(Data!$AH$2:$AH$1201,Data!$S$2:$S$1201,$B24))</f>
        <v/>
      </c>
    </row>
    <row r="25" spans="2:10" x14ac:dyDescent="0.25">
      <c r="B25" s="51" t="str">
        <f>IFERROR(SMALL(Rhythm!$Z$8:$Z$207,16),"")</f>
        <v/>
      </c>
      <c r="C25" s="42" t="str">
        <f t="shared" si="0"/>
        <v/>
      </c>
      <c r="D25" s="53" t="str">
        <f>IF($B25="","",SUMIFS(Data!$N$2:$N$1201,Data!$S$2:$S$1201,$B25)/60)</f>
        <v/>
      </c>
      <c r="E25" s="47" t="str">
        <f>IF($B25="","",COUNTIFS(Data!$S$2:$S$1201,$B25,Data!$E$2:$E$1201,"timed"))</f>
        <v/>
      </c>
      <c r="F25" s="56" t="str">
        <f>IF($B25="","",SUMIFS(Data!$AG$2:$AG$1201,Data!$S$2:$S$1201,$B25))</f>
        <v/>
      </c>
      <c r="G25" s="54" t="str">
        <f t="shared" si="1"/>
        <v/>
      </c>
      <c r="H25" s="47" t="str">
        <f>IF($B25="","",COUNTIFS(Data!$S$2:$S$1201,$B25,Data!$AI$2:$AI$1201,1))</f>
        <v/>
      </c>
      <c r="I25" s="45" t="str">
        <f>IF(OR($B25="",$D25=0),"",SUMIFS(Data!$N$2:$N$1201,Data!$S$2:$S$1201,$B25,Data!$AI$2:$AI$1201,1)/60/$D25)</f>
        <v/>
      </c>
      <c r="J25" s="48" t="str">
        <f>IF($B25="","",SUMIFS(Data!$AH$2:$AH$1201,Data!$S$2:$S$1201,$B25))</f>
        <v/>
      </c>
    </row>
    <row r="26" spans="2:10" x14ac:dyDescent="0.25">
      <c r="B26" s="51" t="str">
        <f>IFERROR(SMALL(Rhythm!$Z$8:$Z$207,17),"")</f>
        <v/>
      </c>
      <c r="C26" s="42" t="str">
        <f t="shared" si="0"/>
        <v/>
      </c>
      <c r="D26" s="53" t="str">
        <f>IF($B26="","",SUMIFS(Data!$N$2:$N$1201,Data!$S$2:$S$1201,$B26)/60)</f>
        <v/>
      </c>
      <c r="E26" s="47" t="str">
        <f>IF($B26="","",COUNTIFS(Data!$S$2:$S$1201,$B26,Data!$E$2:$E$1201,"timed"))</f>
        <v/>
      </c>
      <c r="F26" s="56" t="str">
        <f>IF($B26="","",SUMIFS(Data!$AG$2:$AG$1201,Data!$S$2:$S$1201,$B26))</f>
        <v/>
      </c>
      <c r="G26" s="54" t="str">
        <f t="shared" si="1"/>
        <v/>
      </c>
      <c r="H26" s="47" t="str">
        <f>IF($B26="","",COUNTIFS(Data!$S$2:$S$1201,$B26,Data!$AI$2:$AI$1201,1))</f>
        <v/>
      </c>
      <c r="I26" s="45" t="str">
        <f>IF(OR($B26="",$D26=0),"",SUMIFS(Data!$N$2:$N$1201,Data!$S$2:$S$1201,$B26,Data!$AI$2:$AI$1201,1)/60/$D26)</f>
        <v/>
      </c>
      <c r="J26" s="48" t="str">
        <f>IF($B26="","",SUMIFS(Data!$AH$2:$AH$1201,Data!$S$2:$S$1201,$B26))</f>
        <v/>
      </c>
    </row>
    <row r="27" spans="2:10" x14ac:dyDescent="0.25">
      <c r="B27" s="51" t="str">
        <f>IFERROR(SMALL(Rhythm!$Z$8:$Z$207,18),"")</f>
        <v/>
      </c>
      <c r="C27" s="42" t="str">
        <f t="shared" si="0"/>
        <v/>
      </c>
      <c r="D27" s="53" t="str">
        <f>IF($B27="","",SUMIFS(Data!$N$2:$N$1201,Data!$S$2:$S$1201,$B27)/60)</f>
        <v/>
      </c>
      <c r="E27" s="47" t="str">
        <f>IF($B27="","",COUNTIFS(Data!$S$2:$S$1201,$B27,Data!$E$2:$E$1201,"timed"))</f>
        <v/>
      </c>
      <c r="F27" s="56" t="str">
        <f>IF($B27="","",SUMIFS(Data!$AG$2:$AG$1201,Data!$S$2:$S$1201,$B27))</f>
        <v/>
      </c>
      <c r="G27" s="54" t="str">
        <f t="shared" si="1"/>
        <v/>
      </c>
      <c r="H27" s="47" t="str">
        <f>IF($B27="","",COUNTIFS(Data!$S$2:$S$1201,$B27,Data!$AI$2:$AI$1201,1))</f>
        <v/>
      </c>
      <c r="I27" s="45" t="str">
        <f>IF(OR($B27="",$D27=0),"",SUMIFS(Data!$N$2:$N$1201,Data!$S$2:$S$1201,$B27,Data!$AI$2:$AI$1201,1)/60/$D27)</f>
        <v/>
      </c>
      <c r="J27" s="48" t="str">
        <f>IF($B27="","",SUMIFS(Data!$AH$2:$AH$1201,Data!$S$2:$S$1201,$B27))</f>
        <v/>
      </c>
    </row>
    <row r="28" spans="2:10" x14ac:dyDescent="0.25">
      <c r="B28" s="51" t="str">
        <f>IFERROR(SMALL(Rhythm!$Z$8:$Z$207,19),"")</f>
        <v/>
      </c>
      <c r="C28" s="42" t="str">
        <f t="shared" si="0"/>
        <v/>
      </c>
      <c r="D28" s="53" t="str">
        <f>IF($B28="","",SUMIFS(Data!$N$2:$N$1201,Data!$S$2:$S$1201,$B28)/60)</f>
        <v/>
      </c>
      <c r="E28" s="47" t="str">
        <f>IF($B28="","",COUNTIFS(Data!$S$2:$S$1201,$B28,Data!$E$2:$E$1201,"timed"))</f>
        <v/>
      </c>
      <c r="F28" s="56" t="str">
        <f>IF($B28="","",SUMIFS(Data!$AG$2:$AG$1201,Data!$S$2:$S$1201,$B28))</f>
        <v/>
      </c>
      <c r="G28" s="54" t="str">
        <f t="shared" si="1"/>
        <v/>
      </c>
      <c r="H28" s="47" t="str">
        <f>IF($B28="","",COUNTIFS(Data!$S$2:$S$1201,$B28,Data!$AI$2:$AI$1201,1))</f>
        <v/>
      </c>
      <c r="I28" s="45" t="str">
        <f>IF(OR($B28="",$D28=0),"",SUMIFS(Data!$N$2:$N$1201,Data!$S$2:$S$1201,$B28,Data!$AI$2:$AI$1201,1)/60/$D28)</f>
        <v/>
      </c>
      <c r="J28" s="48" t="str">
        <f>IF($B28="","",SUMIFS(Data!$AH$2:$AH$1201,Data!$S$2:$S$1201,$B28))</f>
        <v/>
      </c>
    </row>
    <row r="29" spans="2:10" x14ac:dyDescent="0.25">
      <c r="B29" s="51" t="str">
        <f>IFERROR(SMALL(Rhythm!$Z$8:$Z$207,20),"")</f>
        <v/>
      </c>
      <c r="C29" s="42" t="str">
        <f t="shared" si="0"/>
        <v/>
      </c>
      <c r="D29" s="53" t="str">
        <f>IF($B29="","",SUMIFS(Data!$N$2:$N$1201,Data!$S$2:$S$1201,$B29)/60)</f>
        <v/>
      </c>
      <c r="E29" s="47" t="str">
        <f>IF($B29="","",COUNTIFS(Data!$S$2:$S$1201,$B29,Data!$E$2:$E$1201,"timed"))</f>
        <v/>
      </c>
      <c r="F29" s="56" t="str">
        <f>IF($B29="","",SUMIFS(Data!$AG$2:$AG$1201,Data!$S$2:$S$1201,$B29))</f>
        <v/>
      </c>
      <c r="G29" s="54" t="str">
        <f t="shared" si="1"/>
        <v/>
      </c>
      <c r="H29" s="47" t="str">
        <f>IF($B29="","",COUNTIFS(Data!$S$2:$S$1201,$B29,Data!$AI$2:$AI$1201,1))</f>
        <v/>
      </c>
      <c r="I29" s="45" t="str">
        <f>IF(OR($B29="",$D29=0),"",SUMIFS(Data!$N$2:$N$1201,Data!$S$2:$S$1201,$B29,Data!$AI$2:$AI$1201,1)/60/$D29)</f>
        <v/>
      </c>
      <c r="J29" s="48" t="str">
        <f>IF($B29="","",SUMIFS(Data!$AH$2:$AH$1201,Data!$S$2:$S$1201,$B29))</f>
        <v/>
      </c>
    </row>
    <row r="30" spans="2:10" x14ac:dyDescent="0.25">
      <c r="B30" s="51" t="str">
        <f>IFERROR(SMALL(Rhythm!$Z$8:$Z$207,21),"")</f>
        <v/>
      </c>
      <c r="C30" s="42" t="str">
        <f t="shared" si="0"/>
        <v/>
      </c>
      <c r="D30" s="53" t="str">
        <f>IF($B30="","",SUMIFS(Data!$N$2:$N$1201,Data!$S$2:$S$1201,$B30)/60)</f>
        <v/>
      </c>
      <c r="E30" s="47" t="str">
        <f>IF($B30="","",COUNTIFS(Data!$S$2:$S$1201,$B30,Data!$E$2:$E$1201,"timed"))</f>
        <v/>
      </c>
      <c r="F30" s="56" t="str">
        <f>IF($B30="","",SUMIFS(Data!$AG$2:$AG$1201,Data!$S$2:$S$1201,$B30))</f>
        <v/>
      </c>
      <c r="G30" s="54" t="str">
        <f t="shared" si="1"/>
        <v/>
      </c>
      <c r="H30" s="47" t="str">
        <f>IF($B30="","",COUNTIFS(Data!$S$2:$S$1201,$B30,Data!$AI$2:$AI$1201,1))</f>
        <v/>
      </c>
      <c r="I30" s="45" t="str">
        <f>IF(OR($B30="",$D30=0),"",SUMIFS(Data!$N$2:$N$1201,Data!$S$2:$S$1201,$B30,Data!$AI$2:$AI$1201,1)/60/$D30)</f>
        <v/>
      </c>
      <c r="J30" s="48" t="str">
        <f>IF($B30="","",SUMIFS(Data!$AH$2:$AH$1201,Data!$S$2:$S$1201,$B30))</f>
        <v/>
      </c>
    </row>
    <row r="31" spans="2:10" x14ac:dyDescent="0.25">
      <c r="B31" s="51" t="str">
        <f>IFERROR(SMALL(Rhythm!$Z$8:$Z$207,22),"")</f>
        <v/>
      </c>
      <c r="C31" s="42" t="str">
        <f t="shared" si="0"/>
        <v/>
      </c>
      <c r="D31" s="53" t="str">
        <f>IF($B31="","",SUMIFS(Data!$N$2:$N$1201,Data!$S$2:$S$1201,$B31)/60)</f>
        <v/>
      </c>
      <c r="E31" s="47" t="str">
        <f>IF($B31="","",COUNTIFS(Data!$S$2:$S$1201,$B31,Data!$E$2:$E$1201,"timed"))</f>
        <v/>
      </c>
      <c r="F31" s="56" t="str">
        <f>IF($B31="","",SUMIFS(Data!$AG$2:$AG$1201,Data!$S$2:$S$1201,$B31))</f>
        <v/>
      </c>
      <c r="G31" s="54" t="str">
        <f t="shared" si="1"/>
        <v/>
      </c>
      <c r="H31" s="47" t="str">
        <f>IF($B31="","",COUNTIFS(Data!$S$2:$S$1201,$B31,Data!$AI$2:$AI$1201,1))</f>
        <v/>
      </c>
      <c r="I31" s="45" t="str">
        <f>IF(OR($B31="",$D31=0),"",SUMIFS(Data!$N$2:$N$1201,Data!$S$2:$S$1201,$B31,Data!$AI$2:$AI$1201,1)/60/$D31)</f>
        <v/>
      </c>
      <c r="J31" s="48" t="str">
        <f>IF($B31="","",SUMIFS(Data!$AH$2:$AH$1201,Data!$S$2:$S$1201,$B31))</f>
        <v/>
      </c>
    </row>
    <row r="32" spans="2:10" x14ac:dyDescent="0.25">
      <c r="B32" s="51" t="str">
        <f>IFERROR(SMALL(Rhythm!$Z$8:$Z$207,23),"")</f>
        <v/>
      </c>
      <c r="C32" s="42" t="str">
        <f t="shared" si="0"/>
        <v/>
      </c>
      <c r="D32" s="53" t="str">
        <f>IF($B32="","",SUMIFS(Data!$N$2:$N$1201,Data!$S$2:$S$1201,$B32)/60)</f>
        <v/>
      </c>
      <c r="E32" s="47" t="str">
        <f>IF($B32="","",COUNTIFS(Data!$S$2:$S$1201,$B32,Data!$E$2:$E$1201,"timed"))</f>
        <v/>
      </c>
      <c r="F32" s="56" t="str">
        <f>IF($B32="","",SUMIFS(Data!$AG$2:$AG$1201,Data!$S$2:$S$1201,$B32))</f>
        <v/>
      </c>
      <c r="G32" s="54" t="str">
        <f t="shared" si="1"/>
        <v/>
      </c>
      <c r="H32" s="47" t="str">
        <f>IF($B32="","",COUNTIFS(Data!$S$2:$S$1201,$B32,Data!$AI$2:$AI$1201,1))</f>
        <v/>
      </c>
      <c r="I32" s="45" t="str">
        <f>IF(OR($B32="",$D32=0),"",SUMIFS(Data!$N$2:$N$1201,Data!$S$2:$S$1201,$B32,Data!$AI$2:$AI$1201,1)/60/$D32)</f>
        <v/>
      </c>
      <c r="J32" s="48" t="str">
        <f>IF($B32="","",SUMIFS(Data!$AH$2:$AH$1201,Data!$S$2:$S$1201,$B32))</f>
        <v/>
      </c>
    </row>
    <row r="33" spans="2:10" x14ac:dyDescent="0.25">
      <c r="B33" s="51" t="str">
        <f>IFERROR(SMALL(Rhythm!$Z$8:$Z$207,24),"")</f>
        <v/>
      </c>
      <c r="C33" s="42" t="str">
        <f t="shared" si="0"/>
        <v/>
      </c>
      <c r="D33" s="53" t="str">
        <f>IF($B33="","",SUMIFS(Data!$N$2:$N$1201,Data!$S$2:$S$1201,$B33)/60)</f>
        <v/>
      </c>
      <c r="E33" s="47" t="str">
        <f>IF($B33="","",COUNTIFS(Data!$S$2:$S$1201,$B33,Data!$E$2:$E$1201,"timed"))</f>
        <v/>
      </c>
      <c r="F33" s="56" t="str">
        <f>IF($B33="","",SUMIFS(Data!$AG$2:$AG$1201,Data!$S$2:$S$1201,$B33))</f>
        <v/>
      </c>
      <c r="G33" s="54" t="str">
        <f t="shared" si="1"/>
        <v/>
      </c>
      <c r="H33" s="47" t="str">
        <f>IF($B33="","",COUNTIFS(Data!$S$2:$S$1201,$B33,Data!$AI$2:$AI$1201,1))</f>
        <v/>
      </c>
      <c r="I33" s="45" t="str">
        <f>IF(OR($B33="",$D33=0),"",SUMIFS(Data!$N$2:$N$1201,Data!$S$2:$S$1201,$B33,Data!$AI$2:$AI$1201,1)/60/$D33)</f>
        <v/>
      </c>
      <c r="J33" s="48" t="str">
        <f>IF($B33="","",SUMIFS(Data!$AH$2:$AH$1201,Data!$S$2:$S$1201,$B33))</f>
        <v/>
      </c>
    </row>
    <row r="34" spans="2:10" x14ac:dyDescent="0.25">
      <c r="B34" s="51" t="str">
        <f>IFERROR(SMALL(Rhythm!$Z$8:$Z$207,25),"")</f>
        <v/>
      </c>
      <c r="C34" s="42" t="str">
        <f t="shared" si="0"/>
        <v/>
      </c>
      <c r="D34" s="53" t="str">
        <f>IF($B34="","",SUMIFS(Data!$N$2:$N$1201,Data!$S$2:$S$1201,$B34)/60)</f>
        <v/>
      </c>
      <c r="E34" s="47" t="str">
        <f>IF($B34="","",COUNTIFS(Data!$S$2:$S$1201,$B34,Data!$E$2:$E$1201,"timed"))</f>
        <v/>
      </c>
      <c r="F34" s="56" t="str">
        <f>IF($B34="","",SUMIFS(Data!$AG$2:$AG$1201,Data!$S$2:$S$1201,$B34))</f>
        <v/>
      </c>
      <c r="G34" s="54" t="str">
        <f t="shared" si="1"/>
        <v/>
      </c>
      <c r="H34" s="47" t="str">
        <f>IF($B34="","",COUNTIFS(Data!$S$2:$S$1201,$B34,Data!$AI$2:$AI$1201,1))</f>
        <v/>
      </c>
      <c r="I34" s="45" t="str">
        <f>IF(OR($B34="",$D34=0),"",SUMIFS(Data!$N$2:$N$1201,Data!$S$2:$S$1201,$B34,Data!$AI$2:$AI$1201,1)/60/$D34)</f>
        <v/>
      </c>
      <c r="J34" s="48" t="str">
        <f>IF($B34="","",SUMIFS(Data!$AH$2:$AH$1201,Data!$S$2:$S$1201,$B34))</f>
        <v/>
      </c>
    </row>
    <row r="35" spans="2:10" x14ac:dyDescent="0.25">
      <c r="B35" s="51" t="str">
        <f>IFERROR(SMALL(Rhythm!$Z$8:$Z$207,26),"")</f>
        <v/>
      </c>
      <c r="C35" s="42" t="str">
        <f t="shared" si="0"/>
        <v/>
      </c>
      <c r="D35" s="53" t="str">
        <f>IF($B35="","",SUMIFS(Data!$N$2:$N$1201,Data!$S$2:$S$1201,$B35)/60)</f>
        <v/>
      </c>
      <c r="E35" s="47" t="str">
        <f>IF($B35="","",COUNTIFS(Data!$S$2:$S$1201,$B35,Data!$E$2:$E$1201,"timed"))</f>
        <v/>
      </c>
      <c r="F35" s="56" t="str">
        <f>IF($B35="","",SUMIFS(Data!$AG$2:$AG$1201,Data!$S$2:$S$1201,$B35))</f>
        <v/>
      </c>
      <c r="G35" s="54" t="str">
        <f t="shared" si="1"/>
        <v/>
      </c>
      <c r="H35" s="47" t="str">
        <f>IF($B35="","",COUNTIFS(Data!$S$2:$S$1201,$B35,Data!$AI$2:$AI$1201,1))</f>
        <v/>
      </c>
      <c r="I35" s="45" t="str">
        <f>IF(OR($B35="",$D35=0),"",SUMIFS(Data!$N$2:$N$1201,Data!$S$2:$S$1201,$B35,Data!$AI$2:$AI$1201,1)/60/$D35)</f>
        <v/>
      </c>
      <c r="J35" s="48" t="str">
        <f>IF($B35="","",SUMIFS(Data!$AH$2:$AH$1201,Data!$S$2:$S$1201,$B35))</f>
        <v/>
      </c>
    </row>
    <row r="36" spans="2:10" x14ac:dyDescent="0.25">
      <c r="B36" s="51" t="str">
        <f>IFERROR(SMALL(Rhythm!$Z$8:$Z$207,27),"")</f>
        <v/>
      </c>
      <c r="C36" s="42" t="str">
        <f t="shared" si="0"/>
        <v/>
      </c>
      <c r="D36" s="53" t="str">
        <f>IF($B36="","",SUMIFS(Data!$N$2:$N$1201,Data!$S$2:$S$1201,$B36)/60)</f>
        <v/>
      </c>
      <c r="E36" s="47" t="str">
        <f>IF($B36="","",COUNTIFS(Data!$S$2:$S$1201,$B36,Data!$E$2:$E$1201,"timed"))</f>
        <v/>
      </c>
      <c r="F36" s="56" t="str">
        <f>IF($B36="","",SUMIFS(Data!$AG$2:$AG$1201,Data!$S$2:$S$1201,$B36))</f>
        <v/>
      </c>
      <c r="G36" s="54" t="str">
        <f t="shared" si="1"/>
        <v/>
      </c>
      <c r="H36" s="47" t="str">
        <f>IF($B36="","",COUNTIFS(Data!$S$2:$S$1201,$B36,Data!$AI$2:$AI$1201,1))</f>
        <v/>
      </c>
      <c r="I36" s="45" t="str">
        <f>IF(OR($B36="",$D36=0),"",SUMIFS(Data!$N$2:$N$1201,Data!$S$2:$S$1201,$B36,Data!$AI$2:$AI$1201,1)/60/$D36)</f>
        <v/>
      </c>
      <c r="J36" s="48" t="str">
        <f>IF($B36="","",SUMIFS(Data!$AH$2:$AH$1201,Data!$S$2:$S$1201,$B36))</f>
        <v/>
      </c>
    </row>
    <row r="37" spans="2:10" x14ac:dyDescent="0.25">
      <c r="B37" s="51" t="str">
        <f>IFERROR(SMALL(Rhythm!$Z$8:$Z$207,28),"")</f>
        <v/>
      </c>
      <c r="C37" s="42" t="str">
        <f t="shared" si="0"/>
        <v/>
      </c>
      <c r="D37" s="53" t="str">
        <f>IF($B37="","",SUMIFS(Data!$N$2:$N$1201,Data!$S$2:$S$1201,$B37)/60)</f>
        <v/>
      </c>
      <c r="E37" s="47" t="str">
        <f>IF($B37="","",COUNTIFS(Data!$S$2:$S$1201,$B37,Data!$E$2:$E$1201,"timed"))</f>
        <v/>
      </c>
      <c r="F37" s="56" t="str">
        <f>IF($B37="","",SUMIFS(Data!$AG$2:$AG$1201,Data!$S$2:$S$1201,$B37))</f>
        <v/>
      </c>
      <c r="G37" s="54" t="str">
        <f t="shared" si="1"/>
        <v/>
      </c>
      <c r="H37" s="47" t="str">
        <f>IF($B37="","",COUNTIFS(Data!$S$2:$S$1201,$B37,Data!$AI$2:$AI$1201,1))</f>
        <v/>
      </c>
      <c r="I37" s="45" t="str">
        <f>IF(OR($B37="",$D37=0),"",SUMIFS(Data!$N$2:$N$1201,Data!$S$2:$S$1201,$B37,Data!$AI$2:$AI$1201,1)/60/$D37)</f>
        <v/>
      </c>
      <c r="J37" s="48" t="str">
        <f>IF($B37="","",SUMIFS(Data!$AH$2:$AH$1201,Data!$S$2:$S$1201,$B37))</f>
        <v/>
      </c>
    </row>
    <row r="38" spans="2:10" x14ac:dyDescent="0.25">
      <c r="B38" s="51" t="str">
        <f>IFERROR(SMALL(Rhythm!$Z$8:$Z$207,29),"")</f>
        <v/>
      </c>
      <c r="C38" s="42" t="str">
        <f t="shared" si="0"/>
        <v/>
      </c>
      <c r="D38" s="53" t="str">
        <f>IF($B38="","",SUMIFS(Data!$N$2:$N$1201,Data!$S$2:$S$1201,$B38)/60)</f>
        <v/>
      </c>
      <c r="E38" s="47" t="str">
        <f>IF($B38="","",COUNTIFS(Data!$S$2:$S$1201,$B38,Data!$E$2:$E$1201,"timed"))</f>
        <v/>
      </c>
      <c r="F38" s="56" t="str">
        <f>IF($B38="","",SUMIFS(Data!$AG$2:$AG$1201,Data!$S$2:$S$1201,$B38))</f>
        <v/>
      </c>
      <c r="G38" s="54" t="str">
        <f t="shared" si="1"/>
        <v/>
      </c>
      <c r="H38" s="47" t="str">
        <f>IF($B38="","",COUNTIFS(Data!$S$2:$S$1201,$B38,Data!$AI$2:$AI$1201,1))</f>
        <v/>
      </c>
      <c r="I38" s="45" t="str">
        <f>IF(OR($B38="",$D38=0),"",SUMIFS(Data!$N$2:$N$1201,Data!$S$2:$S$1201,$B38,Data!$AI$2:$AI$1201,1)/60/$D38)</f>
        <v/>
      </c>
      <c r="J38" s="48" t="str">
        <f>IF($B38="","",SUMIFS(Data!$AH$2:$AH$1201,Data!$S$2:$S$1201,$B38))</f>
        <v/>
      </c>
    </row>
    <row r="39" spans="2:10" x14ac:dyDescent="0.25">
      <c r="B39" s="51" t="str">
        <f>IFERROR(SMALL(Rhythm!$Z$8:$Z$207,30),"")</f>
        <v/>
      </c>
      <c r="C39" s="42" t="str">
        <f t="shared" si="0"/>
        <v/>
      </c>
      <c r="D39" s="53" t="str">
        <f>IF($B39="","",SUMIFS(Data!$N$2:$N$1201,Data!$S$2:$S$1201,$B39)/60)</f>
        <v/>
      </c>
      <c r="E39" s="47" t="str">
        <f>IF($B39="","",COUNTIFS(Data!$S$2:$S$1201,$B39,Data!$E$2:$E$1201,"timed"))</f>
        <v/>
      </c>
      <c r="F39" s="56" t="str">
        <f>IF($B39="","",SUMIFS(Data!$AG$2:$AG$1201,Data!$S$2:$S$1201,$B39))</f>
        <v/>
      </c>
      <c r="G39" s="54" t="str">
        <f t="shared" si="1"/>
        <v/>
      </c>
      <c r="H39" s="47" t="str">
        <f>IF($B39="","",COUNTIFS(Data!$S$2:$S$1201,$B39,Data!$AI$2:$AI$1201,1))</f>
        <v/>
      </c>
      <c r="I39" s="45" t="str">
        <f>IF(OR($B39="",$D39=0),"",SUMIFS(Data!$N$2:$N$1201,Data!$S$2:$S$1201,$B39,Data!$AI$2:$AI$1201,1)/60/$D39)</f>
        <v/>
      </c>
      <c r="J39" s="48" t="str">
        <f>IF($B39="","",SUMIFS(Data!$AH$2:$AH$1201,Data!$S$2:$S$1201,$B39))</f>
        <v/>
      </c>
    </row>
    <row r="40" spans="2:10" x14ac:dyDescent="0.25">
      <c r="B40" s="51" t="str">
        <f>IFERROR(SMALL(Rhythm!$Z$8:$Z$207,31),"")</f>
        <v/>
      </c>
      <c r="C40" s="42" t="str">
        <f t="shared" si="0"/>
        <v/>
      </c>
      <c r="D40" s="53" t="str">
        <f>IF($B40="","",SUMIFS(Data!$N$2:$N$1201,Data!$S$2:$S$1201,$B40)/60)</f>
        <v/>
      </c>
      <c r="E40" s="47" t="str">
        <f>IF($B40="","",COUNTIFS(Data!$S$2:$S$1201,$B40,Data!$E$2:$E$1201,"timed"))</f>
        <v/>
      </c>
      <c r="F40" s="56" t="str">
        <f>IF($B40="","",SUMIFS(Data!$AG$2:$AG$1201,Data!$S$2:$S$1201,$B40))</f>
        <v/>
      </c>
      <c r="G40" s="54" t="str">
        <f t="shared" si="1"/>
        <v/>
      </c>
      <c r="H40" s="47" t="str">
        <f>IF($B40="","",COUNTIFS(Data!$S$2:$S$1201,$B40,Data!$AI$2:$AI$1201,1))</f>
        <v/>
      </c>
      <c r="I40" s="45" t="str">
        <f>IF(OR($B40="",$D40=0),"",SUMIFS(Data!$N$2:$N$1201,Data!$S$2:$S$1201,$B40,Data!$AI$2:$AI$1201,1)/60/$D40)</f>
        <v/>
      </c>
      <c r="J40" s="48" t="str">
        <f>IF($B40="","",SUMIFS(Data!$AH$2:$AH$1201,Data!$S$2:$S$1201,$B40))</f>
        <v/>
      </c>
    </row>
    <row r="41" spans="2:10" x14ac:dyDescent="0.25">
      <c r="B41" s="51" t="str">
        <f>IFERROR(SMALL(Rhythm!$Z$8:$Z$207,32),"")</f>
        <v/>
      </c>
      <c r="C41" s="42" t="str">
        <f t="shared" si="0"/>
        <v/>
      </c>
      <c r="D41" s="53" t="str">
        <f>IF($B41="","",SUMIFS(Data!$N$2:$N$1201,Data!$S$2:$S$1201,$B41)/60)</f>
        <v/>
      </c>
      <c r="E41" s="47" t="str">
        <f>IF($B41="","",COUNTIFS(Data!$S$2:$S$1201,$B41,Data!$E$2:$E$1201,"timed"))</f>
        <v/>
      </c>
      <c r="F41" s="56" t="str">
        <f>IF($B41="","",SUMIFS(Data!$AG$2:$AG$1201,Data!$S$2:$S$1201,$B41))</f>
        <v/>
      </c>
      <c r="G41" s="54" t="str">
        <f t="shared" si="1"/>
        <v/>
      </c>
      <c r="H41" s="47" t="str">
        <f>IF($B41="","",COUNTIFS(Data!$S$2:$S$1201,$B41,Data!$AI$2:$AI$1201,1))</f>
        <v/>
      </c>
      <c r="I41" s="45" t="str">
        <f>IF(OR($B41="",$D41=0),"",SUMIFS(Data!$N$2:$N$1201,Data!$S$2:$S$1201,$B41,Data!$AI$2:$AI$1201,1)/60/$D41)</f>
        <v/>
      </c>
      <c r="J41" s="48" t="str">
        <f>IF($B41="","",SUMIFS(Data!$AH$2:$AH$1201,Data!$S$2:$S$1201,$B41))</f>
        <v/>
      </c>
    </row>
    <row r="42" spans="2:10" x14ac:dyDescent="0.25">
      <c r="B42" s="51" t="str">
        <f>IFERROR(SMALL(Rhythm!$Z$8:$Z$207,33),"")</f>
        <v/>
      </c>
      <c r="C42" s="42" t="str">
        <f t="shared" ref="C42:C73" si="2">IF($B42="","",TEXT($B42,"ddd"))</f>
        <v/>
      </c>
      <c r="D42" s="53" t="str">
        <f>IF($B42="","",SUMIFS(Data!$N$2:$N$1201,Data!$S$2:$S$1201,$B42)/60)</f>
        <v/>
      </c>
      <c r="E42" s="47" t="str">
        <f>IF($B42="","",COUNTIFS(Data!$S$2:$S$1201,$B42,Data!$E$2:$E$1201,"timed"))</f>
        <v/>
      </c>
      <c r="F42" s="56" t="str">
        <f>IF($B42="","",SUMIFS(Data!$AG$2:$AG$1201,Data!$S$2:$S$1201,$B42))</f>
        <v/>
      </c>
      <c r="G42" s="54" t="str">
        <f t="shared" ref="G42:G73" si="3">IF(OR($B42="",$D42=0),"",$F42/$D42)</f>
        <v/>
      </c>
      <c r="H42" s="47" t="str">
        <f>IF($B42="","",COUNTIFS(Data!$S$2:$S$1201,$B42,Data!$AI$2:$AI$1201,1))</f>
        <v/>
      </c>
      <c r="I42" s="45" t="str">
        <f>IF(OR($B42="",$D42=0),"",SUMIFS(Data!$N$2:$N$1201,Data!$S$2:$S$1201,$B42,Data!$AI$2:$AI$1201,1)/60/$D42)</f>
        <v/>
      </c>
      <c r="J42" s="48" t="str">
        <f>IF($B42="","",SUMIFS(Data!$AH$2:$AH$1201,Data!$S$2:$S$1201,$B42))</f>
        <v/>
      </c>
    </row>
    <row r="43" spans="2:10" x14ac:dyDescent="0.25">
      <c r="B43" s="51" t="str">
        <f>IFERROR(SMALL(Rhythm!$Z$8:$Z$207,34),"")</f>
        <v/>
      </c>
      <c r="C43" s="42" t="str">
        <f t="shared" si="2"/>
        <v/>
      </c>
      <c r="D43" s="53" t="str">
        <f>IF($B43="","",SUMIFS(Data!$N$2:$N$1201,Data!$S$2:$S$1201,$B43)/60)</f>
        <v/>
      </c>
      <c r="E43" s="47" t="str">
        <f>IF($B43="","",COUNTIFS(Data!$S$2:$S$1201,$B43,Data!$E$2:$E$1201,"timed"))</f>
        <v/>
      </c>
      <c r="F43" s="56" t="str">
        <f>IF($B43="","",SUMIFS(Data!$AG$2:$AG$1201,Data!$S$2:$S$1201,$B43))</f>
        <v/>
      </c>
      <c r="G43" s="54" t="str">
        <f t="shared" si="3"/>
        <v/>
      </c>
      <c r="H43" s="47" t="str">
        <f>IF($B43="","",COUNTIFS(Data!$S$2:$S$1201,$B43,Data!$AI$2:$AI$1201,1))</f>
        <v/>
      </c>
      <c r="I43" s="45" t="str">
        <f>IF(OR($B43="",$D43=0),"",SUMIFS(Data!$N$2:$N$1201,Data!$S$2:$S$1201,$B43,Data!$AI$2:$AI$1201,1)/60/$D43)</f>
        <v/>
      </c>
      <c r="J43" s="48" t="str">
        <f>IF($B43="","",SUMIFS(Data!$AH$2:$AH$1201,Data!$S$2:$S$1201,$B43))</f>
        <v/>
      </c>
    </row>
    <row r="44" spans="2:10" x14ac:dyDescent="0.25">
      <c r="B44" s="51" t="str">
        <f>IFERROR(SMALL(Rhythm!$Z$8:$Z$207,35),"")</f>
        <v/>
      </c>
      <c r="C44" s="42" t="str">
        <f t="shared" si="2"/>
        <v/>
      </c>
      <c r="D44" s="53" t="str">
        <f>IF($B44="","",SUMIFS(Data!$N$2:$N$1201,Data!$S$2:$S$1201,$B44)/60)</f>
        <v/>
      </c>
      <c r="E44" s="47" t="str">
        <f>IF($B44="","",COUNTIFS(Data!$S$2:$S$1201,$B44,Data!$E$2:$E$1201,"timed"))</f>
        <v/>
      </c>
      <c r="F44" s="56" t="str">
        <f>IF($B44="","",SUMIFS(Data!$AG$2:$AG$1201,Data!$S$2:$S$1201,$B44))</f>
        <v/>
      </c>
      <c r="G44" s="54" t="str">
        <f t="shared" si="3"/>
        <v/>
      </c>
      <c r="H44" s="47" t="str">
        <f>IF($B44="","",COUNTIFS(Data!$S$2:$S$1201,$B44,Data!$AI$2:$AI$1201,1))</f>
        <v/>
      </c>
      <c r="I44" s="45" t="str">
        <f>IF(OR($B44="",$D44=0),"",SUMIFS(Data!$N$2:$N$1201,Data!$S$2:$S$1201,$B44,Data!$AI$2:$AI$1201,1)/60/$D44)</f>
        <v/>
      </c>
      <c r="J44" s="48" t="str">
        <f>IF($B44="","",SUMIFS(Data!$AH$2:$AH$1201,Data!$S$2:$S$1201,$B44))</f>
        <v/>
      </c>
    </row>
    <row r="45" spans="2:10" x14ac:dyDescent="0.25">
      <c r="B45" s="51" t="str">
        <f>IFERROR(SMALL(Rhythm!$Z$8:$Z$207,36),"")</f>
        <v/>
      </c>
      <c r="C45" s="42" t="str">
        <f t="shared" si="2"/>
        <v/>
      </c>
      <c r="D45" s="53" t="str">
        <f>IF($B45="","",SUMIFS(Data!$N$2:$N$1201,Data!$S$2:$S$1201,$B45)/60)</f>
        <v/>
      </c>
      <c r="E45" s="47" t="str">
        <f>IF($B45="","",COUNTIFS(Data!$S$2:$S$1201,$B45,Data!$E$2:$E$1201,"timed"))</f>
        <v/>
      </c>
      <c r="F45" s="56" t="str">
        <f>IF($B45="","",SUMIFS(Data!$AG$2:$AG$1201,Data!$S$2:$S$1201,$B45))</f>
        <v/>
      </c>
      <c r="G45" s="54" t="str">
        <f t="shared" si="3"/>
        <v/>
      </c>
      <c r="H45" s="47" t="str">
        <f>IF($B45="","",COUNTIFS(Data!$S$2:$S$1201,$B45,Data!$AI$2:$AI$1201,1))</f>
        <v/>
      </c>
      <c r="I45" s="45" t="str">
        <f>IF(OR($B45="",$D45=0),"",SUMIFS(Data!$N$2:$N$1201,Data!$S$2:$S$1201,$B45,Data!$AI$2:$AI$1201,1)/60/$D45)</f>
        <v/>
      </c>
      <c r="J45" s="48" t="str">
        <f>IF($B45="","",SUMIFS(Data!$AH$2:$AH$1201,Data!$S$2:$S$1201,$B45))</f>
        <v/>
      </c>
    </row>
    <row r="46" spans="2:10" x14ac:dyDescent="0.25">
      <c r="B46" s="51" t="str">
        <f>IFERROR(SMALL(Rhythm!$Z$8:$Z$207,37),"")</f>
        <v/>
      </c>
      <c r="C46" s="42" t="str">
        <f t="shared" si="2"/>
        <v/>
      </c>
      <c r="D46" s="53" t="str">
        <f>IF($B46="","",SUMIFS(Data!$N$2:$N$1201,Data!$S$2:$S$1201,$B46)/60)</f>
        <v/>
      </c>
      <c r="E46" s="47" t="str">
        <f>IF($B46="","",COUNTIFS(Data!$S$2:$S$1201,$B46,Data!$E$2:$E$1201,"timed"))</f>
        <v/>
      </c>
      <c r="F46" s="56" t="str">
        <f>IF($B46="","",SUMIFS(Data!$AG$2:$AG$1201,Data!$S$2:$S$1201,$B46))</f>
        <v/>
      </c>
      <c r="G46" s="54" t="str">
        <f t="shared" si="3"/>
        <v/>
      </c>
      <c r="H46" s="47" t="str">
        <f>IF($B46="","",COUNTIFS(Data!$S$2:$S$1201,$B46,Data!$AI$2:$AI$1201,1))</f>
        <v/>
      </c>
      <c r="I46" s="45" t="str">
        <f>IF(OR($B46="",$D46=0),"",SUMIFS(Data!$N$2:$N$1201,Data!$S$2:$S$1201,$B46,Data!$AI$2:$AI$1201,1)/60/$D46)</f>
        <v/>
      </c>
      <c r="J46" s="48" t="str">
        <f>IF($B46="","",SUMIFS(Data!$AH$2:$AH$1201,Data!$S$2:$S$1201,$B46))</f>
        <v/>
      </c>
    </row>
    <row r="47" spans="2:10" x14ac:dyDescent="0.25">
      <c r="B47" s="51" t="str">
        <f>IFERROR(SMALL(Rhythm!$Z$8:$Z$207,38),"")</f>
        <v/>
      </c>
      <c r="C47" s="42" t="str">
        <f t="shared" si="2"/>
        <v/>
      </c>
      <c r="D47" s="53" t="str">
        <f>IF($B47="","",SUMIFS(Data!$N$2:$N$1201,Data!$S$2:$S$1201,$B47)/60)</f>
        <v/>
      </c>
      <c r="E47" s="47" t="str">
        <f>IF($B47="","",COUNTIFS(Data!$S$2:$S$1201,$B47,Data!$E$2:$E$1201,"timed"))</f>
        <v/>
      </c>
      <c r="F47" s="56" t="str">
        <f>IF($B47="","",SUMIFS(Data!$AG$2:$AG$1201,Data!$S$2:$S$1201,$B47))</f>
        <v/>
      </c>
      <c r="G47" s="54" t="str">
        <f t="shared" si="3"/>
        <v/>
      </c>
      <c r="H47" s="47" t="str">
        <f>IF($B47="","",COUNTIFS(Data!$S$2:$S$1201,$B47,Data!$AI$2:$AI$1201,1))</f>
        <v/>
      </c>
      <c r="I47" s="45" t="str">
        <f>IF(OR($B47="",$D47=0),"",SUMIFS(Data!$N$2:$N$1201,Data!$S$2:$S$1201,$B47,Data!$AI$2:$AI$1201,1)/60/$D47)</f>
        <v/>
      </c>
      <c r="J47" s="48" t="str">
        <f>IF($B47="","",SUMIFS(Data!$AH$2:$AH$1201,Data!$S$2:$S$1201,$B47))</f>
        <v/>
      </c>
    </row>
    <row r="48" spans="2:10" x14ac:dyDescent="0.25">
      <c r="B48" s="51" t="str">
        <f>IFERROR(SMALL(Rhythm!$Z$8:$Z$207,39),"")</f>
        <v/>
      </c>
      <c r="C48" s="42" t="str">
        <f t="shared" si="2"/>
        <v/>
      </c>
      <c r="D48" s="53" t="str">
        <f>IF($B48="","",SUMIFS(Data!$N$2:$N$1201,Data!$S$2:$S$1201,$B48)/60)</f>
        <v/>
      </c>
      <c r="E48" s="47" t="str">
        <f>IF($B48="","",COUNTIFS(Data!$S$2:$S$1201,$B48,Data!$E$2:$E$1201,"timed"))</f>
        <v/>
      </c>
      <c r="F48" s="56" t="str">
        <f>IF($B48="","",SUMIFS(Data!$AG$2:$AG$1201,Data!$S$2:$S$1201,$B48))</f>
        <v/>
      </c>
      <c r="G48" s="54" t="str">
        <f t="shared" si="3"/>
        <v/>
      </c>
      <c r="H48" s="47" t="str">
        <f>IF($B48="","",COUNTIFS(Data!$S$2:$S$1201,$B48,Data!$AI$2:$AI$1201,1))</f>
        <v/>
      </c>
      <c r="I48" s="45" t="str">
        <f>IF(OR($B48="",$D48=0),"",SUMIFS(Data!$N$2:$N$1201,Data!$S$2:$S$1201,$B48,Data!$AI$2:$AI$1201,1)/60/$D48)</f>
        <v/>
      </c>
      <c r="J48" s="48" t="str">
        <f>IF($B48="","",SUMIFS(Data!$AH$2:$AH$1201,Data!$S$2:$S$1201,$B48))</f>
        <v/>
      </c>
    </row>
    <row r="49" spans="2:10" x14ac:dyDescent="0.25">
      <c r="B49" s="51" t="str">
        <f>IFERROR(SMALL(Rhythm!$Z$8:$Z$207,40),"")</f>
        <v/>
      </c>
      <c r="C49" s="42" t="str">
        <f t="shared" si="2"/>
        <v/>
      </c>
      <c r="D49" s="53" t="str">
        <f>IF($B49="","",SUMIFS(Data!$N$2:$N$1201,Data!$S$2:$S$1201,$B49)/60)</f>
        <v/>
      </c>
      <c r="E49" s="47" t="str">
        <f>IF($B49="","",COUNTIFS(Data!$S$2:$S$1201,$B49,Data!$E$2:$E$1201,"timed"))</f>
        <v/>
      </c>
      <c r="F49" s="56" t="str">
        <f>IF($B49="","",SUMIFS(Data!$AG$2:$AG$1201,Data!$S$2:$S$1201,$B49))</f>
        <v/>
      </c>
      <c r="G49" s="54" t="str">
        <f t="shared" si="3"/>
        <v/>
      </c>
      <c r="H49" s="47" t="str">
        <f>IF($B49="","",COUNTIFS(Data!$S$2:$S$1201,$B49,Data!$AI$2:$AI$1201,1))</f>
        <v/>
      </c>
      <c r="I49" s="45" t="str">
        <f>IF(OR($B49="",$D49=0),"",SUMIFS(Data!$N$2:$N$1201,Data!$S$2:$S$1201,$B49,Data!$AI$2:$AI$1201,1)/60/$D49)</f>
        <v/>
      </c>
      <c r="J49" s="48" t="str">
        <f>IF($B49="","",SUMIFS(Data!$AH$2:$AH$1201,Data!$S$2:$S$1201,$B49))</f>
        <v/>
      </c>
    </row>
    <row r="50" spans="2:10" x14ac:dyDescent="0.25">
      <c r="B50" s="51" t="str">
        <f>IFERROR(SMALL(Rhythm!$Z$8:$Z$207,41),"")</f>
        <v/>
      </c>
      <c r="C50" s="42" t="str">
        <f t="shared" si="2"/>
        <v/>
      </c>
      <c r="D50" s="53" t="str">
        <f>IF($B50="","",SUMIFS(Data!$N$2:$N$1201,Data!$S$2:$S$1201,$B50)/60)</f>
        <v/>
      </c>
      <c r="E50" s="47" t="str">
        <f>IF($B50="","",COUNTIFS(Data!$S$2:$S$1201,$B50,Data!$E$2:$E$1201,"timed"))</f>
        <v/>
      </c>
      <c r="F50" s="56" t="str">
        <f>IF($B50="","",SUMIFS(Data!$AG$2:$AG$1201,Data!$S$2:$S$1201,$B50))</f>
        <v/>
      </c>
      <c r="G50" s="54" t="str">
        <f t="shared" si="3"/>
        <v/>
      </c>
      <c r="H50" s="47" t="str">
        <f>IF($B50="","",COUNTIFS(Data!$S$2:$S$1201,$B50,Data!$AI$2:$AI$1201,1))</f>
        <v/>
      </c>
      <c r="I50" s="45" t="str">
        <f>IF(OR($B50="",$D50=0),"",SUMIFS(Data!$N$2:$N$1201,Data!$S$2:$S$1201,$B50,Data!$AI$2:$AI$1201,1)/60/$D50)</f>
        <v/>
      </c>
      <c r="J50" s="48" t="str">
        <f>IF($B50="","",SUMIFS(Data!$AH$2:$AH$1201,Data!$S$2:$S$1201,$B50))</f>
        <v/>
      </c>
    </row>
    <row r="51" spans="2:10" x14ac:dyDescent="0.25">
      <c r="B51" s="51" t="str">
        <f>IFERROR(SMALL(Rhythm!$Z$8:$Z$207,42),"")</f>
        <v/>
      </c>
      <c r="C51" s="42" t="str">
        <f t="shared" si="2"/>
        <v/>
      </c>
      <c r="D51" s="53" t="str">
        <f>IF($B51="","",SUMIFS(Data!$N$2:$N$1201,Data!$S$2:$S$1201,$B51)/60)</f>
        <v/>
      </c>
      <c r="E51" s="47" t="str">
        <f>IF($B51="","",COUNTIFS(Data!$S$2:$S$1201,$B51,Data!$E$2:$E$1201,"timed"))</f>
        <v/>
      </c>
      <c r="F51" s="56" t="str">
        <f>IF($B51="","",SUMIFS(Data!$AG$2:$AG$1201,Data!$S$2:$S$1201,$B51))</f>
        <v/>
      </c>
      <c r="G51" s="54" t="str">
        <f t="shared" si="3"/>
        <v/>
      </c>
      <c r="H51" s="47" t="str">
        <f>IF($B51="","",COUNTIFS(Data!$S$2:$S$1201,$B51,Data!$AI$2:$AI$1201,1))</f>
        <v/>
      </c>
      <c r="I51" s="45" t="str">
        <f>IF(OR($B51="",$D51=0),"",SUMIFS(Data!$N$2:$N$1201,Data!$S$2:$S$1201,$B51,Data!$AI$2:$AI$1201,1)/60/$D51)</f>
        <v/>
      </c>
      <c r="J51" s="48" t="str">
        <f>IF($B51="","",SUMIFS(Data!$AH$2:$AH$1201,Data!$S$2:$S$1201,$B51))</f>
        <v/>
      </c>
    </row>
    <row r="52" spans="2:10" x14ac:dyDescent="0.25">
      <c r="B52" s="51" t="str">
        <f>IFERROR(SMALL(Rhythm!$Z$8:$Z$207,43),"")</f>
        <v/>
      </c>
      <c r="C52" s="42" t="str">
        <f t="shared" si="2"/>
        <v/>
      </c>
      <c r="D52" s="53" t="str">
        <f>IF($B52="","",SUMIFS(Data!$N$2:$N$1201,Data!$S$2:$S$1201,$B52)/60)</f>
        <v/>
      </c>
      <c r="E52" s="47" t="str">
        <f>IF($B52="","",COUNTIFS(Data!$S$2:$S$1201,$B52,Data!$E$2:$E$1201,"timed"))</f>
        <v/>
      </c>
      <c r="F52" s="56" t="str">
        <f>IF($B52="","",SUMIFS(Data!$AG$2:$AG$1201,Data!$S$2:$S$1201,$B52))</f>
        <v/>
      </c>
      <c r="G52" s="54" t="str">
        <f t="shared" si="3"/>
        <v/>
      </c>
      <c r="H52" s="47" t="str">
        <f>IF($B52="","",COUNTIFS(Data!$S$2:$S$1201,$B52,Data!$AI$2:$AI$1201,1))</f>
        <v/>
      </c>
      <c r="I52" s="45" t="str">
        <f>IF(OR($B52="",$D52=0),"",SUMIFS(Data!$N$2:$N$1201,Data!$S$2:$S$1201,$B52,Data!$AI$2:$AI$1201,1)/60/$D52)</f>
        <v/>
      </c>
      <c r="J52" s="48" t="str">
        <f>IF($B52="","",SUMIFS(Data!$AH$2:$AH$1201,Data!$S$2:$S$1201,$B52))</f>
        <v/>
      </c>
    </row>
    <row r="53" spans="2:10" x14ac:dyDescent="0.25">
      <c r="B53" s="51" t="str">
        <f>IFERROR(SMALL(Rhythm!$Z$8:$Z$207,44),"")</f>
        <v/>
      </c>
      <c r="C53" s="42" t="str">
        <f t="shared" si="2"/>
        <v/>
      </c>
      <c r="D53" s="53" t="str">
        <f>IF($B53="","",SUMIFS(Data!$N$2:$N$1201,Data!$S$2:$S$1201,$B53)/60)</f>
        <v/>
      </c>
      <c r="E53" s="47" t="str">
        <f>IF($B53="","",COUNTIFS(Data!$S$2:$S$1201,$B53,Data!$E$2:$E$1201,"timed"))</f>
        <v/>
      </c>
      <c r="F53" s="56" t="str">
        <f>IF($B53="","",SUMIFS(Data!$AG$2:$AG$1201,Data!$S$2:$S$1201,$B53))</f>
        <v/>
      </c>
      <c r="G53" s="54" t="str">
        <f t="shared" si="3"/>
        <v/>
      </c>
      <c r="H53" s="47" t="str">
        <f>IF($B53="","",COUNTIFS(Data!$S$2:$S$1201,$B53,Data!$AI$2:$AI$1201,1))</f>
        <v/>
      </c>
      <c r="I53" s="45" t="str">
        <f>IF(OR($B53="",$D53=0),"",SUMIFS(Data!$N$2:$N$1201,Data!$S$2:$S$1201,$B53,Data!$AI$2:$AI$1201,1)/60/$D53)</f>
        <v/>
      </c>
      <c r="J53" s="48" t="str">
        <f>IF($B53="","",SUMIFS(Data!$AH$2:$AH$1201,Data!$S$2:$S$1201,$B53))</f>
        <v/>
      </c>
    </row>
    <row r="54" spans="2:10" x14ac:dyDescent="0.25">
      <c r="B54" s="51" t="str">
        <f>IFERROR(SMALL(Rhythm!$Z$8:$Z$207,45),"")</f>
        <v/>
      </c>
      <c r="C54" s="42" t="str">
        <f t="shared" si="2"/>
        <v/>
      </c>
      <c r="D54" s="53" t="str">
        <f>IF($B54="","",SUMIFS(Data!$N$2:$N$1201,Data!$S$2:$S$1201,$B54)/60)</f>
        <v/>
      </c>
      <c r="E54" s="47" t="str">
        <f>IF($B54="","",COUNTIFS(Data!$S$2:$S$1201,$B54,Data!$E$2:$E$1201,"timed"))</f>
        <v/>
      </c>
      <c r="F54" s="56" t="str">
        <f>IF($B54="","",SUMIFS(Data!$AG$2:$AG$1201,Data!$S$2:$S$1201,$B54))</f>
        <v/>
      </c>
      <c r="G54" s="54" t="str">
        <f t="shared" si="3"/>
        <v/>
      </c>
      <c r="H54" s="47" t="str">
        <f>IF($B54="","",COUNTIFS(Data!$S$2:$S$1201,$B54,Data!$AI$2:$AI$1201,1))</f>
        <v/>
      </c>
      <c r="I54" s="45" t="str">
        <f>IF(OR($B54="",$D54=0),"",SUMIFS(Data!$N$2:$N$1201,Data!$S$2:$S$1201,$B54,Data!$AI$2:$AI$1201,1)/60/$D54)</f>
        <v/>
      </c>
      <c r="J54" s="48" t="str">
        <f>IF($B54="","",SUMIFS(Data!$AH$2:$AH$1201,Data!$S$2:$S$1201,$B54))</f>
        <v/>
      </c>
    </row>
    <row r="55" spans="2:10" x14ac:dyDescent="0.25">
      <c r="B55" s="51" t="str">
        <f>IFERROR(SMALL(Rhythm!$Z$8:$Z$207,46),"")</f>
        <v/>
      </c>
      <c r="C55" s="42" t="str">
        <f t="shared" si="2"/>
        <v/>
      </c>
      <c r="D55" s="53" t="str">
        <f>IF($B55="","",SUMIFS(Data!$N$2:$N$1201,Data!$S$2:$S$1201,$B55)/60)</f>
        <v/>
      </c>
      <c r="E55" s="47" t="str">
        <f>IF($B55="","",COUNTIFS(Data!$S$2:$S$1201,$B55,Data!$E$2:$E$1201,"timed"))</f>
        <v/>
      </c>
      <c r="F55" s="56" t="str">
        <f>IF($B55="","",SUMIFS(Data!$AG$2:$AG$1201,Data!$S$2:$S$1201,$B55))</f>
        <v/>
      </c>
      <c r="G55" s="54" t="str">
        <f t="shared" si="3"/>
        <v/>
      </c>
      <c r="H55" s="47" t="str">
        <f>IF($B55="","",COUNTIFS(Data!$S$2:$S$1201,$B55,Data!$AI$2:$AI$1201,1))</f>
        <v/>
      </c>
      <c r="I55" s="45" t="str">
        <f>IF(OR($B55="",$D55=0),"",SUMIFS(Data!$N$2:$N$1201,Data!$S$2:$S$1201,$B55,Data!$AI$2:$AI$1201,1)/60/$D55)</f>
        <v/>
      </c>
      <c r="J55" s="48" t="str">
        <f>IF($B55="","",SUMIFS(Data!$AH$2:$AH$1201,Data!$S$2:$S$1201,$B55))</f>
        <v/>
      </c>
    </row>
    <row r="56" spans="2:10" x14ac:dyDescent="0.25">
      <c r="B56" s="51" t="str">
        <f>IFERROR(SMALL(Rhythm!$Z$8:$Z$207,47),"")</f>
        <v/>
      </c>
      <c r="C56" s="42" t="str">
        <f t="shared" si="2"/>
        <v/>
      </c>
      <c r="D56" s="53" t="str">
        <f>IF($B56="","",SUMIFS(Data!$N$2:$N$1201,Data!$S$2:$S$1201,$B56)/60)</f>
        <v/>
      </c>
      <c r="E56" s="47" t="str">
        <f>IF($B56="","",COUNTIFS(Data!$S$2:$S$1201,$B56,Data!$E$2:$E$1201,"timed"))</f>
        <v/>
      </c>
      <c r="F56" s="56" t="str">
        <f>IF($B56="","",SUMIFS(Data!$AG$2:$AG$1201,Data!$S$2:$S$1201,$B56))</f>
        <v/>
      </c>
      <c r="G56" s="54" t="str">
        <f t="shared" si="3"/>
        <v/>
      </c>
      <c r="H56" s="47" t="str">
        <f>IF($B56="","",COUNTIFS(Data!$S$2:$S$1201,$B56,Data!$AI$2:$AI$1201,1))</f>
        <v/>
      </c>
      <c r="I56" s="45" t="str">
        <f>IF(OR($B56="",$D56=0),"",SUMIFS(Data!$N$2:$N$1201,Data!$S$2:$S$1201,$B56,Data!$AI$2:$AI$1201,1)/60/$D56)</f>
        <v/>
      </c>
      <c r="J56" s="48" t="str">
        <f>IF($B56="","",SUMIFS(Data!$AH$2:$AH$1201,Data!$S$2:$S$1201,$B56))</f>
        <v/>
      </c>
    </row>
    <row r="57" spans="2:10" x14ac:dyDescent="0.25">
      <c r="B57" s="51" t="str">
        <f>IFERROR(SMALL(Rhythm!$Z$8:$Z$207,48),"")</f>
        <v/>
      </c>
      <c r="C57" s="42" t="str">
        <f t="shared" si="2"/>
        <v/>
      </c>
      <c r="D57" s="53" t="str">
        <f>IF($B57="","",SUMIFS(Data!$N$2:$N$1201,Data!$S$2:$S$1201,$B57)/60)</f>
        <v/>
      </c>
      <c r="E57" s="47" t="str">
        <f>IF($B57="","",COUNTIFS(Data!$S$2:$S$1201,$B57,Data!$E$2:$E$1201,"timed"))</f>
        <v/>
      </c>
      <c r="F57" s="56" t="str">
        <f>IF($B57="","",SUMIFS(Data!$AG$2:$AG$1201,Data!$S$2:$S$1201,$B57))</f>
        <v/>
      </c>
      <c r="G57" s="54" t="str">
        <f t="shared" si="3"/>
        <v/>
      </c>
      <c r="H57" s="47" t="str">
        <f>IF($B57="","",COUNTIFS(Data!$S$2:$S$1201,$B57,Data!$AI$2:$AI$1201,1))</f>
        <v/>
      </c>
      <c r="I57" s="45" t="str">
        <f>IF(OR($B57="",$D57=0),"",SUMIFS(Data!$N$2:$N$1201,Data!$S$2:$S$1201,$B57,Data!$AI$2:$AI$1201,1)/60/$D57)</f>
        <v/>
      </c>
      <c r="J57" s="48" t="str">
        <f>IF($B57="","",SUMIFS(Data!$AH$2:$AH$1201,Data!$S$2:$S$1201,$B57))</f>
        <v/>
      </c>
    </row>
    <row r="58" spans="2:10" x14ac:dyDescent="0.25">
      <c r="B58" s="51" t="str">
        <f>IFERROR(SMALL(Rhythm!$Z$8:$Z$207,49),"")</f>
        <v/>
      </c>
      <c r="C58" s="42" t="str">
        <f t="shared" si="2"/>
        <v/>
      </c>
      <c r="D58" s="53" t="str">
        <f>IF($B58="","",SUMIFS(Data!$N$2:$N$1201,Data!$S$2:$S$1201,$B58)/60)</f>
        <v/>
      </c>
      <c r="E58" s="47" t="str">
        <f>IF($B58="","",COUNTIFS(Data!$S$2:$S$1201,$B58,Data!$E$2:$E$1201,"timed"))</f>
        <v/>
      </c>
      <c r="F58" s="56" t="str">
        <f>IF($B58="","",SUMIFS(Data!$AG$2:$AG$1201,Data!$S$2:$S$1201,$B58))</f>
        <v/>
      </c>
      <c r="G58" s="54" t="str">
        <f t="shared" si="3"/>
        <v/>
      </c>
      <c r="H58" s="47" t="str">
        <f>IF($B58="","",COUNTIFS(Data!$S$2:$S$1201,$B58,Data!$AI$2:$AI$1201,1))</f>
        <v/>
      </c>
      <c r="I58" s="45" t="str">
        <f>IF(OR($B58="",$D58=0),"",SUMIFS(Data!$N$2:$N$1201,Data!$S$2:$S$1201,$B58,Data!$AI$2:$AI$1201,1)/60/$D58)</f>
        <v/>
      </c>
      <c r="J58" s="48" t="str">
        <f>IF($B58="","",SUMIFS(Data!$AH$2:$AH$1201,Data!$S$2:$S$1201,$B58))</f>
        <v/>
      </c>
    </row>
    <row r="59" spans="2:10" x14ac:dyDescent="0.25">
      <c r="B59" s="51" t="str">
        <f>IFERROR(SMALL(Rhythm!$Z$8:$Z$207,50),"")</f>
        <v/>
      </c>
      <c r="C59" s="42" t="str">
        <f t="shared" si="2"/>
        <v/>
      </c>
      <c r="D59" s="53" t="str">
        <f>IF($B59="","",SUMIFS(Data!$N$2:$N$1201,Data!$S$2:$S$1201,$B59)/60)</f>
        <v/>
      </c>
      <c r="E59" s="47" t="str">
        <f>IF($B59="","",COUNTIFS(Data!$S$2:$S$1201,$B59,Data!$E$2:$E$1201,"timed"))</f>
        <v/>
      </c>
      <c r="F59" s="56" t="str">
        <f>IF($B59="","",SUMIFS(Data!$AG$2:$AG$1201,Data!$S$2:$S$1201,$B59))</f>
        <v/>
      </c>
      <c r="G59" s="54" t="str">
        <f t="shared" si="3"/>
        <v/>
      </c>
      <c r="H59" s="47" t="str">
        <f>IF($B59="","",COUNTIFS(Data!$S$2:$S$1201,$B59,Data!$AI$2:$AI$1201,1))</f>
        <v/>
      </c>
      <c r="I59" s="45" t="str">
        <f>IF(OR($B59="",$D59=0),"",SUMIFS(Data!$N$2:$N$1201,Data!$S$2:$S$1201,$B59,Data!$AI$2:$AI$1201,1)/60/$D59)</f>
        <v/>
      </c>
      <c r="J59" s="48" t="str">
        <f>IF($B59="","",SUMIFS(Data!$AH$2:$AH$1201,Data!$S$2:$S$1201,$B59))</f>
        <v/>
      </c>
    </row>
    <row r="60" spans="2:10" x14ac:dyDescent="0.25">
      <c r="B60" s="51" t="str">
        <f>IFERROR(SMALL(Rhythm!$Z$8:$Z$207,51),"")</f>
        <v/>
      </c>
      <c r="C60" s="42" t="str">
        <f t="shared" si="2"/>
        <v/>
      </c>
      <c r="D60" s="53" t="str">
        <f>IF($B60="","",SUMIFS(Data!$N$2:$N$1201,Data!$S$2:$S$1201,$B60)/60)</f>
        <v/>
      </c>
      <c r="E60" s="47" t="str">
        <f>IF($B60="","",COUNTIFS(Data!$S$2:$S$1201,$B60,Data!$E$2:$E$1201,"timed"))</f>
        <v/>
      </c>
      <c r="F60" s="56" t="str">
        <f>IF($B60="","",SUMIFS(Data!$AG$2:$AG$1201,Data!$S$2:$S$1201,$B60))</f>
        <v/>
      </c>
      <c r="G60" s="54" t="str">
        <f t="shared" si="3"/>
        <v/>
      </c>
      <c r="H60" s="47" t="str">
        <f>IF($B60="","",COUNTIFS(Data!$S$2:$S$1201,$B60,Data!$AI$2:$AI$1201,1))</f>
        <v/>
      </c>
      <c r="I60" s="45" t="str">
        <f>IF(OR($B60="",$D60=0),"",SUMIFS(Data!$N$2:$N$1201,Data!$S$2:$S$1201,$B60,Data!$AI$2:$AI$1201,1)/60/$D60)</f>
        <v/>
      </c>
      <c r="J60" s="48" t="str">
        <f>IF($B60="","",SUMIFS(Data!$AH$2:$AH$1201,Data!$S$2:$S$1201,$B60))</f>
        <v/>
      </c>
    </row>
    <row r="61" spans="2:10" x14ac:dyDescent="0.25">
      <c r="B61" s="51" t="str">
        <f>IFERROR(SMALL(Rhythm!$Z$8:$Z$207,52),"")</f>
        <v/>
      </c>
      <c r="C61" s="42" t="str">
        <f t="shared" si="2"/>
        <v/>
      </c>
      <c r="D61" s="53" t="str">
        <f>IF($B61="","",SUMIFS(Data!$N$2:$N$1201,Data!$S$2:$S$1201,$B61)/60)</f>
        <v/>
      </c>
      <c r="E61" s="47" t="str">
        <f>IF($B61="","",COUNTIFS(Data!$S$2:$S$1201,$B61,Data!$E$2:$E$1201,"timed"))</f>
        <v/>
      </c>
      <c r="F61" s="56" t="str">
        <f>IF($B61="","",SUMIFS(Data!$AG$2:$AG$1201,Data!$S$2:$S$1201,$B61))</f>
        <v/>
      </c>
      <c r="G61" s="54" t="str">
        <f t="shared" si="3"/>
        <v/>
      </c>
      <c r="H61" s="47" t="str">
        <f>IF($B61="","",COUNTIFS(Data!$S$2:$S$1201,$B61,Data!$AI$2:$AI$1201,1))</f>
        <v/>
      </c>
      <c r="I61" s="45" t="str">
        <f>IF(OR($B61="",$D61=0),"",SUMIFS(Data!$N$2:$N$1201,Data!$S$2:$S$1201,$B61,Data!$AI$2:$AI$1201,1)/60/$D61)</f>
        <v/>
      </c>
      <c r="J61" s="48" t="str">
        <f>IF($B61="","",SUMIFS(Data!$AH$2:$AH$1201,Data!$S$2:$S$1201,$B61))</f>
        <v/>
      </c>
    </row>
    <row r="62" spans="2:10" x14ac:dyDescent="0.25">
      <c r="B62" s="51" t="str">
        <f>IFERROR(SMALL(Rhythm!$Z$8:$Z$207,53),"")</f>
        <v/>
      </c>
      <c r="C62" s="42" t="str">
        <f t="shared" si="2"/>
        <v/>
      </c>
      <c r="D62" s="53" t="str">
        <f>IF($B62="","",SUMIFS(Data!$N$2:$N$1201,Data!$S$2:$S$1201,$B62)/60)</f>
        <v/>
      </c>
      <c r="E62" s="47" t="str">
        <f>IF($B62="","",COUNTIFS(Data!$S$2:$S$1201,$B62,Data!$E$2:$E$1201,"timed"))</f>
        <v/>
      </c>
      <c r="F62" s="56" t="str">
        <f>IF($B62="","",SUMIFS(Data!$AG$2:$AG$1201,Data!$S$2:$S$1201,$B62))</f>
        <v/>
      </c>
      <c r="G62" s="54" t="str">
        <f t="shared" si="3"/>
        <v/>
      </c>
      <c r="H62" s="47" t="str">
        <f>IF($B62="","",COUNTIFS(Data!$S$2:$S$1201,$B62,Data!$AI$2:$AI$1201,1))</f>
        <v/>
      </c>
      <c r="I62" s="45" t="str">
        <f>IF(OR($B62="",$D62=0),"",SUMIFS(Data!$N$2:$N$1201,Data!$S$2:$S$1201,$B62,Data!$AI$2:$AI$1201,1)/60/$D62)</f>
        <v/>
      </c>
      <c r="J62" s="48" t="str">
        <f>IF($B62="","",SUMIFS(Data!$AH$2:$AH$1201,Data!$S$2:$S$1201,$B62))</f>
        <v/>
      </c>
    </row>
    <row r="63" spans="2:10" x14ac:dyDescent="0.25">
      <c r="B63" s="51" t="str">
        <f>IFERROR(SMALL(Rhythm!$Z$8:$Z$207,54),"")</f>
        <v/>
      </c>
      <c r="C63" s="42" t="str">
        <f t="shared" si="2"/>
        <v/>
      </c>
      <c r="D63" s="53" t="str">
        <f>IF($B63="","",SUMIFS(Data!$N$2:$N$1201,Data!$S$2:$S$1201,$B63)/60)</f>
        <v/>
      </c>
      <c r="E63" s="47" t="str">
        <f>IF($B63="","",COUNTIFS(Data!$S$2:$S$1201,$B63,Data!$E$2:$E$1201,"timed"))</f>
        <v/>
      </c>
      <c r="F63" s="56" t="str">
        <f>IF($B63="","",SUMIFS(Data!$AG$2:$AG$1201,Data!$S$2:$S$1201,$B63))</f>
        <v/>
      </c>
      <c r="G63" s="54" t="str">
        <f t="shared" si="3"/>
        <v/>
      </c>
      <c r="H63" s="47" t="str">
        <f>IF($B63="","",COUNTIFS(Data!$S$2:$S$1201,$B63,Data!$AI$2:$AI$1201,1))</f>
        <v/>
      </c>
      <c r="I63" s="45" t="str">
        <f>IF(OR($B63="",$D63=0),"",SUMIFS(Data!$N$2:$N$1201,Data!$S$2:$S$1201,$B63,Data!$AI$2:$AI$1201,1)/60/$D63)</f>
        <v/>
      </c>
      <c r="J63" s="48" t="str">
        <f>IF($B63="","",SUMIFS(Data!$AH$2:$AH$1201,Data!$S$2:$S$1201,$B63))</f>
        <v/>
      </c>
    </row>
    <row r="64" spans="2:10" x14ac:dyDescent="0.25">
      <c r="B64" s="51" t="str">
        <f>IFERROR(SMALL(Rhythm!$Z$8:$Z$207,55),"")</f>
        <v/>
      </c>
      <c r="C64" s="42" t="str">
        <f t="shared" si="2"/>
        <v/>
      </c>
      <c r="D64" s="53" t="str">
        <f>IF($B64="","",SUMIFS(Data!$N$2:$N$1201,Data!$S$2:$S$1201,$B64)/60)</f>
        <v/>
      </c>
      <c r="E64" s="47" t="str">
        <f>IF($B64="","",COUNTIFS(Data!$S$2:$S$1201,$B64,Data!$E$2:$E$1201,"timed"))</f>
        <v/>
      </c>
      <c r="F64" s="56" t="str">
        <f>IF($B64="","",SUMIFS(Data!$AG$2:$AG$1201,Data!$S$2:$S$1201,$B64))</f>
        <v/>
      </c>
      <c r="G64" s="54" t="str">
        <f t="shared" si="3"/>
        <v/>
      </c>
      <c r="H64" s="47" t="str">
        <f>IF($B64="","",COUNTIFS(Data!$S$2:$S$1201,$B64,Data!$AI$2:$AI$1201,1))</f>
        <v/>
      </c>
      <c r="I64" s="45" t="str">
        <f>IF(OR($B64="",$D64=0),"",SUMIFS(Data!$N$2:$N$1201,Data!$S$2:$S$1201,$B64,Data!$AI$2:$AI$1201,1)/60/$D64)</f>
        <v/>
      </c>
      <c r="J64" s="48" t="str">
        <f>IF($B64="","",SUMIFS(Data!$AH$2:$AH$1201,Data!$S$2:$S$1201,$B64))</f>
        <v/>
      </c>
    </row>
    <row r="65" spans="2:10" x14ac:dyDescent="0.25">
      <c r="B65" s="51" t="str">
        <f>IFERROR(SMALL(Rhythm!$Z$8:$Z$207,56),"")</f>
        <v/>
      </c>
      <c r="C65" s="42" t="str">
        <f t="shared" si="2"/>
        <v/>
      </c>
      <c r="D65" s="53" t="str">
        <f>IF($B65="","",SUMIFS(Data!$N$2:$N$1201,Data!$S$2:$S$1201,$B65)/60)</f>
        <v/>
      </c>
      <c r="E65" s="47" t="str">
        <f>IF($B65="","",COUNTIFS(Data!$S$2:$S$1201,$B65,Data!$E$2:$E$1201,"timed"))</f>
        <v/>
      </c>
      <c r="F65" s="56" t="str">
        <f>IF($B65="","",SUMIFS(Data!$AG$2:$AG$1201,Data!$S$2:$S$1201,$B65))</f>
        <v/>
      </c>
      <c r="G65" s="54" t="str">
        <f t="shared" si="3"/>
        <v/>
      </c>
      <c r="H65" s="47" t="str">
        <f>IF($B65="","",COUNTIFS(Data!$S$2:$S$1201,$B65,Data!$AI$2:$AI$1201,1))</f>
        <v/>
      </c>
      <c r="I65" s="45" t="str">
        <f>IF(OR($B65="",$D65=0),"",SUMIFS(Data!$N$2:$N$1201,Data!$S$2:$S$1201,$B65,Data!$AI$2:$AI$1201,1)/60/$D65)</f>
        <v/>
      </c>
      <c r="J65" s="48" t="str">
        <f>IF($B65="","",SUMIFS(Data!$AH$2:$AH$1201,Data!$S$2:$S$1201,$B65))</f>
        <v/>
      </c>
    </row>
    <row r="66" spans="2:10" x14ac:dyDescent="0.25">
      <c r="B66" s="51" t="str">
        <f>IFERROR(SMALL(Rhythm!$Z$8:$Z$207,57),"")</f>
        <v/>
      </c>
      <c r="C66" s="42" t="str">
        <f t="shared" si="2"/>
        <v/>
      </c>
      <c r="D66" s="53" t="str">
        <f>IF($B66="","",SUMIFS(Data!$N$2:$N$1201,Data!$S$2:$S$1201,$B66)/60)</f>
        <v/>
      </c>
      <c r="E66" s="47" t="str">
        <f>IF($B66="","",COUNTIFS(Data!$S$2:$S$1201,$B66,Data!$E$2:$E$1201,"timed"))</f>
        <v/>
      </c>
      <c r="F66" s="56" t="str">
        <f>IF($B66="","",SUMIFS(Data!$AG$2:$AG$1201,Data!$S$2:$S$1201,$B66))</f>
        <v/>
      </c>
      <c r="G66" s="54" t="str">
        <f t="shared" si="3"/>
        <v/>
      </c>
      <c r="H66" s="47" t="str">
        <f>IF($B66="","",COUNTIFS(Data!$S$2:$S$1201,$B66,Data!$AI$2:$AI$1201,1))</f>
        <v/>
      </c>
      <c r="I66" s="45" t="str">
        <f>IF(OR($B66="",$D66=0),"",SUMIFS(Data!$N$2:$N$1201,Data!$S$2:$S$1201,$B66,Data!$AI$2:$AI$1201,1)/60/$D66)</f>
        <v/>
      </c>
      <c r="J66" s="48" t="str">
        <f>IF($B66="","",SUMIFS(Data!$AH$2:$AH$1201,Data!$S$2:$S$1201,$B66))</f>
        <v/>
      </c>
    </row>
    <row r="67" spans="2:10" x14ac:dyDescent="0.25">
      <c r="B67" s="51" t="str">
        <f>IFERROR(SMALL(Rhythm!$Z$8:$Z$207,58),"")</f>
        <v/>
      </c>
      <c r="C67" s="42" t="str">
        <f t="shared" si="2"/>
        <v/>
      </c>
      <c r="D67" s="53" t="str">
        <f>IF($B67="","",SUMIFS(Data!$N$2:$N$1201,Data!$S$2:$S$1201,$B67)/60)</f>
        <v/>
      </c>
      <c r="E67" s="47" t="str">
        <f>IF($B67="","",COUNTIFS(Data!$S$2:$S$1201,$B67,Data!$E$2:$E$1201,"timed"))</f>
        <v/>
      </c>
      <c r="F67" s="56" t="str">
        <f>IF($B67="","",SUMIFS(Data!$AG$2:$AG$1201,Data!$S$2:$S$1201,$B67))</f>
        <v/>
      </c>
      <c r="G67" s="54" t="str">
        <f t="shared" si="3"/>
        <v/>
      </c>
      <c r="H67" s="47" t="str">
        <f>IF($B67="","",COUNTIFS(Data!$S$2:$S$1201,$B67,Data!$AI$2:$AI$1201,1))</f>
        <v/>
      </c>
      <c r="I67" s="45" t="str">
        <f>IF(OR($B67="",$D67=0),"",SUMIFS(Data!$N$2:$N$1201,Data!$S$2:$S$1201,$B67,Data!$AI$2:$AI$1201,1)/60/$D67)</f>
        <v/>
      </c>
      <c r="J67" s="48" t="str">
        <f>IF($B67="","",SUMIFS(Data!$AH$2:$AH$1201,Data!$S$2:$S$1201,$B67))</f>
        <v/>
      </c>
    </row>
    <row r="68" spans="2:10" x14ac:dyDescent="0.25">
      <c r="B68" s="51" t="str">
        <f>IFERROR(SMALL(Rhythm!$Z$8:$Z$207,59),"")</f>
        <v/>
      </c>
      <c r="C68" s="42" t="str">
        <f t="shared" si="2"/>
        <v/>
      </c>
      <c r="D68" s="53" t="str">
        <f>IF($B68="","",SUMIFS(Data!$N$2:$N$1201,Data!$S$2:$S$1201,$B68)/60)</f>
        <v/>
      </c>
      <c r="E68" s="47" t="str">
        <f>IF($B68="","",COUNTIFS(Data!$S$2:$S$1201,$B68,Data!$E$2:$E$1201,"timed"))</f>
        <v/>
      </c>
      <c r="F68" s="56" t="str">
        <f>IF($B68="","",SUMIFS(Data!$AG$2:$AG$1201,Data!$S$2:$S$1201,$B68))</f>
        <v/>
      </c>
      <c r="G68" s="54" t="str">
        <f t="shared" si="3"/>
        <v/>
      </c>
      <c r="H68" s="47" t="str">
        <f>IF($B68="","",COUNTIFS(Data!$S$2:$S$1201,$B68,Data!$AI$2:$AI$1201,1))</f>
        <v/>
      </c>
      <c r="I68" s="45" t="str">
        <f>IF(OR($B68="",$D68=0),"",SUMIFS(Data!$N$2:$N$1201,Data!$S$2:$S$1201,$B68,Data!$AI$2:$AI$1201,1)/60/$D68)</f>
        <v/>
      </c>
      <c r="J68" s="48" t="str">
        <f>IF($B68="","",SUMIFS(Data!$AH$2:$AH$1201,Data!$S$2:$S$1201,$B68))</f>
        <v/>
      </c>
    </row>
    <row r="69" spans="2:10" x14ac:dyDescent="0.25">
      <c r="B69" s="51" t="str">
        <f>IFERROR(SMALL(Rhythm!$Z$8:$Z$207,60),"")</f>
        <v/>
      </c>
      <c r="C69" s="42" t="str">
        <f t="shared" si="2"/>
        <v/>
      </c>
      <c r="D69" s="53" t="str">
        <f>IF($B69="","",SUMIFS(Data!$N$2:$N$1201,Data!$S$2:$S$1201,$B69)/60)</f>
        <v/>
      </c>
      <c r="E69" s="47" t="str">
        <f>IF($B69="","",COUNTIFS(Data!$S$2:$S$1201,$B69,Data!$E$2:$E$1201,"timed"))</f>
        <v/>
      </c>
      <c r="F69" s="56" t="str">
        <f>IF($B69="","",SUMIFS(Data!$AG$2:$AG$1201,Data!$S$2:$S$1201,$B69))</f>
        <v/>
      </c>
      <c r="G69" s="54" t="str">
        <f t="shared" si="3"/>
        <v/>
      </c>
      <c r="H69" s="47" t="str">
        <f>IF($B69="","",COUNTIFS(Data!$S$2:$S$1201,$B69,Data!$AI$2:$AI$1201,1))</f>
        <v/>
      </c>
      <c r="I69" s="45" t="str">
        <f>IF(OR($B69="",$D69=0),"",SUMIFS(Data!$N$2:$N$1201,Data!$S$2:$S$1201,$B69,Data!$AI$2:$AI$1201,1)/60/$D69)</f>
        <v/>
      </c>
      <c r="J69" s="48" t="str">
        <f>IF($B69="","",SUMIFS(Data!$AH$2:$AH$1201,Data!$S$2:$S$1201,$B69))</f>
        <v/>
      </c>
    </row>
    <row r="70" spans="2:10" x14ac:dyDescent="0.25">
      <c r="B70" s="51" t="str">
        <f>IFERROR(SMALL(Rhythm!$Z$8:$Z$207,61),"")</f>
        <v/>
      </c>
      <c r="C70" s="42" t="str">
        <f t="shared" si="2"/>
        <v/>
      </c>
      <c r="D70" s="53" t="str">
        <f>IF($B70="","",SUMIFS(Data!$N$2:$N$1201,Data!$S$2:$S$1201,$B70)/60)</f>
        <v/>
      </c>
      <c r="E70" s="47" t="str">
        <f>IF($B70="","",COUNTIFS(Data!$S$2:$S$1201,$B70,Data!$E$2:$E$1201,"timed"))</f>
        <v/>
      </c>
      <c r="F70" s="56" t="str">
        <f>IF($B70="","",SUMIFS(Data!$AG$2:$AG$1201,Data!$S$2:$S$1201,$B70))</f>
        <v/>
      </c>
      <c r="G70" s="54" t="str">
        <f t="shared" si="3"/>
        <v/>
      </c>
      <c r="H70" s="47" t="str">
        <f>IF($B70="","",COUNTIFS(Data!$S$2:$S$1201,$B70,Data!$AI$2:$AI$1201,1))</f>
        <v/>
      </c>
      <c r="I70" s="45" t="str">
        <f>IF(OR($B70="",$D70=0),"",SUMIFS(Data!$N$2:$N$1201,Data!$S$2:$S$1201,$B70,Data!$AI$2:$AI$1201,1)/60/$D70)</f>
        <v/>
      </c>
      <c r="J70" s="48" t="str">
        <f>IF($B70="","",SUMIFS(Data!$AH$2:$AH$1201,Data!$S$2:$S$1201,$B70))</f>
        <v/>
      </c>
    </row>
    <row r="71" spans="2:10" x14ac:dyDescent="0.25">
      <c r="B71" s="51" t="str">
        <f>IFERROR(SMALL(Rhythm!$Z$8:$Z$207,62),"")</f>
        <v/>
      </c>
      <c r="C71" s="42" t="str">
        <f t="shared" si="2"/>
        <v/>
      </c>
      <c r="D71" s="53" t="str">
        <f>IF($B71="","",SUMIFS(Data!$N$2:$N$1201,Data!$S$2:$S$1201,$B71)/60)</f>
        <v/>
      </c>
      <c r="E71" s="47" t="str">
        <f>IF($B71="","",COUNTIFS(Data!$S$2:$S$1201,$B71,Data!$E$2:$E$1201,"timed"))</f>
        <v/>
      </c>
      <c r="F71" s="56" t="str">
        <f>IF($B71="","",SUMIFS(Data!$AG$2:$AG$1201,Data!$S$2:$S$1201,$B71))</f>
        <v/>
      </c>
      <c r="G71" s="54" t="str">
        <f t="shared" si="3"/>
        <v/>
      </c>
      <c r="H71" s="47" t="str">
        <f>IF($B71="","",COUNTIFS(Data!$S$2:$S$1201,$B71,Data!$AI$2:$AI$1201,1))</f>
        <v/>
      </c>
      <c r="I71" s="45" t="str">
        <f>IF(OR($B71="",$D71=0),"",SUMIFS(Data!$N$2:$N$1201,Data!$S$2:$S$1201,$B71,Data!$AI$2:$AI$1201,1)/60/$D71)</f>
        <v/>
      </c>
      <c r="J71" s="48" t="str">
        <f>IF($B71="","",SUMIFS(Data!$AH$2:$AH$1201,Data!$S$2:$S$1201,$B71))</f>
        <v/>
      </c>
    </row>
    <row r="72" spans="2:10" x14ac:dyDescent="0.25">
      <c r="B72" s="51" t="str">
        <f>IFERROR(SMALL(Rhythm!$Z$8:$Z$207,63),"")</f>
        <v/>
      </c>
      <c r="C72" s="42" t="str">
        <f t="shared" si="2"/>
        <v/>
      </c>
      <c r="D72" s="53" t="str">
        <f>IF($B72="","",SUMIFS(Data!$N$2:$N$1201,Data!$S$2:$S$1201,$B72)/60)</f>
        <v/>
      </c>
      <c r="E72" s="47" t="str">
        <f>IF($B72="","",COUNTIFS(Data!$S$2:$S$1201,$B72,Data!$E$2:$E$1201,"timed"))</f>
        <v/>
      </c>
      <c r="F72" s="56" t="str">
        <f>IF($B72="","",SUMIFS(Data!$AG$2:$AG$1201,Data!$S$2:$S$1201,$B72))</f>
        <v/>
      </c>
      <c r="G72" s="54" t="str">
        <f t="shared" si="3"/>
        <v/>
      </c>
      <c r="H72" s="47" t="str">
        <f>IF($B72="","",COUNTIFS(Data!$S$2:$S$1201,$B72,Data!$AI$2:$AI$1201,1))</f>
        <v/>
      </c>
      <c r="I72" s="45" t="str">
        <f>IF(OR($B72="",$D72=0),"",SUMIFS(Data!$N$2:$N$1201,Data!$S$2:$S$1201,$B72,Data!$AI$2:$AI$1201,1)/60/$D72)</f>
        <v/>
      </c>
      <c r="J72" s="48" t="str">
        <f>IF($B72="","",SUMIFS(Data!$AH$2:$AH$1201,Data!$S$2:$S$1201,$B72))</f>
        <v/>
      </c>
    </row>
    <row r="73" spans="2:10" x14ac:dyDescent="0.25">
      <c r="B73" s="51" t="str">
        <f>IFERROR(SMALL(Rhythm!$Z$8:$Z$207,64),"")</f>
        <v/>
      </c>
      <c r="C73" s="42" t="str">
        <f t="shared" si="2"/>
        <v/>
      </c>
      <c r="D73" s="53" t="str">
        <f>IF($B73="","",SUMIFS(Data!$N$2:$N$1201,Data!$S$2:$S$1201,$B73)/60)</f>
        <v/>
      </c>
      <c r="E73" s="47" t="str">
        <f>IF($B73="","",COUNTIFS(Data!$S$2:$S$1201,$B73,Data!$E$2:$E$1201,"timed"))</f>
        <v/>
      </c>
      <c r="F73" s="56" t="str">
        <f>IF($B73="","",SUMIFS(Data!$AG$2:$AG$1201,Data!$S$2:$S$1201,$B73))</f>
        <v/>
      </c>
      <c r="G73" s="54" t="str">
        <f t="shared" si="3"/>
        <v/>
      </c>
      <c r="H73" s="47" t="str">
        <f>IF($B73="","",COUNTIFS(Data!$S$2:$S$1201,$B73,Data!$AI$2:$AI$1201,1))</f>
        <v/>
      </c>
      <c r="I73" s="45" t="str">
        <f>IF(OR($B73="",$D73=0),"",SUMIFS(Data!$N$2:$N$1201,Data!$S$2:$S$1201,$B73,Data!$AI$2:$AI$1201,1)/60/$D73)</f>
        <v/>
      </c>
      <c r="J73" s="48" t="str">
        <f>IF($B73="","",SUMIFS(Data!$AH$2:$AH$1201,Data!$S$2:$S$1201,$B73))</f>
        <v/>
      </c>
    </row>
    <row r="74" spans="2:10" x14ac:dyDescent="0.25">
      <c r="B74" s="51" t="str">
        <f>IFERROR(SMALL(Rhythm!$Z$8:$Z$207,65),"")</f>
        <v/>
      </c>
      <c r="C74" s="42" t="str">
        <f t="shared" ref="C74:C105" si="4">IF($B74="","",TEXT($B74,"ddd"))</f>
        <v/>
      </c>
      <c r="D74" s="53" t="str">
        <f>IF($B74="","",SUMIFS(Data!$N$2:$N$1201,Data!$S$2:$S$1201,$B74)/60)</f>
        <v/>
      </c>
      <c r="E74" s="47" t="str">
        <f>IF($B74="","",COUNTIFS(Data!$S$2:$S$1201,$B74,Data!$E$2:$E$1201,"timed"))</f>
        <v/>
      </c>
      <c r="F74" s="56" t="str">
        <f>IF($B74="","",SUMIFS(Data!$AG$2:$AG$1201,Data!$S$2:$S$1201,$B74))</f>
        <v/>
      </c>
      <c r="G74" s="54" t="str">
        <f t="shared" ref="G74:G105" si="5">IF(OR($B74="",$D74=0),"",$F74/$D74)</f>
        <v/>
      </c>
      <c r="H74" s="47" t="str">
        <f>IF($B74="","",COUNTIFS(Data!$S$2:$S$1201,$B74,Data!$AI$2:$AI$1201,1))</f>
        <v/>
      </c>
      <c r="I74" s="45" t="str">
        <f>IF(OR($B74="",$D74=0),"",SUMIFS(Data!$N$2:$N$1201,Data!$S$2:$S$1201,$B74,Data!$AI$2:$AI$1201,1)/60/$D74)</f>
        <v/>
      </c>
      <c r="J74" s="48" t="str">
        <f>IF($B74="","",SUMIFS(Data!$AH$2:$AH$1201,Data!$S$2:$S$1201,$B74))</f>
        <v/>
      </c>
    </row>
    <row r="75" spans="2:10" x14ac:dyDescent="0.25">
      <c r="B75" s="51" t="str">
        <f>IFERROR(SMALL(Rhythm!$Z$8:$Z$207,66),"")</f>
        <v/>
      </c>
      <c r="C75" s="42" t="str">
        <f t="shared" si="4"/>
        <v/>
      </c>
      <c r="D75" s="53" t="str">
        <f>IF($B75="","",SUMIFS(Data!$N$2:$N$1201,Data!$S$2:$S$1201,$B75)/60)</f>
        <v/>
      </c>
      <c r="E75" s="47" t="str">
        <f>IF($B75="","",COUNTIFS(Data!$S$2:$S$1201,$B75,Data!$E$2:$E$1201,"timed"))</f>
        <v/>
      </c>
      <c r="F75" s="56" t="str">
        <f>IF($B75="","",SUMIFS(Data!$AG$2:$AG$1201,Data!$S$2:$S$1201,$B75))</f>
        <v/>
      </c>
      <c r="G75" s="54" t="str">
        <f t="shared" si="5"/>
        <v/>
      </c>
      <c r="H75" s="47" t="str">
        <f>IF($B75="","",COUNTIFS(Data!$S$2:$S$1201,$B75,Data!$AI$2:$AI$1201,1))</f>
        <v/>
      </c>
      <c r="I75" s="45" t="str">
        <f>IF(OR($B75="",$D75=0),"",SUMIFS(Data!$N$2:$N$1201,Data!$S$2:$S$1201,$B75,Data!$AI$2:$AI$1201,1)/60/$D75)</f>
        <v/>
      </c>
      <c r="J75" s="48" t="str">
        <f>IF($B75="","",SUMIFS(Data!$AH$2:$AH$1201,Data!$S$2:$S$1201,$B75))</f>
        <v/>
      </c>
    </row>
    <row r="76" spans="2:10" x14ac:dyDescent="0.25">
      <c r="B76" s="51" t="str">
        <f>IFERROR(SMALL(Rhythm!$Z$8:$Z$207,67),"")</f>
        <v/>
      </c>
      <c r="C76" s="42" t="str">
        <f t="shared" si="4"/>
        <v/>
      </c>
      <c r="D76" s="53" t="str">
        <f>IF($B76="","",SUMIFS(Data!$N$2:$N$1201,Data!$S$2:$S$1201,$B76)/60)</f>
        <v/>
      </c>
      <c r="E76" s="47" t="str">
        <f>IF($B76="","",COUNTIFS(Data!$S$2:$S$1201,$B76,Data!$E$2:$E$1201,"timed"))</f>
        <v/>
      </c>
      <c r="F76" s="56" t="str">
        <f>IF($B76="","",SUMIFS(Data!$AG$2:$AG$1201,Data!$S$2:$S$1201,$B76))</f>
        <v/>
      </c>
      <c r="G76" s="54" t="str">
        <f t="shared" si="5"/>
        <v/>
      </c>
      <c r="H76" s="47" t="str">
        <f>IF($B76="","",COUNTIFS(Data!$S$2:$S$1201,$B76,Data!$AI$2:$AI$1201,1))</f>
        <v/>
      </c>
      <c r="I76" s="45" t="str">
        <f>IF(OR($B76="",$D76=0),"",SUMIFS(Data!$N$2:$N$1201,Data!$S$2:$S$1201,$B76,Data!$AI$2:$AI$1201,1)/60/$D76)</f>
        <v/>
      </c>
      <c r="J76" s="48" t="str">
        <f>IF($B76="","",SUMIFS(Data!$AH$2:$AH$1201,Data!$S$2:$S$1201,$B76))</f>
        <v/>
      </c>
    </row>
    <row r="77" spans="2:10" x14ac:dyDescent="0.25">
      <c r="B77" s="51" t="str">
        <f>IFERROR(SMALL(Rhythm!$Z$8:$Z$207,68),"")</f>
        <v/>
      </c>
      <c r="C77" s="42" t="str">
        <f t="shared" si="4"/>
        <v/>
      </c>
      <c r="D77" s="53" t="str">
        <f>IF($B77="","",SUMIFS(Data!$N$2:$N$1201,Data!$S$2:$S$1201,$B77)/60)</f>
        <v/>
      </c>
      <c r="E77" s="47" t="str">
        <f>IF($B77="","",COUNTIFS(Data!$S$2:$S$1201,$B77,Data!$E$2:$E$1201,"timed"))</f>
        <v/>
      </c>
      <c r="F77" s="56" t="str">
        <f>IF($B77="","",SUMIFS(Data!$AG$2:$AG$1201,Data!$S$2:$S$1201,$B77))</f>
        <v/>
      </c>
      <c r="G77" s="54" t="str">
        <f t="shared" si="5"/>
        <v/>
      </c>
      <c r="H77" s="47" t="str">
        <f>IF($B77="","",COUNTIFS(Data!$S$2:$S$1201,$B77,Data!$AI$2:$AI$1201,1))</f>
        <v/>
      </c>
      <c r="I77" s="45" t="str">
        <f>IF(OR($B77="",$D77=0),"",SUMIFS(Data!$N$2:$N$1201,Data!$S$2:$S$1201,$B77,Data!$AI$2:$AI$1201,1)/60/$D77)</f>
        <v/>
      </c>
      <c r="J77" s="48" t="str">
        <f>IF($B77="","",SUMIFS(Data!$AH$2:$AH$1201,Data!$S$2:$S$1201,$B77))</f>
        <v/>
      </c>
    </row>
    <row r="78" spans="2:10" x14ac:dyDescent="0.25">
      <c r="B78" s="51" t="str">
        <f>IFERROR(SMALL(Rhythm!$Z$8:$Z$207,69),"")</f>
        <v/>
      </c>
      <c r="C78" s="42" t="str">
        <f t="shared" si="4"/>
        <v/>
      </c>
      <c r="D78" s="53" t="str">
        <f>IF($B78="","",SUMIFS(Data!$N$2:$N$1201,Data!$S$2:$S$1201,$B78)/60)</f>
        <v/>
      </c>
      <c r="E78" s="47" t="str">
        <f>IF($B78="","",COUNTIFS(Data!$S$2:$S$1201,$B78,Data!$E$2:$E$1201,"timed"))</f>
        <v/>
      </c>
      <c r="F78" s="56" t="str">
        <f>IF($B78="","",SUMIFS(Data!$AG$2:$AG$1201,Data!$S$2:$S$1201,$B78))</f>
        <v/>
      </c>
      <c r="G78" s="54" t="str">
        <f t="shared" si="5"/>
        <v/>
      </c>
      <c r="H78" s="47" t="str">
        <f>IF($B78="","",COUNTIFS(Data!$S$2:$S$1201,$B78,Data!$AI$2:$AI$1201,1))</f>
        <v/>
      </c>
      <c r="I78" s="45" t="str">
        <f>IF(OR($B78="",$D78=0),"",SUMIFS(Data!$N$2:$N$1201,Data!$S$2:$S$1201,$B78,Data!$AI$2:$AI$1201,1)/60/$D78)</f>
        <v/>
      </c>
      <c r="J78" s="48" t="str">
        <f>IF($B78="","",SUMIFS(Data!$AH$2:$AH$1201,Data!$S$2:$S$1201,$B78))</f>
        <v/>
      </c>
    </row>
    <row r="79" spans="2:10" x14ac:dyDescent="0.25">
      <c r="B79" s="51" t="str">
        <f>IFERROR(SMALL(Rhythm!$Z$8:$Z$207,70),"")</f>
        <v/>
      </c>
      <c r="C79" s="42" t="str">
        <f t="shared" si="4"/>
        <v/>
      </c>
      <c r="D79" s="53" t="str">
        <f>IF($B79="","",SUMIFS(Data!$N$2:$N$1201,Data!$S$2:$S$1201,$B79)/60)</f>
        <v/>
      </c>
      <c r="E79" s="47" t="str">
        <f>IF($B79="","",COUNTIFS(Data!$S$2:$S$1201,$B79,Data!$E$2:$E$1201,"timed"))</f>
        <v/>
      </c>
      <c r="F79" s="56" t="str">
        <f>IF($B79="","",SUMIFS(Data!$AG$2:$AG$1201,Data!$S$2:$S$1201,$B79))</f>
        <v/>
      </c>
      <c r="G79" s="54" t="str">
        <f t="shared" si="5"/>
        <v/>
      </c>
      <c r="H79" s="47" t="str">
        <f>IF($B79="","",COUNTIFS(Data!$S$2:$S$1201,$B79,Data!$AI$2:$AI$1201,1))</f>
        <v/>
      </c>
      <c r="I79" s="45" t="str">
        <f>IF(OR($B79="",$D79=0),"",SUMIFS(Data!$N$2:$N$1201,Data!$S$2:$S$1201,$B79,Data!$AI$2:$AI$1201,1)/60/$D79)</f>
        <v/>
      </c>
      <c r="J79" s="48" t="str">
        <f>IF($B79="","",SUMIFS(Data!$AH$2:$AH$1201,Data!$S$2:$S$1201,$B79))</f>
        <v/>
      </c>
    </row>
    <row r="80" spans="2:10" x14ac:dyDescent="0.25">
      <c r="B80" s="51" t="str">
        <f>IFERROR(SMALL(Rhythm!$Z$8:$Z$207,71),"")</f>
        <v/>
      </c>
      <c r="C80" s="42" t="str">
        <f t="shared" si="4"/>
        <v/>
      </c>
      <c r="D80" s="53" t="str">
        <f>IF($B80="","",SUMIFS(Data!$N$2:$N$1201,Data!$S$2:$S$1201,$B80)/60)</f>
        <v/>
      </c>
      <c r="E80" s="47" t="str">
        <f>IF($B80="","",COUNTIFS(Data!$S$2:$S$1201,$B80,Data!$E$2:$E$1201,"timed"))</f>
        <v/>
      </c>
      <c r="F80" s="56" t="str">
        <f>IF($B80="","",SUMIFS(Data!$AG$2:$AG$1201,Data!$S$2:$S$1201,$B80))</f>
        <v/>
      </c>
      <c r="G80" s="54" t="str">
        <f t="shared" si="5"/>
        <v/>
      </c>
      <c r="H80" s="47" t="str">
        <f>IF($B80="","",COUNTIFS(Data!$S$2:$S$1201,$B80,Data!$AI$2:$AI$1201,1))</f>
        <v/>
      </c>
      <c r="I80" s="45" t="str">
        <f>IF(OR($B80="",$D80=0),"",SUMIFS(Data!$N$2:$N$1201,Data!$S$2:$S$1201,$B80,Data!$AI$2:$AI$1201,1)/60/$D80)</f>
        <v/>
      </c>
      <c r="J80" s="48" t="str">
        <f>IF($B80="","",SUMIFS(Data!$AH$2:$AH$1201,Data!$S$2:$S$1201,$B80))</f>
        <v/>
      </c>
    </row>
    <row r="81" spans="2:10" x14ac:dyDescent="0.25">
      <c r="B81" s="51" t="str">
        <f>IFERROR(SMALL(Rhythm!$Z$8:$Z$207,72),"")</f>
        <v/>
      </c>
      <c r="C81" s="42" t="str">
        <f t="shared" si="4"/>
        <v/>
      </c>
      <c r="D81" s="53" t="str">
        <f>IF($B81="","",SUMIFS(Data!$N$2:$N$1201,Data!$S$2:$S$1201,$B81)/60)</f>
        <v/>
      </c>
      <c r="E81" s="47" t="str">
        <f>IF($B81="","",COUNTIFS(Data!$S$2:$S$1201,$B81,Data!$E$2:$E$1201,"timed"))</f>
        <v/>
      </c>
      <c r="F81" s="56" t="str">
        <f>IF($B81="","",SUMIFS(Data!$AG$2:$AG$1201,Data!$S$2:$S$1201,$B81))</f>
        <v/>
      </c>
      <c r="G81" s="54" t="str">
        <f t="shared" si="5"/>
        <v/>
      </c>
      <c r="H81" s="47" t="str">
        <f>IF($B81="","",COUNTIFS(Data!$S$2:$S$1201,$B81,Data!$AI$2:$AI$1201,1))</f>
        <v/>
      </c>
      <c r="I81" s="45" t="str">
        <f>IF(OR($B81="",$D81=0),"",SUMIFS(Data!$N$2:$N$1201,Data!$S$2:$S$1201,$B81,Data!$AI$2:$AI$1201,1)/60/$D81)</f>
        <v/>
      </c>
      <c r="J81" s="48" t="str">
        <f>IF($B81="","",SUMIFS(Data!$AH$2:$AH$1201,Data!$S$2:$S$1201,$B81))</f>
        <v/>
      </c>
    </row>
    <row r="82" spans="2:10" x14ac:dyDescent="0.25">
      <c r="B82" s="51" t="str">
        <f>IFERROR(SMALL(Rhythm!$Z$8:$Z$207,73),"")</f>
        <v/>
      </c>
      <c r="C82" s="42" t="str">
        <f t="shared" si="4"/>
        <v/>
      </c>
      <c r="D82" s="53" t="str">
        <f>IF($B82="","",SUMIFS(Data!$N$2:$N$1201,Data!$S$2:$S$1201,$B82)/60)</f>
        <v/>
      </c>
      <c r="E82" s="47" t="str">
        <f>IF($B82="","",COUNTIFS(Data!$S$2:$S$1201,$B82,Data!$E$2:$E$1201,"timed"))</f>
        <v/>
      </c>
      <c r="F82" s="56" t="str">
        <f>IF($B82="","",SUMIFS(Data!$AG$2:$AG$1201,Data!$S$2:$S$1201,$B82))</f>
        <v/>
      </c>
      <c r="G82" s="54" t="str">
        <f t="shared" si="5"/>
        <v/>
      </c>
      <c r="H82" s="47" t="str">
        <f>IF($B82="","",COUNTIFS(Data!$S$2:$S$1201,$B82,Data!$AI$2:$AI$1201,1))</f>
        <v/>
      </c>
      <c r="I82" s="45" t="str">
        <f>IF(OR($B82="",$D82=0),"",SUMIFS(Data!$N$2:$N$1201,Data!$S$2:$S$1201,$B82,Data!$AI$2:$AI$1201,1)/60/$D82)</f>
        <v/>
      </c>
      <c r="J82" s="48" t="str">
        <f>IF($B82="","",SUMIFS(Data!$AH$2:$AH$1201,Data!$S$2:$S$1201,$B82))</f>
        <v/>
      </c>
    </row>
    <row r="83" spans="2:10" x14ac:dyDescent="0.25">
      <c r="B83" s="51" t="str">
        <f>IFERROR(SMALL(Rhythm!$Z$8:$Z$207,74),"")</f>
        <v/>
      </c>
      <c r="C83" s="42" t="str">
        <f t="shared" si="4"/>
        <v/>
      </c>
      <c r="D83" s="53" t="str">
        <f>IF($B83="","",SUMIFS(Data!$N$2:$N$1201,Data!$S$2:$S$1201,$B83)/60)</f>
        <v/>
      </c>
      <c r="E83" s="47" t="str">
        <f>IF($B83="","",COUNTIFS(Data!$S$2:$S$1201,$B83,Data!$E$2:$E$1201,"timed"))</f>
        <v/>
      </c>
      <c r="F83" s="56" t="str">
        <f>IF($B83="","",SUMIFS(Data!$AG$2:$AG$1201,Data!$S$2:$S$1201,$B83))</f>
        <v/>
      </c>
      <c r="G83" s="54" t="str">
        <f t="shared" si="5"/>
        <v/>
      </c>
      <c r="H83" s="47" t="str">
        <f>IF($B83="","",COUNTIFS(Data!$S$2:$S$1201,$B83,Data!$AI$2:$AI$1201,1))</f>
        <v/>
      </c>
      <c r="I83" s="45" t="str">
        <f>IF(OR($B83="",$D83=0),"",SUMIFS(Data!$N$2:$N$1201,Data!$S$2:$S$1201,$B83,Data!$AI$2:$AI$1201,1)/60/$D83)</f>
        <v/>
      </c>
      <c r="J83" s="48" t="str">
        <f>IF($B83="","",SUMIFS(Data!$AH$2:$AH$1201,Data!$S$2:$S$1201,$B83))</f>
        <v/>
      </c>
    </row>
    <row r="84" spans="2:10" x14ac:dyDescent="0.25">
      <c r="B84" s="51" t="str">
        <f>IFERROR(SMALL(Rhythm!$Z$8:$Z$207,75),"")</f>
        <v/>
      </c>
      <c r="C84" s="42" t="str">
        <f t="shared" si="4"/>
        <v/>
      </c>
      <c r="D84" s="53" t="str">
        <f>IF($B84="","",SUMIFS(Data!$N$2:$N$1201,Data!$S$2:$S$1201,$B84)/60)</f>
        <v/>
      </c>
      <c r="E84" s="47" t="str">
        <f>IF($B84="","",COUNTIFS(Data!$S$2:$S$1201,$B84,Data!$E$2:$E$1201,"timed"))</f>
        <v/>
      </c>
      <c r="F84" s="56" t="str">
        <f>IF($B84="","",SUMIFS(Data!$AG$2:$AG$1201,Data!$S$2:$S$1201,$B84))</f>
        <v/>
      </c>
      <c r="G84" s="54" t="str">
        <f t="shared" si="5"/>
        <v/>
      </c>
      <c r="H84" s="47" t="str">
        <f>IF($B84="","",COUNTIFS(Data!$S$2:$S$1201,$B84,Data!$AI$2:$AI$1201,1))</f>
        <v/>
      </c>
      <c r="I84" s="45" t="str">
        <f>IF(OR($B84="",$D84=0),"",SUMIFS(Data!$N$2:$N$1201,Data!$S$2:$S$1201,$B84,Data!$AI$2:$AI$1201,1)/60/$D84)</f>
        <v/>
      </c>
      <c r="J84" s="48" t="str">
        <f>IF($B84="","",SUMIFS(Data!$AH$2:$AH$1201,Data!$S$2:$S$1201,$B84))</f>
        <v/>
      </c>
    </row>
    <row r="85" spans="2:10" x14ac:dyDescent="0.25">
      <c r="B85" s="51" t="str">
        <f>IFERROR(SMALL(Rhythm!$Z$8:$Z$207,76),"")</f>
        <v/>
      </c>
      <c r="C85" s="42" t="str">
        <f t="shared" si="4"/>
        <v/>
      </c>
      <c r="D85" s="53" t="str">
        <f>IF($B85="","",SUMIFS(Data!$N$2:$N$1201,Data!$S$2:$S$1201,$B85)/60)</f>
        <v/>
      </c>
      <c r="E85" s="47" t="str">
        <f>IF($B85="","",COUNTIFS(Data!$S$2:$S$1201,$B85,Data!$E$2:$E$1201,"timed"))</f>
        <v/>
      </c>
      <c r="F85" s="56" t="str">
        <f>IF($B85="","",SUMIFS(Data!$AG$2:$AG$1201,Data!$S$2:$S$1201,$B85))</f>
        <v/>
      </c>
      <c r="G85" s="54" t="str">
        <f t="shared" si="5"/>
        <v/>
      </c>
      <c r="H85" s="47" t="str">
        <f>IF($B85="","",COUNTIFS(Data!$S$2:$S$1201,$B85,Data!$AI$2:$AI$1201,1))</f>
        <v/>
      </c>
      <c r="I85" s="45" t="str">
        <f>IF(OR($B85="",$D85=0),"",SUMIFS(Data!$N$2:$N$1201,Data!$S$2:$S$1201,$B85,Data!$AI$2:$AI$1201,1)/60/$D85)</f>
        <v/>
      </c>
      <c r="J85" s="48" t="str">
        <f>IF($B85="","",SUMIFS(Data!$AH$2:$AH$1201,Data!$S$2:$S$1201,$B85))</f>
        <v/>
      </c>
    </row>
    <row r="86" spans="2:10" x14ac:dyDescent="0.25">
      <c r="B86" s="51" t="str">
        <f>IFERROR(SMALL(Rhythm!$Z$8:$Z$207,77),"")</f>
        <v/>
      </c>
      <c r="C86" s="42" t="str">
        <f t="shared" si="4"/>
        <v/>
      </c>
      <c r="D86" s="53" t="str">
        <f>IF($B86="","",SUMIFS(Data!$N$2:$N$1201,Data!$S$2:$S$1201,$B86)/60)</f>
        <v/>
      </c>
      <c r="E86" s="47" t="str">
        <f>IF($B86="","",COUNTIFS(Data!$S$2:$S$1201,$B86,Data!$E$2:$E$1201,"timed"))</f>
        <v/>
      </c>
      <c r="F86" s="56" t="str">
        <f>IF($B86="","",SUMIFS(Data!$AG$2:$AG$1201,Data!$S$2:$S$1201,$B86))</f>
        <v/>
      </c>
      <c r="G86" s="54" t="str">
        <f t="shared" si="5"/>
        <v/>
      </c>
      <c r="H86" s="47" t="str">
        <f>IF($B86="","",COUNTIFS(Data!$S$2:$S$1201,$B86,Data!$AI$2:$AI$1201,1))</f>
        <v/>
      </c>
      <c r="I86" s="45" t="str">
        <f>IF(OR($B86="",$D86=0),"",SUMIFS(Data!$N$2:$N$1201,Data!$S$2:$S$1201,$B86,Data!$AI$2:$AI$1201,1)/60/$D86)</f>
        <v/>
      </c>
      <c r="J86" s="48" t="str">
        <f>IF($B86="","",SUMIFS(Data!$AH$2:$AH$1201,Data!$S$2:$S$1201,$B86))</f>
        <v/>
      </c>
    </row>
    <row r="87" spans="2:10" x14ac:dyDescent="0.25">
      <c r="B87" s="51" t="str">
        <f>IFERROR(SMALL(Rhythm!$Z$8:$Z$207,78),"")</f>
        <v/>
      </c>
      <c r="C87" s="42" t="str">
        <f t="shared" si="4"/>
        <v/>
      </c>
      <c r="D87" s="53" t="str">
        <f>IF($B87="","",SUMIFS(Data!$N$2:$N$1201,Data!$S$2:$S$1201,$B87)/60)</f>
        <v/>
      </c>
      <c r="E87" s="47" t="str">
        <f>IF($B87="","",COUNTIFS(Data!$S$2:$S$1201,$B87,Data!$E$2:$E$1201,"timed"))</f>
        <v/>
      </c>
      <c r="F87" s="56" t="str">
        <f>IF($B87="","",SUMIFS(Data!$AG$2:$AG$1201,Data!$S$2:$S$1201,$B87))</f>
        <v/>
      </c>
      <c r="G87" s="54" t="str">
        <f t="shared" si="5"/>
        <v/>
      </c>
      <c r="H87" s="47" t="str">
        <f>IF($B87="","",COUNTIFS(Data!$S$2:$S$1201,$B87,Data!$AI$2:$AI$1201,1))</f>
        <v/>
      </c>
      <c r="I87" s="45" t="str">
        <f>IF(OR($B87="",$D87=0),"",SUMIFS(Data!$N$2:$N$1201,Data!$S$2:$S$1201,$B87,Data!$AI$2:$AI$1201,1)/60/$D87)</f>
        <v/>
      </c>
      <c r="J87" s="48" t="str">
        <f>IF($B87="","",SUMIFS(Data!$AH$2:$AH$1201,Data!$S$2:$S$1201,$B87))</f>
        <v/>
      </c>
    </row>
    <row r="88" spans="2:10" x14ac:dyDescent="0.25">
      <c r="B88" s="51" t="str">
        <f>IFERROR(SMALL(Rhythm!$Z$8:$Z$207,79),"")</f>
        <v/>
      </c>
      <c r="C88" s="42" t="str">
        <f t="shared" si="4"/>
        <v/>
      </c>
      <c r="D88" s="53" t="str">
        <f>IF($B88="","",SUMIFS(Data!$N$2:$N$1201,Data!$S$2:$S$1201,$B88)/60)</f>
        <v/>
      </c>
      <c r="E88" s="47" t="str">
        <f>IF($B88="","",COUNTIFS(Data!$S$2:$S$1201,$B88,Data!$E$2:$E$1201,"timed"))</f>
        <v/>
      </c>
      <c r="F88" s="56" t="str">
        <f>IF($B88="","",SUMIFS(Data!$AG$2:$AG$1201,Data!$S$2:$S$1201,$B88))</f>
        <v/>
      </c>
      <c r="G88" s="54" t="str">
        <f t="shared" si="5"/>
        <v/>
      </c>
      <c r="H88" s="47" t="str">
        <f>IF($B88="","",COUNTIFS(Data!$S$2:$S$1201,$B88,Data!$AI$2:$AI$1201,1))</f>
        <v/>
      </c>
      <c r="I88" s="45" t="str">
        <f>IF(OR($B88="",$D88=0),"",SUMIFS(Data!$N$2:$N$1201,Data!$S$2:$S$1201,$B88,Data!$AI$2:$AI$1201,1)/60/$D88)</f>
        <v/>
      </c>
      <c r="J88" s="48" t="str">
        <f>IF($B88="","",SUMIFS(Data!$AH$2:$AH$1201,Data!$S$2:$S$1201,$B88))</f>
        <v/>
      </c>
    </row>
    <row r="89" spans="2:10" x14ac:dyDescent="0.25">
      <c r="B89" s="51" t="str">
        <f>IFERROR(SMALL(Rhythm!$Z$8:$Z$207,80),"")</f>
        <v/>
      </c>
      <c r="C89" s="42" t="str">
        <f t="shared" si="4"/>
        <v/>
      </c>
      <c r="D89" s="53" t="str">
        <f>IF($B89="","",SUMIFS(Data!$N$2:$N$1201,Data!$S$2:$S$1201,$B89)/60)</f>
        <v/>
      </c>
      <c r="E89" s="47" t="str">
        <f>IF($B89="","",COUNTIFS(Data!$S$2:$S$1201,$B89,Data!$E$2:$E$1201,"timed"))</f>
        <v/>
      </c>
      <c r="F89" s="56" t="str">
        <f>IF($B89="","",SUMIFS(Data!$AG$2:$AG$1201,Data!$S$2:$S$1201,$B89))</f>
        <v/>
      </c>
      <c r="G89" s="54" t="str">
        <f t="shared" si="5"/>
        <v/>
      </c>
      <c r="H89" s="47" t="str">
        <f>IF($B89="","",COUNTIFS(Data!$S$2:$S$1201,$B89,Data!$AI$2:$AI$1201,1))</f>
        <v/>
      </c>
      <c r="I89" s="45" t="str">
        <f>IF(OR($B89="",$D89=0),"",SUMIFS(Data!$N$2:$N$1201,Data!$S$2:$S$1201,$B89,Data!$AI$2:$AI$1201,1)/60/$D89)</f>
        <v/>
      </c>
      <c r="J89" s="48" t="str">
        <f>IF($B89="","",SUMIFS(Data!$AH$2:$AH$1201,Data!$S$2:$S$1201,$B89))</f>
        <v/>
      </c>
    </row>
    <row r="90" spans="2:10" x14ac:dyDescent="0.25">
      <c r="B90" s="51" t="str">
        <f>IFERROR(SMALL(Rhythm!$Z$8:$Z$207,81),"")</f>
        <v/>
      </c>
      <c r="C90" s="42" t="str">
        <f t="shared" si="4"/>
        <v/>
      </c>
      <c r="D90" s="53" t="str">
        <f>IF($B90="","",SUMIFS(Data!$N$2:$N$1201,Data!$S$2:$S$1201,$B90)/60)</f>
        <v/>
      </c>
      <c r="E90" s="47" t="str">
        <f>IF($B90="","",COUNTIFS(Data!$S$2:$S$1201,$B90,Data!$E$2:$E$1201,"timed"))</f>
        <v/>
      </c>
      <c r="F90" s="56" t="str">
        <f>IF($B90="","",SUMIFS(Data!$AG$2:$AG$1201,Data!$S$2:$S$1201,$B90))</f>
        <v/>
      </c>
      <c r="G90" s="54" t="str">
        <f t="shared" si="5"/>
        <v/>
      </c>
      <c r="H90" s="47" t="str">
        <f>IF($B90="","",COUNTIFS(Data!$S$2:$S$1201,$B90,Data!$AI$2:$AI$1201,1))</f>
        <v/>
      </c>
      <c r="I90" s="45" t="str">
        <f>IF(OR($B90="",$D90=0),"",SUMIFS(Data!$N$2:$N$1201,Data!$S$2:$S$1201,$B90,Data!$AI$2:$AI$1201,1)/60/$D90)</f>
        <v/>
      </c>
      <c r="J90" s="48" t="str">
        <f>IF($B90="","",SUMIFS(Data!$AH$2:$AH$1201,Data!$S$2:$S$1201,$B90))</f>
        <v/>
      </c>
    </row>
    <row r="91" spans="2:10" x14ac:dyDescent="0.25">
      <c r="B91" s="51" t="str">
        <f>IFERROR(SMALL(Rhythm!$Z$8:$Z$207,82),"")</f>
        <v/>
      </c>
      <c r="C91" s="42" t="str">
        <f t="shared" si="4"/>
        <v/>
      </c>
      <c r="D91" s="53" t="str">
        <f>IF($B91="","",SUMIFS(Data!$N$2:$N$1201,Data!$S$2:$S$1201,$B91)/60)</f>
        <v/>
      </c>
      <c r="E91" s="47" t="str">
        <f>IF($B91="","",COUNTIFS(Data!$S$2:$S$1201,$B91,Data!$E$2:$E$1201,"timed"))</f>
        <v/>
      </c>
      <c r="F91" s="56" t="str">
        <f>IF($B91="","",SUMIFS(Data!$AG$2:$AG$1201,Data!$S$2:$S$1201,$B91))</f>
        <v/>
      </c>
      <c r="G91" s="54" t="str">
        <f t="shared" si="5"/>
        <v/>
      </c>
      <c r="H91" s="47" t="str">
        <f>IF($B91="","",COUNTIFS(Data!$S$2:$S$1201,$B91,Data!$AI$2:$AI$1201,1))</f>
        <v/>
      </c>
      <c r="I91" s="45" t="str">
        <f>IF(OR($B91="",$D91=0),"",SUMIFS(Data!$N$2:$N$1201,Data!$S$2:$S$1201,$B91,Data!$AI$2:$AI$1201,1)/60/$D91)</f>
        <v/>
      </c>
      <c r="J91" s="48" t="str">
        <f>IF($B91="","",SUMIFS(Data!$AH$2:$AH$1201,Data!$S$2:$S$1201,$B91))</f>
        <v/>
      </c>
    </row>
    <row r="92" spans="2:10" x14ac:dyDescent="0.25">
      <c r="B92" s="51" t="str">
        <f>IFERROR(SMALL(Rhythm!$Z$8:$Z$207,83),"")</f>
        <v/>
      </c>
      <c r="C92" s="42" t="str">
        <f t="shared" si="4"/>
        <v/>
      </c>
      <c r="D92" s="53" t="str">
        <f>IF($B92="","",SUMIFS(Data!$N$2:$N$1201,Data!$S$2:$S$1201,$B92)/60)</f>
        <v/>
      </c>
      <c r="E92" s="47" t="str">
        <f>IF($B92="","",COUNTIFS(Data!$S$2:$S$1201,$B92,Data!$E$2:$E$1201,"timed"))</f>
        <v/>
      </c>
      <c r="F92" s="56" t="str">
        <f>IF($B92="","",SUMIFS(Data!$AG$2:$AG$1201,Data!$S$2:$S$1201,$B92))</f>
        <v/>
      </c>
      <c r="G92" s="54" t="str">
        <f t="shared" si="5"/>
        <v/>
      </c>
      <c r="H92" s="47" t="str">
        <f>IF($B92="","",COUNTIFS(Data!$S$2:$S$1201,$B92,Data!$AI$2:$AI$1201,1))</f>
        <v/>
      </c>
      <c r="I92" s="45" t="str">
        <f>IF(OR($B92="",$D92=0),"",SUMIFS(Data!$N$2:$N$1201,Data!$S$2:$S$1201,$B92,Data!$AI$2:$AI$1201,1)/60/$D92)</f>
        <v/>
      </c>
      <c r="J92" s="48" t="str">
        <f>IF($B92="","",SUMIFS(Data!$AH$2:$AH$1201,Data!$S$2:$S$1201,$B92))</f>
        <v/>
      </c>
    </row>
    <row r="93" spans="2:10" x14ac:dyDescent="0.25">
      <c r="B93" s="51" t="str">
        <f>IFERROR(SMALL(Rhythm!$Z$8:$Z$207,84),"")</f>
        <v/>
      </c>
      <c r="C93" s="42" t="str">
        <f t="shared" si="4"/>
        <v/>
      </c>
      <c r="D93" s="53" t="str">
        <f>IF($B93="","",SUMIFS(Data!$N$2:$N$1201,Data!$S$2:$S$1201,$B93)/60)</f>
        <v/>
      </c>
      <c r="E93" s="47" t="str">
        <f>IF($B93="","",COUNTIFS(Data!$S$2:$S$1201,$B93,Data!$E$2:$E$1201,"timed"))</f>
        <v/>
      </c>
      <c r="F93" s="56" t="str">
        <f>IF($B93="","",SUMIFS(Data!$AG$2:$AG$1201,Data!$S$2:$S$1201,$B93))</f>
        <v/>
      </c>
      <c r="G93" s="54" t="str">
        <f t="shared" si="5"/>
        <v/>
      </c>
      <c r="H93" s="47" t="str">
        <f>IF($B93="","",COUNTIFS(Data!$S$2:$S$1201,$B93,Data!$AI$2:$AI$1201,1))</f>
        <v/>
      </c>
      <c r="I93" s="45" t="str">
        <f>IF(OR($B93="",$D93=0),"",SUMIFS(Data!$N$2:$N$1201,Data!$S$2:$S$1201,$B93,Data!$AI$2:$AI$1201,1)/60/$D93)</f>
        <v/>
      </c>
      <c r="J93" s="48" t="str">
        <f>IF($B93="","",SUMIFS(Data!$AH$2:$AH$1201,Data!$S$2:$S$1201,$B93))</f>
        <v/>
      </c>
    </row>
    <row r="94" spans="2:10" x14ac:dyDescent="0.25">
      <c r="B94" s="51" t="str">
        <f>IFERROR(SMALL(Rhythm!$Z$8:$Z$207,85),"")</f>
        <v/>
      </c>
      <c r="C94" s="42" t="str">
        <f t="shared" si="4"/>
        <v/>
      </c>
      <c r="D94" s="53" t="str">
        <f>IF($B94="","",SUMIFS(Data!$N$2:$N$1201,Data!$S$2:$S$1201,$B94)/60)</f>
        <v/>
      </c>
      <c r="E94" s="47" t="str">
        <f>IF($B94="","",COUNTIFS(Data!$S$2:$S$1201,$B94,Data!$E$2:$E$1201,"timed"))</f>
        <v/>
      </c>
      <c r="F94" s="56" t="str">
        <f>IF($B94="","",SUMIFS(Data!$AG$2:$AG$1201,Data!$S$2:$S$1201,$B94))</f>
        <v/>
      </c>
      <c r="G94" s="54" t="str">
        <f t="shared" si="5"/>
        <v/>
      </c>
      <c r="H94" s="47" t="str">
        <f>IF($B94="","",COUNTIFS(Data!$S$2:$S$1201,$B94,Data!$AI$2:$AI$1201,1))</f>
        <v/>
      </c>
      <c r="I94" s="45" t="str">
        <f>IF(OR($B94="",$D94=0),"",SUMIFS(Data!$N$2:$N$1201,Data!$S$2:$S$1201,$B94,Data!$AI$2:$AI$1201,1)/60/$D94)</f>
        <v/>
      </c>
      <c r="J94" s="48" t="str">
        <f>IF($B94="","",SUMIFS(Data!$AH$2:$AH$1201,Data!$S$2:$S$1201,$B94))</f>
        <v/>
      </c>
    </row>
    <row r="95" spans="2:10" x14ac:dyDescent="0.25">
      <c r="B95" s="51" t="str">
        <f>IFERROR(SMALL(Rhythm!$Z$8:$Z$207,86),"")</f>
        <v/>
      </c>
      <c r="C95" s="42" t="str">
        <f t="shared" si="4"/>
        <v/>
      </c>
      <c r="D95" s="53" t="str">
        <f>IF($B95="","",SUMIFS(Data!$N$2:$N$1201,Data!$S$2:$S$1201,$B95)/60)</f>
        <v/>
      </c>
      <c r="E95" s="47" t="str">
        <f>IF($B95="","",COUNTIFS(Data!$S$2:$S$1201,$B95,Data!$E$2:$E$1201,"timed"))</f>
        <v/>
      </c>
      <c r="F95" s="56" t="str">
        <f>IF($B95="","",SUMIFS(Data!$AG$2:$AG$1201,Data!$S$2:$S$1201,$B95))</f>
        <v/>
      </c>
      <c r="G95" s="54" t="str">
        <f t="shared" si="5"/>
        <v/>
      </c>
      <c r="H95" s="47" t="str">
        <f>IF($B95="","",COUNTIFS(Data!$S$2:$S$1201,$B95,Data!$AI$2:$AI$1201,1))</f>
        <v/>
      </c>
      <c r="I95" s="45" t="str">
        <f>IF(OR($B95="",$D95=0),"",SUMIFS(Data!$N$2:$N$1201,Data!$S$2:$S$1201,$B95,Data!$AI$2:$AI$1201,1)/60/$D95)</f>
        <v/>
      </c>
      <c r="J95" s="48" t="str">
        <f>IF($B95="","",SUMIFS(Data!$AH$2:$AH$1201,Data!$S$2:$S$1201,$B95))</f>
        <v/>
      </c>
    </row>
    <row r="96" spans="2:10" x14ac:dyDescent="0.25">
      <c r="B96" s="51" t="str">
        <f>IFERROR(SMALL(Rhythm!$Z$8:$Z$207,87),"")</f>
        <v/>
      </c>
      <c r="C96" s="42" t="str">
        <f t="shared" si="4"/>
        <v/>
      </c>
      <c r="D96" s="53" t="str">
        <f>IF($B96="","",SUMIFS(Data!$N$2:$N$1201,Data!$S$2:$S$1201,$B96)/60)</f>
        <v/>
      </c>
      <c r="E96" s="47" t="str">
        <f>IF($B96="","",COUNTIFS(Data!$S$2:$S$1201,$B96,Data!$E$2:$E$1201,"timed"))</f>
        <v/>
      </c>
      <c r="F96" s="56" t="str">
        <f>IF($B96="","",SUMIFS(Data!$AG$2:$AG$1201,Data!$S$2:$S$1201,$B96))</f>
        <v/>
      </c>
      <c r="G96" s="54" t="str">
        <f t="shared" si="5"/>
        <v/>
      </c>
      <c r="H96" s="47" t="str">
        <f>IF($B96="","",COUNTIFS(Data!$S$2:$S$1201,$B96,Data!$AI$2:$AI$1201,1))</f>
        <v/>
      </c>
      <c r="I96" s="45" t="str">
        <f>IF(OR($B96="",$D96=0),"",SUMIFS(Data!$N$2:$N$1201,Data!$S$2:$S$1201,$B96,Data!$AI$2:$AI$1201,1)/60/$D96)</f>
        <v/>
      </c>
      <c r="J96" s="48" t="str">
        <f>IF($B96="","",SUMIFS(Data!$AH$2:$AH$1201,Data!$S$2:$S$1201,$B96))</f>
        <v/>
      </c>
    </row>
    <row r="97" spans="2:10" x14ac:dyDescent="0.25">
      <c r="B97" s="51" t="str">
        <f>IFERROR(SMALL(Rhythm!$Z$8:$Z$207,88),"")</f>
        <v/>
      </c>
      <c r="C97" s="42" t="str">
        <f t="shared" si="4"/>
        <v/>
      </c>
      <c r="D97" s="53" t="str">
        <f>IF($B97="","",SUMIFS(Data!$N$2:$N$1201,Data!$S$2:$S$1201,$B97)/60)</f>
        <v/>
      </c>
      <c r="E97" s="47" t="str">
        <f>IF($B97="","",COUNTIFS(Data!$S$2:$S$1201,$B97,Data!$E$2:$E$1201,"timed"))</f>
        <v/>
      </c>
      <c r="F97" s="56" t="str">
        <f>IF($B97="","",SUMIFS(Data!$AG$2:$AG$1201,Data!$S$2:$S$1201,$B97))</f>
        <v/>
      </c>
      <c r="G97" s="54" t="str">
        <f t="shared" si="5"/>
        <v/>
      </c>
      <c r="H97" s="47" t="str">
        <f>IF($B97="","",COUNTIFS(Data!$S$2:$S$1201,$B97,Data!$AI$2:$AI$1201,1))</f>
        <v/>
      </c>
      <c r="I97" s="45" t="str">
        <f>IF(OR($B97="",$D97=0),"",SUMIFS(Data!$N$2:$N$1201,Data!$S$2:$S$1201,$B97,Data!$AI$2:$AI$1201,1)/60/$D97)</f>
        <v/>
      </c>
      <c r="J97" s="48" t="str">
        <f>IF($B97="","",SUMIFS(Data!$AH$2:$AH$1201,Data!$S$2:$S$1201,$B97))</f>
        <v/>
      </c>
    </row>
    <row r="98" spans="2:10" x14ac:dyDescent="0.25">
      <c r="B98" s="51" t="str">
        <f>IFERROR(SMALL(Rhythm!$Z$8:$Z$207,89),"")</f>
        <v/>
      </c>
      <c r="C98" s="42" t="str">
        <f t="shared" si="4"/>
        <v/>
      </c>
      <c r="D98" s="53" t="str">
        <f>IF($B98="","",SUMIFS(Data!$N$2:$N$1201,Data!$S$2:$S$1201,$B98)/60)</f>
        <v/>
      </c>
      <c r="E98" s="47" t="str">
        <f>IF($B98="","",COUNTIFS(Data!$S$2:$S$1201,$B98,Data!$E$2:$E$1201,"timed"))</f>
        <v/>
      </c>
      <c r="F98" s="56" t="str">
        <f>IF($B98="","",SUMIFS(Data!$AG$2:$AG$1201,Data!$S$2:$S$1201,$B98))</f>
        <v/>
      </c>
      <c r="G98" s="54" t="str">
        <f t="shared" si="5"/>
        <v/>
      </c>
      <c r="H98" s="47" t="str">
        <f>IF($B98="","",COUNTIFS(Data!$S$2:$S$1201,$B98,Data!$AI$2:$AI$1201,1))</f>
        <v/>
      </c>
      <c r="I98" s="45" t="str">
        <f>IF(OR($B98="",$D98=0),"",SUMIFS(Data!$N$2:$N$1201,Data!$S$2:$S$1201,$B98,Data!$AI$2:$AI$1201,1)/60/$D98)</f>
        <v/>
      </c>
      <c r="J98" s="48" t="str">
        <f>IF($B98="","",SUMIFS(Data!$AH$2:$AH$1201,Data!$S$2:$S$1201,$B98))</f>
        <v/>
      </c>
    </row>
    <row r="99" spans="2:10" x14ac:dyDescent="0.25">
      <c r="B99" s="51" t="str">
        <f>IFERROR(SMALL(Rhythm!$Z$8:$Z$207,90),"")</f>
        <v/>
      </c>
      <c r="C99" s="42" t="str">
        <f t="shared" si="4"/>
        <v/>
      </c>
      <c r="D99" s="53" t="str">
        <f>IF($B99="","",SUMIFS(Data!$N$2:$N$1201,Data!$S$2:$S$1201,$B99)/60)</f>
        <v/>
      </c>
      <c r="E99" s="47" t="str">
        <f>IF($B99="","",COUNTIFS(Data!$S$2:$S$1201,$B99,Data!$E$2:$E$1201,"timed"))</f>
        <v/>
      </c>
      <c r="F99" s="56" t="str">
        <f>IF($B99="","",SUMIFS(Data!$AG$2:$AG$1201,Data!$S$2:$S$1201,$B99))</f>
        <v/>
      </c>
      <c r="G99" s="54" t="str">
        <f t="shared" si="5"/>
        <v/>
      </c>
      <c r="H99" s="47" t="str">
        <f>IF($B99="","",COUNTIFS(Data!$S$2:$S$1201,$B99,Data!$AI$2:$AI$1201,1))</f>
        <v/>
      </c>
      <c r="I99" s="45" t="str">
        <f>IF(OR($B99="",$D99=0),"",SUMIFS(Data!$N$2:$N$1201,Data!$S$2:$S$1201,$B99,Data!$AI$2:$AI$1201,1)/60/$D99)</f>
        <v/>
      </c>
      <c r="J99" s="48" t="str">
        <f>IF($B99="","",SUMIFS(Data!$AH$2:$AH$1201,Data!$S$2:$S$1201,$B99))</f>
        <v/>
      </c>
    </row>
    <row r="100" spans="2:10" x14ac:dyDescent="0.25">
      <c r="B100" s="51" t="str">
        <f>IFERROR(SMALL(Rhythm!$Z$8:$Z$207,91),"")</f>
        <v/>
      </c>
      <c r="C100" s="42" t="str">
        <f t="shared" si="4"/>
        <v/>
      </c>
      <c r="D100" s="53" t="str">
        <f>IF($B100="","",SUMIFS(Data!$N$2:$N$1201,Data!$S$2:$S$1201,$B100)/60)</f>
        <v/>
      </c>
      <c r="E100" s="47" t="str">
        <f>IF($B100="","",COUNTIFS(Data!$S$2:$S$1201,$B100,Data!$E$2:$E$1201,"timed"))</f>
        <v/>
      </c>
      <c r="F100" s="56" t="str">
        <f>IF($B100="","",SUMIFS(Data!$AG$2:$AG$1201,Data!$S$2:$S$1201,$B100))</f>
        <v/>
      </c>
      <c r="G100" s="54" t="str">
        <f t="shared" si="5"/>
        <v/>
      </c>
      <c r="H100" s="47" t="str">
        <f>IF($B100="","",COUNTIFS(Data!$S$2:$S$1201,$B100,Data!$AI$2:$AI$1201,1))</f>
        <v/>
      </c>
      <c r="I100" s="45" t="str">
        <f>IF(OR($B100="",$D100=0),"",SUMIFS(Data!$N$2:$N$1201,Data!$S$2:$S$1201,$B100,Data!$AI$2:$AI$1201,1)/60/$D100)</f>
        <v/>
      </c>
      <c r="J100" s="48" t="str">
        <f>IF($B100="","",SUMIFS(Data!$AH$2:$AH$1201,Data!$S$2:$S$1201,$B100))</f>
        <v/>
      </c>
    </row>
    <row r="101" spans="2:10" x14ac:dyDescent="0.25">
      <c r="B101" s="51" t="str">
        <f>IFERROR(SMALL(Rhythm!$Z$8:$Z$207,92),"")</f>
        <v/>
      </c>
      <c r="C101" s="42" t="str">
        <f t="shared" si="4"/>
        <v/>
      </c>
      <c r="D101" s="53" t="str">
        <f>IF($B101="","",SUMIFS(Data!$N$2:$N$1201,Data!$S$2:$S$1201,$B101)/60)</f>
        <v/>
      </c>
      <c r="E101" s="47" t="str">
        <f>IF($B101="","",COUNTIFS(Data!$S$2:$S$1201,$B101,Data!$E$2:$E$1201,"timed"))</f>
        <v/>
      </c>
      <c r="F101" s="56" t="str">
        <f>IF($B101="","",SUMIFS(Data!$AG$2:$AG$1201,Data!$S$2:$S$1201,$B101))</f>
        <v/>
      </c>
      <c r="G101" s="54" t="str">
        <f t="shared" si="5"/>
        <v/>
      </c>
      <c r="H101" s="47" t="str">
        <f>IF($B101="","",COUNTIFS(Data!$S$2:$S$1201,$B101,Data!$AI$2:$AI$1201,1))</f>
        <v/>
      </c>
      <c r="I101" s="45" t="str">
        <f>IF(OR($B101="",$D101=0),"",SUMIFS(Data!$N$2:$N$1201,Data!$S$2:$S$1201,$B101,Data!$AI$2:$AI$1201,1)/60/$D101)</f>
        <v/>
      </c>
      <c r="J101" s="48" t="str">
        <f>IF($B101="","",SUMIFS(Data!$AH$2:$AH$1201,Data!$S$2:$S$1201,$B101))</f>
        <v/>
      </c>
    </row>
    <row r="102" spans="2:10" x14ac:dyDescent="0.25">
      <c r="B102" s="51" t="str">
        <f>IFERROR(SMALL(Rhythm!$Z$8:$Z$207,93),"")</f>
        <v/>
      </c>
      <c r="C102" s="42" t="str">
        <f t="shared" si="4"/>
        <v/>
      </c>
      <c r="D102" s="53" t="str">
        <f>IF($B102="","",SUMIFS(Data!$N$2:$N$1201,Data!$S$2:$S$1201,$B102)/60)</f>
        <v/>
      </c>
      <c r="E102" s="47" t="str">
        <f>IF($B102="","",COUNTIFS(Data!$S$2:$S$1201,$B102,Data!$E$2:$E$1201,"timed"))</f>
        <v/>
      </c>
      <c r="F102" s="56" t="str">
        <f>IF($B102="","",SUMIFS(Data!$AG$2:$AG$1201,Data!$S$2:$S$1201,$B102))</f>
        <v/>
      </c>
      <c r="G102" s="54" t="str">
        <f t="shared" si="5"/>
        <v/>
      </c>
      <c r="H102" s="47" t="str">
        <f>IF($B102="","",COUNTIFS(Data!$S$2:$S$1201,$B102,Data!$AI$2:$AI$1201,1))</f>
        <v/>
      </c>
      <c r="I102" s="45" t="str">
        <f>IF(OR($B102="",$D102=0),"",SUMIFS(Data!$N$2:$N$1201,Data!$S$2:$S$1201,$B102,Data!$AI$2:$AI$1201,1)/60/$D102)</f>
        <v/>
      </c>
      <c r="J102" s="48" t="str">
        <f>IF($B102="","",SUMIFS(Data!$AH$2:$AH$1201,Data!$S$2:$S$1201,$B102))</f>
        <v/>
      </c>
    </row>
    <row r="103" spans="2:10" x14ac:dyDescent="0.25">
      <c r="B103" s="51" t="str">
        <f>IFERROR(SMALL(Rhythm!$Z$8:$Z$207,94),"")</f>
        <v/>
      </c>
      <c r="C103" s="42" t="str">
        <f t="shared" si="4"/>
        <v/>
      </c>
      <c r="D103" s="53" t="str">
        <f>IF($B103="","",SUMIFS(Data!$N$2:$N$1201,Data!$S$2:$S$1201,$B103)/60)</f>
        <v/>
      </c>
      <c r="E103" s="47" t="str">
        <f>IF($B103="","",COUNTIFS(Data!$S$2:$S$1201,$B103,Data!$E$2:$E$1201,"timed"))</f>
        <v/>
      </c>
      <c r="F103" s="56" t="str">
        <f>IF($B103="","",SUMIFS(Data!$AG$2:$AG$1201,Data!$S$2:$S$1201,$B103))</f>
        <v/>
      </c>
      <c r="G103" s="54" t="str">
        <f t="shared" si="5"/>
        <v/>
      </c>
      <c r="H103" s="47" t="str">
        <f>IF($B103="","",COUNTIFS(Data!$S$2:$S$1201,$B103,Data!$AI$2:$AI$1201,1))</f>
        <v/>
      </c>
      <c r="I103" s="45" t="str">
        <f>IF(OR($B103="",$D103=0),"",SUMIFS(Data!$N$2:$N$1201,Data!$S$2:$S$1201,$B103,Data!$AI$2:$AI$1201,1)/60/$D103)</f>
        <v/>
      </c>
      <c r="J103" s="48" t="str">
        <f>IF($B103="","",SUMIFS(Data!$AH$2:$AH$1201,Data!$S$2:$S$1201,$B103))</f>
        <v/>
      </c>
    </row>
    <row r="104" spans="2:10" x14ac:dyDescent="0.25">
      <c r="B104" s="51" t="str">
        <f>IFERROR(SMALL(Rhythm!$Z$8:$Z$207,95),"")</f>
        <v/>
      </c>
      <c r="C104" s="42" t="str">
        <f t="shared" si="4"/>
        <v/>
      </c>
      <c r="D104" s="53" t="str">
        <f>IF($B104="","",SUMIFS(Data!$N$2:$N$1201,Data!$S$2:$S$1201,$B104)/60)</f>
        <v/>
      </c>
      <c r="E104" s="47" t="str">
        <f>IF($B104="","",COUNTIFS(Data!$S$2:$S$1201,$B104,Data!$E$2:$E$1201,"timed"))</f>
        <v/>
      </c>
      <c r="F104" s="56" t="str">
        <f>IF($B104="","",SUMIFS(Data!$AG$2:$AG$1201,Data!$S$2:$S$1201,$B104))</f>
        <v/>
      </c>
      <c r="G104" s="54" t="str">
        <f t="shared" si="5"/>
        <v/>
      </c>
      <c r="H104" s="47" t="str">
        <f>IF($B104="","",COUNTIFS(Data!$S$2:$S$1201,$B104,Data!$AI$2:$AI$1201,1))</f>
        <v/>
      </c>
      <c r="I104" s="45" t="str">
        <f>IF(OR($B104="",$D104=0),"",SUMIFS(Data!$N$2:$N$1201,Data!$S$2:$S$1201,$B104,Data!$AI$2:$AI$1201,1)/60/$D104)</f>
        <v/>
      </c>
      <c r="J104" s="48" t="str">
        <f>IF($B104="","",SUMIFS(Data!$AH$2:$AH$1201,Data!$S$2:$S$1201,$B104))</f>
        <v/>
      </c>
    </row>
    <row r="105" spans="2:10" x14ac:dyDescent="0.25">
      <c r="B105" s="51" t="str">
        <f>IFERROR(SMALL(Rhythm!$Z$8:$Z$207,96),"")</f>
        <v/>
      </c>
      <c r="C105" s="42" t="str">
        <f t="shared" si="4"/>
        <v/>
      </c>
      <c r="D105" s="53" t="str">
        <f>IF($B105="","",SUMIFS(Data!$N$2:$N$1201,Data!$S$2:$S$1201,$B105)/60)</f>
        <v/>
      </c>
      <c r="E105" s="47" t="str">
        <f>IF($B105="","",COUNTIFS(Data!$S$2:$S$1201,$B105,Data!$E$2:$E$1201,"timed"))</f>
        <v/>
      </c>
      <c r="F105" s="56" t="str">
        <f>IF($B105="","",SUMIFS(Data!$AG$2:$AG$1201,Data!$S$2:$S$1201,$B105))</f>
        <v/>
      </c>
      <c r="G105" s="54" t="str">
        <f t="shared" si="5"/>
        <v/>
      </c>
      <c r="H105" s="47" t="str">
        <f>IF($B105="","",COUNTIFS(Data!$S$2:$S$1201,$B105,Data!$AI$2:$AI$1201,1))</f>
        <v/>
      </c>
      <c r="I105" s="45" t="str">
        <f>IF(OR($B105="",$D105=0),"",SUMIFS(Data!$N$2:$N$1201,Data!$S$2:$S$1201,$B105,Data!$AI$2:$AI$1201,1)/60/$D105)</f>
        <v/>
      </c>
      <c r="J105" s="48" t="str">
        <f>IF($B105="","",SUMIFS(Data!$AH$2:$AH$1201,Data!$S$2:$S$1201,$B105))</f>
        <v/>
      </c>
    </row>
    <row r="106" spans="2:10" x14ac:dyDescent="0.25">
      <c r="B106" s="51" t="str">
        <f>IFERROR(SMALL(Rhythm!$Z$8:$Z$207,97),"")</f>
        <v/>
      </c>
      <c r="C106" s="42" t="str">
        <f t="shared" ref="C106:C137" si="6">IF($B106="","",TEXT($B106,"ddd"))</f>
        <v/>
      </c>
      <c r="D106" s="53" t="str">
        <f>IF($B106="","",SUMIFS(Data!$N$2:$N$1201,Data!$S$2:$S$1201,$B106)/60)</f>
        <v/>
      </c>
      <c r="E106" s="47" t="str">
        <f>IF($B106="","",COUNTIFS(Data!$S$2:$S$1201,$B106,Data!$E$2:$E$1201,"timed"))</f>
        <v/>
      </c>
      <c r="F106" s="56" t="str">
        <f>IF($B106="","",SUMIFS(Data!$AG$2:$AG$1201,Data!$S$2:$S$1201,$B106))</f>
        <v/>
      </c>
      <c r="G106" s="54" t="str">
        <f t="shared" ref="G106:G137" si="7">IF(OR($B106="",$D106=0),"",$F106/$D106)</f>
        <v/>
      </c>
      <c r="H106" s="47" t="str">
        <f>IF($B106="","",COUNTIFS(Data!$S$2:$S$1201,$B106,Data!$AI$2:$AI$1201,1))</f>
        <v/>
      </c>
      <c r="I106" s="45" t="str">
        <f>IF(OR($B106="",$D106=0),"",SUMIFS(Data!$N$2:$N$1201,Data!$S$2:$S$1201,$B106,Data!$AI$2:$AI$1201,1)/60/$D106)</f>
        <v/>
      </c>
      <c r="J106" s="48" t="str">
        <f>IF($B106="","",SUMIFS(Data!$AH$2:$AH$1201,Data!$S$2:$S$1201,$B106))</f>
        <v/>
      </c>
    </row>
    <row r="107" spans="2:10" x14ac:dyDescent="0.25">
      <c r="B107" s="51" t="str">
        <f>IFERROR(SMALL(Rhythm!$Z$8:$Z$207,98),"")</f>
        <v/>
      </c>
      <c r="C107" s="42" t="str">
        <f t="shared" si="6"/>
        <v/>
      </c>
      <c r="D107" s="53" t="str">
        <f>IF($B107="","",SUMIFS(Data!$N$2:$N$1201,Data!$S$2:$S$1201,$B107)/60)</f>
        <v/>
      </c>
      <c r="E107" s="47" t="str">
        <f>IF($B107="","",COUNTIFS(Data!$S$2:$S$1201,$B107,Data!$E$2:$E$1201,"timed"))</f>
        <v/>
      </c>
      <c r="F107" s="56" t="str">
        <f>IF($B107="","",SUMIFS(Data!$AG$2:$AG$1201,Data!$S$2:$S$1201,$B107))</f>
        <v/>
      </c>
      <c r="G107" s="54" t="str">
        <f t="shared" si="7"/>
        <v/>
      </c>
      <c r="H107" s="47" t="str">
        <f>IF($B107="","",COUNTIFS(Data!$S$2:$S$1201,$B107,Data!$AI$2:$AI$1201,1))</f>
        <v/>
      </c>
      <c r="I107" s="45" t="str">
        <f>IF(OR($B107="",$D107=0),"",SUMIFS(Data!$N$2:$N$1201,Data!$S$2:$S$1201,$B107,Data!$AI$2:$AI$1201,1)/60/$D107)</f>
        <v/>
      </c>
      <c r="J107" s="48" t="str">
        <f>IF($B107="","",SUMIFS(Data!$AH$2:$AH$1201,Data!$S$2:$S$1201,$B107))</f>
        <v/>
      </c>
    </row>
    <row r="108" spans="2:10" x14ac:dyDescent="0.25">
      <c r="B108" s="51" t="str">
        <f>IFERROR(SMALL(Rhythm!$Z$8:$Z$207,99),"")</f>
        <v/>
      </c>
      <c r="C108" s="42" t="str">
        <f t="shared" si="6"/>
        <v/>
      </c>
      <c r="D108" s="53" t="str">
        <f>IF($B108="","",SUMIFS(Data!$N$2:$N$1201,Data!$S$2:$S$1201,$B108)/60)</f>
        <v/>
      </c>
      <c r="E108" s="47" t="str">
        <f>IF($B108="","",COUNTIFS(Data!$S$2:$S$1201,$B108,Data!$E$2:$E$1201,"timed"))</f>
        <v/>
      </c>
      <c r="F108" s="56" t="str">
        <f>IF($B108="","",SUMIFS(Data!$AG$2:$AG$1201,Data!$S$2:$S$1201,$B108))</f>
        <v/>
      </c>
      <c r="G108" s="54" t="str">
        <f t="shared" si="7"/>
        <v/>
      </c>
      <c r="H108" s="47" t="str">
        <f>IF($B108="","",COUNTIFS(Data!$S$2:$S$1201,$B108,Data!$AI$2:$AI$1201,1))</f>
        <v/>
      </c>
      <c r="I108" s="45" t="str">
        <f>IF(OR($B108="",$D108=0),"",SUMIFS(Data!$N$2:$N$1201,Data!$S$2:$S$1201,$B108,Data!$AI$2:$AI$1201,1)/60/$D108)</f>
        <v/>
      </c>
      <c r="J108" s="48" t="str">
        <f>IF($B108="","",SUMIFS(Data!$AH$2:$AH$1201,Data!$S$2:$S$1201,$B108))</f>
        <v/>
      </c>
    </row>
    <row r="109" spans="2:10" x14ac:dyDescent="0.25">
      <c r="B109" s="51" t="str">
        <f>IFERROR(SMALL(Rhythm!$Z$8:$Z$207,100),"")</f>
        <v/>
      </c>
      <c r="C109" s="42" t="str">
        <f t="shared" si="6"/>
        <v/>
      </c>
      <c r="D109" s="53" t="str">
        <f>IF($B109="","",SUMIFS(Data!$N$2:$N$1201,Data!$S$2:$S$1201,$B109)/60)</f>
        <v/>
      </c>
      <c r="E109" s="47" t="str">
        <f>IF($B109="","",COUNTIFS(Data!$S$2:$S$1201,$B109,Data!$E$2:$E$1201,"timed"))</f>
        <v/>
      </c>
      <c r="F109" s="56" t="str">
        <f>IF($B109="","",SUMIFS(Data!$AG$2:$AG$1201,Data!$S$2:$S$1201,$B109))</f>
        <v/>
      </c>
      <c r="G109" s="54" t="str">
        <f t="shared" si="7"/>
        <v/>
      </c>
      <c r="H109" s="47" t="str">
        <f>IF($B109="","",COUNTIFS(Data!$S$2:$S$1201,$B109,Data!$AI$2:$AI$1201,1))</f>
        <v/>
      </c>
      <c r="I109" s="45" t="str">
        <f>IF(OR($B109="",$D109=0),"",SUMIFS(Data!$N$2:$N$1201,Data!$S$2:$S$1201,$B109,Data!$AI$2:$AI$1201,1)/60/$D109)</f>
        <v/>
      </c>
      <c r="J109" s="48" t="str">
        <f>IF($B109="","",SUMIFS(Data!$AH$2:$AH$1201,Data!$S$2:$S$1201,$B109))</f>
        <v/>
      </c>
    </row>
    <row r="110" spans="2:10" x14ac:dyDescent="0.25">
      <c r="B110" s="51" t="str">
        <f>IFERROR(SMALL(Rhythm!$Z$8:$Z$207,101),"")</f>
        <v/>
      </c>
      <c r="C110" s="42" t="str">
        <f t="shared" si="6"/>
        <v/>
      </c>
      <c r="D110" s="53" t="str">
        <f>IF($B110="","",SUMIFS(Data!$N$2:$N$1201,Data!$S$2:$S$1201,$B110)/60)</f>
        <v/>
      </c>
      <c r="E110" s="47" t="str">
        <f>IF($B110="","",COUNTIFS(Data!$S$2:$S$1201,$B110,Data!$E$2:$E$1201,"timed"))</f>
        <v/>
      </c>
      <c r="F110" s="56" t="str">
        <f>IF($B110="","",SUMIFS(Data!$AG$2:$AG$1201,Data!$S$2:$S$1201,$B110))</f>
        <v/>
      </c>
      <c r="G110" s="54" t="str">
        <f t="shared" si="7"/>
        <v/>
      </c>
      <c r="H110" s="47" t="str">
        <f>IF($B110="","",COUNTIFS(Data!$S$2:$S$1201,$B110,Data!$AI$2:$AI$1201,1))</f>
        <v/>
      </c>
      <c r="I110" s="45" t="str">
        <f>IF(OR($B110="",$D110=0),"",SUMIFS(Data!$N$2:$N$1201,Data!$S$2:$S$1201,$B110,Data!$AI$2:$AI$1201,1)/60/$D110)</f>
        <v/>
      </c>
      <c r="J110" s="48" t="str">
        <f>IF($B110="","",SUMIFS(Data!$AH$2:$AH$1201,Data!$S$2:$S$1201,$B110))</f>
        <v/>
      </c>
    </row>
    <row r="111" spans="2:10" x14ac:dyDescent="0.25">
      <c r="B111" s="51" t="str">
        <f>IFERROR(SMALL(Rhythm!$Z$8:$Z$207,102),"")</f>
        <v/>
      </c>
      <c r="C111" s="42" t="str">
        <f t="shared" si="6"/>
        <v/>
      </c>
      <c r="D111" s="53" t="str">
        <f>IF($B111="","",SUMIFS(Data!$N$2:$N$1201,Data!$S$2:$S$1201,$B111)/60)</f>
        <v/>
      </c>
      <c r="E111" s="47" t="str">
        <f>IF($B111="","",COUNTIFS(Data!$S$2:$S$1201,$B111,Data!$E$2:$E$1201,"timed"))</f>
        <v/>
      </c>
      <c r="F111" s="56" t="str">
        <f>IF($B111="","",SUMIFS(Data!$AG$2:$AG$1201,Data!$S$2:$S$1201,$B111))</f>
        <v/>
      </c>
      <c r="G111" s="54" t="str">
        <f t="shared" si="7"/>
        <v/>
      </c>
      <c r="H111" s="47" t="str">
        <f>IF($B111="","",COUNTIFS(Data!$S$2:$S$1201,$B111,Data!$AI$2:$AI$1201,1))</f>
        <v/>
      </c>
      <c r="I111" s="45" t="str">
        <f>IF(OR($B111="",$D111=0),"",SUMIFS(Data!$N$2:$N$1201,Data!$S$2:$S$1201,$B111,Data!$AI$2:$AI$1201,1)/60/$D111)</f>
        <v/>
      </c>
      <c r="J111" s="48" t="str">
        <f>IF($B111="","",SUMIFS(Data!$AH$2:$AH$1201,Data!$S$2:$S$1201,$B111))</f>
        <v/>
      </c>
    </row>
    <row r="112" spans="2:10" x14ac:dyDescent="0.25">
      <c r="B112" s="51" t="str">
        <f>IFERROR(SMALL(Rhythm!$Z$8:$Z$207,103),"")</f>
        <v/>
      </c>
      <c r="C112" s="42" t="str">
        <f t="shared" si="6"/>
        <v/>
      </c>
      <c r="D112" s="53" t="str">
        <f>IF($B112="","",SUMIFS(Data!$N$2:$N$1201,Data!$S$2:$S$1201,$B112)/60)</f>
        <v/>
      </c>
      <c r="E112" s="47" t="str">
        <f>IF($B112="","",COUNTIFS(Data!$S$2:$S$1201,$B112,Data!$E$2:$E$1201,"timed"))</f>
        <v/>
      </c>
      <c r="F112" s="56" t="str">
        <f>IF($B112="","",SUMIFS(Data!$AG$2:$AG$1201,Data!$S$2:$S$1201,$B112))</f>
        <v/>
      </c>
      <c r="G112" s="54" t="str">
        <f t="shared" si="7"/>
        <v/>
      </c>
      <c r="H112" s="47" t="str">
        <f>IF($B112="","",COUNTIFS(Data!$S$2:$S$1201,$B112,Data!$AI$2:$AI$1201,1))</f>
        <v/>
      </c>
      <c r="I112" s="45" t="str">
        <f>IF(OR($B112="",$D112=0),"",SUMIFS(Data!$N$2:$N$1201,Data!$S$2:$S$1201,$B112,Data!$AI$2:$AI$1201,1)/60/$D112)</f>
        <v/>
      </c>
      <c r="J112" s="48" t="str">
        <f>IF($B112="","",SUMIFS(Data!$AH$2:$AH$1201,Data!$S$2:$S$1201,$B112))</f>
        <v/>
      </c>
    </row>
    <row r="113" spans="2:10" x14ac:dyDescent="0.25">
      <c r="B113" s="51" t="str">
        <f>IFERROR(SMALL(Rhythm!$Z$8:$Z$207,104),"")</f>
        <v/>
      </c>
      <c r="C113" s="42" t="str">
        <f t="shared" si="6"/>
        <v/>
      </c>
      <c r="D113" s="53" t="str">
        <f>IF($B113="","",SUMIFS(Data!$N$2:$N$1201,Data!$S$2:$S$1201,$B113)/60)</f>
        <v/>
      </c>
      <c r="E113" s="47" t="str">
        <f>IF($B113="","",COUNTIFS(Data!$S$2:$S$1201,$B113,Data!$E$2:$E$1201,"timed"))</f>
        <v/>
      </c>
      <c r="F113" s="56" t="str">
        <f>IF($B113="","",SUMIFS(Data!$AG$2:$AG$1201,Data!$S$2:$S$1201,$B113))</f>
        <v/>
      </c>
      <c r="G113" s="54" t="str">
        <f t="shared" si="7"/>
        <v/>
      </c>
      <c r="H113" s="47" t="str">
        <f>IF($B113="","",COUNTIFS(Data!$S$2:$S$1201,$B113,Data!$AI$2:$AI$1201,1))</f>
        <v/>
      </c>
      <c r="I113" s="45" t="str">
        <f>IF(OR($B113="",$D113=0),"",SUMIFS(Data!$N$2:$N$1201,Data!$S$2:$S$1201,$B113,Data!$AI$2:$AI$1201,1)/60/$D113)</f>
        <v/>
      </c>
      <c r="J113" s="48" t="str">
        <f>IF($B113="","",SUMIFS(Data!$AH$2:$AH$1201,Data!$S$2:$S$1201,$B113))</f>
        <v/>
      </c>
    </row>
    <row r="114" spans="2:10" x14ac:dyDescent="0.25">
      <c r="B114" s="51" t="str">
        <f>IFERROR(SMALL(Rhythm!$Z$8:$Z$207,105),"")</f>
        <v/>
      </c>
      <c r="C114" s="42" t="str">
        <f t="shared" si="6"/>
        <v/>
      </c>
      <c r="D114" s="53" t="str">
        <f>IF($B114="","",SUMIFS(Data!$N$2:$N$1201,Data!$S$2:$S$1201,$B114)/60)</f>
        <v/>
      </c>
      <c r="E114" s="47" t="str">
        <f>IF($B114="","",COUNTIFS(Data!$S$2:$S$1201,$B114,Data!$E$2:$E$1201,"timed"))</f>
        <v/>
      </c>
      <c r="F114" s="56" t="str">
        <f>IF($B114="","",SUMIFS(Data!$AG$2:$AG$1201,Data!$S$2:$S$1201,$B114))</f>
        <v/>
      </c>
      <c r="G114" s="54" t="str">
        <f t="shared" si="7"/>
        <v/>
      </c>
      <c r="H114" s="47" t="str">
        <f>IF($B114="","",COUNTIFS(Data!$S$2:$S$1201,$B114,Data!$AI$2:$AI$1201,1))</f>
        <v/>
      </c>
      <c r="I114" s="45" t="str">
        <f>IF(OR($B114="",$D114=0),"",SUMIFS(Data!$N$2:$N$1201,Data!$S$2:$S$1201,$B114,Data!$AI$2:$AI$1201,1)/60/$D114)</f>
        <v/>
      </c>
      <c r="J114" s="48" t="str">
        <f>IF($B114="","",SUMIFS(Data!$AH$2:$AH$1201,Data!$S$2:$S$1201,$B114))</f>
        <v/>
      </c>
    </row>
    <row r="115" spans="2:10" x14ac:dyDescent="0.25">
      <c r="B115" s="51" t="str">
        <f>IFERROR(SMALL(Rhythm!$Z$8:$Z$207,106),"")</f>
        <v/>
      </c>
      <c r="C115" s="42" t="str">
        <f t="shared" si="6"/>
        <v/>
      </c>
      <c r="D115" s="53" t="str">
        <f>IF($B115="","",SUMIFS(Data!$N$2:$N$1201,Data!$S$2:$S$1201,$B115)/60)</f>
        <v/>
      </c>
      <c r="E115" s="47" t="str">
        <f>IF($B115="","",COUNTIFS(Data!$S$2:$S$1201,$B115,Data!$E$2:$E$1201,"timed"))</f>
        <v/>
      </c>
      <c r="F115" s="56" t="str">
        <f>IF($B115="","",SUMIFS(Data!$AG$2:$AG$1201,Data!$S$2:$S$1201,$B115))</f>
        <v/>
      </c>
      <c r="G115" s="54" t="str">
        <f t="shared" si="7"/>
        <v/>
      </c>
      <c r="H115" s="47" t="str">
        <f>IF($B115="","",COUNTIFS(Data!$S$2:$S$1201,$B115,Data!$AI$2:$AI$1201,1))</f>
        <v/>
      </c>
      <c r="I115" s="45" t="str">
        <f>IF(OR($B115="",$D115=0),"",SUMIFS(Data!$N$2:$N$1201,Data!$S$2:$S$1201,$B115,Data!$AI$2:$AI$1201,1)/60/$D115)</f>
        <v/>
      </c>
      <c r="J115" s="48" t="str">
        <f>IF($B115="","",SUMIFS(Data!$AH$2:$AH$1201,Data!$S$2:$S$1201,$B115))</f>
        <v/>
      </c>
    </row>
    <row r="116" spans="2:10" x14ac:dyDescent="0.25">
      <c r="B116" s="51" t="str">
        <f>IFERROR(SMALL(Rhythm!$Z$8:$Z$207,107),"")</f>
        <v/>
      </c>
      <c r="C116" s="42" t="str">
        <f t="shared" si="6"/>
        <v/>
      </c>
      <c r="D116" s="53" t="str">
        <f>IF($B116="","",SUMIFS(Data!$N$2:$N$1201,Data!$S$2:$S$1201,$B116)/60)</f>
        <v/>
      </c>
      <c r="E116" s="47" t="str">
        <f>IF($B116="","",COUNTIFS(Data!$S$2:$S$1201,$B116,Data!$E$2:$E$1201,"timed"))</f>
        <v/>
      </c>
      <c r="F116" s="56" t="str">
        <f>IF($B116="","",SUMIFS(Data!$AG$2:$AG$1201,Data!$S$2:$S$1201,$B116))</f>
        <v/>
      </c>
      <c r="G116" s="54" t="str">
        <f t="shared" si="7"/>
        <v/>
      </c>
      <c r="H116" s="47" t="str">
        <f>IF($B116="","",COUNTIFS(Data!$S$2:$S$1201,$B116,Data!$AI$2:$AI$1201,1))</f>
        <v/>
      </c>
      <c r="I116" s="45" t="str">
        <f>IF(OR($B116="",$D116=0),"",SUMIFS(Data!$N$2:$N$1201,Data!$S$2:$S$1201,$B116,Data!$AI$2:$AI$1201,1)/60/$D116)</f>
        <v/>
      </c>
      <c r="J116" s="48" t="str">
        <f>IF($B116="","",SUMIFS(Data!$AH$2:$AH$1201,Data!$S$2:$S$1201,$B116))</f>
        <v/>
      </c>
    </row>
    <row r="117" spans="2:10" x14ac:dyDescent="0.25">
      <c r="B117" s="51" t="str">
        <f>IFERROR(SMALL(Rhythm!$Z$8:$Z$207,108),"")</f>
        <v/>
      </c>
      <c r="C117" s="42" t="str">
        <f t="shared" si="6"/>
        <v/>
      </c>
      <c r="D117" s="53" t="str">
        <f>IF($B117="","",SUMIFS(Data!$N$2:$N$1201,Data!$S$2:$S$1201,$B117)/60)</f>
        <v/>
      </c>
      <c r="E117" s="47" t="str">
        <f>IF($B117="","",COUNTIFS(Data!$S$2:$S$1201,$B117,Data!$E$2:$E$1201,"timed"))</f>
        <v/>
      </c>
      <c r="F117" s="56" t="str">
        <f>IF($B117="","",SUMIFS(Data!$AG$2:$AG$1201,Data!$S$2:$S$1201,$B117))</f>
        <v/>
      </c>
      <c r="G117" s="54" t="str">
        <f t="shared" si="7"/>
        <v/>
      </c>
      <c r="H117" s="47" t="str">
        <f>IF($B117="","",COUNTIFS(Data!$S$2:$S$1201,$B117,Data!$AI$2:$AI$1201,1))</f>
        <v/>
      </c>
      <c r="I117" s="45" t="str">
        <f>IF(OR($B117="",$D117=0),"",SUMIFS(Data!$N$2:$N$1201,Data!$S$2:$S$1201,$B117,Data!$AI$2:$AI$1201,1)/60/$D117)</f>
        <v/>
      </c>
      <c r="J117" s="48" t="str">
        <f>IF($B117="","",SUMIFS(Data!$AH$2:$AH$1201,Data!$S$2:$S$1201,$B117))</f>
        <v/>
      </c>
    </row>
    <row r="118" spans="2:10" x14ac:dyDescent="0.25">
      <c r="B118" s="51" t="str">
        <f>IFERROR(SMALL(Rhythm!$Z$8:$Z$207,109),"")</f>
        <v/>
      </c>
      <c r="C118" s="42" t="str">
        <f t="shared" si="6"/>
        <v/>
      </c>
      <c r="D118" s="53" t="str">
        <f>IF($B118="","",SUMIFS(Data!$N$2:$N$1201,Data!$S$2:$S$1201,$B118)/60)</f>
        <v/>
      </c>
      <c r="E118" s="47" t="str">
        <f>IF($B118="","",COUNTIFS(Data!$S$2:$S$1201,$B118,Data!$E$2:$E$1201,"timed"))</f>
        <v/>
      </c>
      <c r="F118" s="56" t="str">
        <f>IF($B118="","",SUMIFS(Data!$AG$2:$AG$1201,Data!$S$2:$S$1201,$B118))</f>
        <v/>
      </c>
      <c r="G118" s="54" t="str">
        <f t="shared" si="7"/>
        <v/>
      </c>
      <c r="H118" s="47" t="str">
        <f>IF($B118="","",COUNTIFS(Data!$S$2:$S$1201,$B118,Data!$AI$2:$AI$1201,1))</f>
        <v/>
      </c>
      <c r="I118" s="45" t="str">
        <f>IF(OR($B118="",$D118=0),"",SUMIFS(Data!$N$2:$N$1201,Data!$S$2:$S$1201,$B118,Data!$AI$2:$AI$1201,1)/60/$D118)</f>
        <v/>
      </c>
      <c r="J118" s="48" t="str">
        <f>IF($B118="","",SUMIFS(Data!$AH$2:$AH$1201,Data!$S$2:$S$1201,$B118))</f>
        <v/>
      </c>
    </row>
    <row r="119" spans="2:10" x14ac:dyDescent="0.25">
      <c r="B119" s="51" t="str">
        <f>IFERROR(SMALL(Rhythm!$Z$8:$Z$207,110),"")</f>
        <v/>
      </c>
      <c r="C119" s="42" t="str">
        <f t="shared" si="6"/>
        <v/>
      </c>
      <c r="D119" s="53" t="str">
        <f>IF($B119="","",SUMIFS(Data!$N$2:$N$1201,Data!$S$2:$S$1201,$B119)/60)</f>
        <v/>
      </c>
      <c r="E119" s="47" t="str">
        <f>IF($B119="","",COUNTIFS(Data!$S$2:$S$1201,$B119,Data!$E$2:$E$1201,"timed"))</f>
        <v/>
      </c>
      <c r="F119" s="56" t="str">
        <f>IF($B119="","",SUMIFS(Data!$AG$2:$AG$1201,Data!$S$2:$S$1201,$B119))</f>
        <v/>
      </c>
      <c r="G119" s="54" t="str">
        <f t="shared" si="7"/>
        <v/>
      </c>
      <c r="H119" s="47" t="str">
        <f>IF($B119="","",COUNTIFS(Data!$S$2:$S$1201,$B119,Data!$AI$2:$AI$1201,1))</f>
        <v/>
      </c>
      <c r="I119" s="45" t="str">
        <f>IF(OR($B119="",$D119=0),"",SUMIFS(Data!$N$2:$N$1201,Data!$S$2:$S$1201,$B119,Data!$AI$2:$AI$1201,1)/60/$D119)</f>
        <v/>
      </c>
      <c r="J119" s="48" t="str">
        <f>IF($B119="","",SUMIFS(Data!$AH$2:$AH$1201,Data!$S$2:$S$1201,$B119))</f>
        <v/>
      </c>
    </row>
    <row r="120" spans="2:10" x14ac:dyDescent="0.25">
      <c r="B120" s="51" t="str">
        <f>IFERROR(SMALL(Rhythm!$Z$8:$Z$207,111),"")</f>
        <v/>
      </c>
      <c r="C120" s="42" t="str">
        <f t="shared" si="6"/>
        <v/>
      </c>
      <c r="D120" s="53" t="str">
        <f>IF($B120="","",SUMIFS(Data!$N$2:$N$1201,Data!$S$2:$S$1201,$B120)/60)</f>
        <v/>
      </c>
      <c r="E120" s="47" t="str">
        <f>IF($B120="","",COUNTIFS(Data!$S$2:$S$1201,$B120,Data!$E$2:$E$1201,"timed"))</f>
        <v/>
      </c>
      <c r="F120" s="56" t="str">
        <f>IF($B120="","",SUMIFS(Data!$AG$2:$AG$1201,Data!$S$2:$S$1201,$B120))</f>
        <v/>
      </c>
      <c r="G120" s="54" t="str">
        <f t="shared" si="7"/>
        <v/>
      </c>
      <c r="H120" s="47" t="str">
        <f>IF($B120="","",COUNTIFS(Data!$S$2:$S$1201,$B120,Data!$AI$2:$AI$1201,1))</f>
        <v/>
      </c>
      <c r="I120" s="45" t="str">
        <f>IF(OR($B120="",$D120=0),"",SUMIFS(Data!$N$2:$N$1201,Data!$S$2:$S$1201,$B120,Data!$AI$2:$AI$1201,1)/60/$D120)</f>
        <v/>
      </c>
      <c r="J120" s="48" t="str">
        <f>IF($B120="","",SUMIFS(Data!$AH$2:$AH$1201,Data!$S$2:$S$1201,$B120))</f>
        <v/>
      </c>
    </row>
    <row r="121" spans="2:10" x14ac:dyDescent="0.25">
      <c r="B121" s="51" t="str">
        <f>IFERROR(SMALL(Rhythm!$Z$8:$Z$207,112),"")</f>
        <v/>
      </c>
      <c r="C121" s="42" t="str">
        <f t="shared" si="6"/>
        <v/>
      </c>
      <c r="D121" s="53" t="str">
        <f>IF($B121="","",SUMIFS(Data!$N$2:$N$1201,Data!$S$2:$S$1201,$B121)/60)</f>
        <v/>
      </c>
      <c r="E121" s="47" t="str">
        <f>IF($B121="","",COUNTIFS(Data!$S$2:$S$1201,$B121,Data!$E$2:$E$1201,"timed"))</f>
        <v/>
      </c>
      <c r="F121" s="56" t="str">
        <f>IF($B121="","",SUMIFS(Data!$AG$2:$AG$1201,Data!$S$2:$S$1201,$B121))</f>
        <v/>
      </c>
      <c r="G121" s="54" t="str">
        <f t="shared" si="7"/>
        <v/>
      </c>
      <c r="H121" s="47" t="str">
        <f>IF($B121="","",COUNTIFS(Data!$S$2:$S$1201,$B121,Data!$AI$2:$AI$1201,1))</f>
        <v/>
      </c>
      <c r="I121" s="45" t="str">
        <f>IF(OR($B121="",$D121=0),"",SUMIFS(Data!$N$2:$N$1201,Data!$S$2:$S$1201,$B121,Data!$AI$2:$AI$1201,1)/60/$D121)</f>
        <v/>
      </c>
      <c r="J121" s="48" t="str">
        <f>IF($B121="","",SUMIFS(Data!$AH$2:$AH$1201,Data!$S$2:$S$1201,$B121))</f>
        <v/>
      </c>
    </row>
    <row r="122" spans="2:10" x14ac:dyDescent="0.25">
      <c r="B122" s="51" t="str">
        <f>IFERROR(SMALL(Rhythm!$Z$8:$Z$207,113),"")</f>
        <v/>
      </c>
      <c r="C122" s="42" t="str">
        <f t="shared" si="6"/>
        <v/>
      </c>
      <c r="D122" s="53" t="str">
        <f>IF($B122="","",SUMIFS(Data!$N$2:$N$1201,Data!$S$2:$S$1201,$B122)/60)</f>
        <v/>
      </c>
      <c r="E122" s="47" t="str">
        <f>IF($B122="","",COUNTIFS(Data!$S$2:$S$1201,$B122,Data!$E$2:$E$1201,"timed"))</f>
        <v/>
      </c>
      <c r="F122" s="56" t="str">
        <f>IF($B122="","",SUMIFS(Data!$AG$2:$AG$1201,Data!$S$2:$S$1201,$B122))</f>
        <v/>
      </c>
      <c r="G122" s="54" t="str">
        <f t="shared" si="7"/>
        <v/>
      </c>
      <c r="H122" s="47" t="str">
        <f>IF($B122="","",COUNTIFS(Data!$S$2:$S$1201,$B122,Data!$AI$2:$AI$1201,1))</f>
        <v/>
      </c>
      <c r="I122" s="45" t="str">
        <f>IF(OR($B122="",$D122=0),"",SUMIFS(Data!$N$2:$N$1201,Data!$S$2:$S$1201,$B122,Data!$AI$2:$AI$1201,1)/60/$D122)</f>
        <v/>
      </c>
      <c r="J122" s="48" t="str">
        <f>IF($B122="","",SUMIFS(Data!$AH$2:$AH$1201,Data!$S$2:$S$1201,$B122))</f>
        <v/>
      </c>
    </row>
    <row r="123" spans="2:10" x14ac:dyDescent="0.25">
      <c r="B123" s="51" t="str">
        <f>IFERROR(SMALL(Rhythm!$Z$8:$Z$207,114),"")</f>
        <v/>
      </c>
      <c r="C123" s="42" t="str">
        <f t="shared" si="6"/>
        <v/>
      </c>
      <c r="D123" s="53" t="str">
        <f>IF($B123="","",SUMIFS(Data!$N$2:$N$1201,Data!$S$2:$S$1201,$B123)/60)</f>
        <v/>
      </c>
      <c r="E123" s="47" t="str">
        <f>IF($B123="","",COUNTIFS(Data!$S$2:$S$1201,$B123,Data!$E$2:$E$1201,"timed"))</f>
        <v/>
      </c>
      <c r="F123" s="56" t="str">
        <f>IF($B123="","",SUMIFS(Data!$AG$2:$AG$1201,Data!$S$2:$S$1201,$B123))</f>
        <v/>
      </c>
      <c r="G123" s="54" t="str">
        <f t="shared" si="7"/>
        <v/>
      </c>
      <c r="H123" s="47" t="str">
        <f>IF($B123="","",COUNTIFS(Data!$S$2:$S$1201,$B123,Data!$AI$2:$AI$1201,1))</f>
        <v/>
      </c>
      <c r="I123" s="45" t="str">
        <f>IF(OR($B123="",$D123=0),"",SUMIFS(Data!$N$2:$N$1201,Data!$S$2:$S$1201,$B123,Data!$AI$2:$AI$1201,1)/60/$D123)</f>
        <v/>
      </c>
      <c r="J123" s="48" t="str">
        <f>IF($B123="","",SUMIFS(Data!$AH$2:$AH$1201,Data!$S$2:$S$1201,$B123))</f>
        <v/>
      </c>
    </row>
    <row r="124" spans="2:10" x14ac:dyDescent="0.25">
      <c r="B124" s="51" t="str">
        <f>IFERROR(SMALL(Rhythm!$Z$8:$Z$207,115),"")</f>
        <v/>
      </c>
      <c r="C124" s="42" t="str">
        <f t="shared" si="6"/>
        <v/>
      </c>
      <c r="D124" s="53" t="str">
        <f>IF($B124="","",SUMIFS(Data!$N$2:$N$1201,Data!$S$2:$S$1201,$B124)/60)</f>
        <v/>
      </c>
      <c r="E124" s="47" t="str">
        <f>IF($B124="","",COUNTIFS(Data!$S$2:$S$1201,$B124,Data!$E$2:$E$1201,"timed"))</f>
        <v/>
      </c>
      <c r="F124" s="56" t="str">
        <f>IF($B124="","",SUMIFS(Data!$AG$2:$AG$1201,Data!$S$2:$S$1201,$B124))</f>
        <v/>
      </c>
      <c r="G124" s="54" t="str">
        <f t="shared" si="7"/>
        <v/>
      </c>
      <c r="H124" s="47" t="str">
        <f>IF($B124="","",COUNTIFS(Data!$S$2:$S$1201,$B124,Data!$AI$2:$AI$1201,1))</f>
        <v/>
      </c>
      <c r="I124" s="45" t="str">
        <f>IF(OR($B124="",$D124=0),"",SUMIFS(Data!$N$2:$N$1201,Data!$S$2:$S$1201,$B124,Data!$AI$2:$AI$1201,1)/60/$D124)</f>
        <v/>
      </c>
      <c r="J124" s="48" t="str">
        <f>IF($B124="","",SUMIFS(Data!$AH$2:$AH$1201,Data!$S$2:$S$1201,$B124))</f>
        <v/>
      </c>
    </row>
    <row r="125" spans="2:10" x14ac:dyDescent="0.25">
      <c r="B125" s="51" t="str">
        <f>IFERROR(SMALL(Rhythm!$Z$8:$Z$207,116),"")</f>
        <v/>
      </c>
      <c r="C125" s="42" t="str">
        <f t="shared" si="6"/>
        <v/>
      </c>
      <c r="D125" s="53" t="str">
        <f>IF($B125="","",SUMIFS(Data!$N$2:$N$1201,Data!$S$2:$S$1201,$B125)/60)</f>
        <v/>
      </c>
      <c r="E125" s="47" t="str">
        <f>IF($B125="","",COUNTIFS(Data!$S$2:$S$1201,$B125,Data!$E$2:$E$1201,"timed"))</f>
        <v/>
      </c>
      <c r="F125" s="56" t="str">
        <f>IF($B125="","",SUMIFS(Data!$AG$2:$AG$1201,Data!$S$2:$S$1201,$B125))</f>
        <v/>
      </c>
      <c r="G125" s="54" t="str">
        <f t="shared" si="7"/>
        <v/>
      </c>
      <c r="H125" s="47" t="str">
        <f>IF($B125="","",COUNTIFS(Data!$S$2:$S$1201,$B125,Data!$AI$2:$AI$1201,1))</f>
        <v/>
      </c>
      <c r="I125" s="45" t="str">
        <f>IF(OR($B125="",$D125=0),"",SUMIFS(Data!$N$2:$N$1201,Data!$S$2:$S$1201,$B125,Data!$AI$2:$AI$1201,1)/60/$D125)</f>
        <v/>
      </c>
      <c r="J125" s="48" t="str">
        <f>IF($B125="","",SUMIFS(Data!$AH$2:$AH$1201,Data!$S$2:$S$1201,$B125))</f>
        <v/>
      </c>
    </row>
    <row r="126" spans="2:10" x14ac:dyDescent="0.25">
      <c r="B126" s="51" t="str">
        <f>IFERROR(SMALL(Rhythm!$Z$8:$Z$207,117),"")</f>
        <v/>
      </c>
      <c r="C126" s="42" t="str">
        <f t="shared" si="6"/>
        <v/>
      </c>
      <c r="D126" s="53" t="str">
        <f>IF($B126="","",SUMIFS(Data!$N$2:$N$1201,Data!$S$2:$S$1201,$B126)/60)</f>
        <v/>
      </c>
      <c r="E126" s="47" t="str">
        <f>IF($B126="","",COUNTIFS(Data!$S$2:$S$1201,$B126,Data!$E$2:$E$1201,"timed"))</f>
        <v/>
      </c>
      <c r="F126" s="56" t="str">
        <f>IF($B126="","",SUMIFS(Data!$AG$2:$AG$1201,Data!$S$2:$S$1201,$B126))</f>
        <v/>
      </c>
      <c r="G126" s="54" t="str">
        <f t="shared" si="7"/>
        <v/>
      </c>
      <c r="H126" s="47" t="str">
        <f>IF($B126="","",COUNTIFS(Data!$S$2:$S$1201,$B126,Data!$AI$2:$AI$1201,1))</f>
        <v/>
      </c>
      <c r="I126" s="45" t="str">
        <f>IF(OR($B126="",$D126=0),"",SUMIFS(Data!$N$2:$N$1201,Data!$S$2:$S$1201,$B126,Data!$AI$2:$AI$1201,1)/60/$D126)</f>
        <v/>
      </c>
      <c r="J126" s="48" t="str">
        <f>IF($B126="","",SUMIFS(Data!$AH$2:$AH$1201,Data!$S$2:$S$1201,$B126))</f>
        <v/>
      </c>
    </row>
    <row r="127" spans="2:10" x14ac:dyDescent="0.25">
      <c r="B127" s="51" t="str">
        <f>IFERROR(SMALL(Rhythm!$Z$8:$Z$207,118),"")</f>
        <v/>
      </c>
      <c r="C127" s="42" t="str">
        <f t="shared" si="6"/>
        <v/>
      </c>
      <c r="D127" s="53" t="str">
        <f>IF($B127="","",SUMIFS(Data!$N$2:$N$1201,Data!$S$2:$S$1201,$B127)/60)</f>
        <v/>
      </c>
      <c r="E127" s="47" t="str">
        <f>IF($B127="","",COUNTIFS(Data!$S$2:$S$1201,$B127,Data!$E$2:$E$1201,"timed"))</f>
        <v/>
      </c>
      <c r="F127" s="56" t="str">
        <f>IF($B127="","",SUMIFS(Data!$AG$2:$AG$1201,Data!$S$2:$S$1201,$B127))</f>
        <v/>
      </c>
      <c r="G127" s="54" t="str">
        <f t="shared" si="7"/>
        <v/>
      </c>
      <c r="H127" s="47" t="str">
        <f>IF($B127="","",COUNTIFS(Data!$S$2:$S$1201,$B127,Data!$AI$2:$AI$1201,1))</f>
        <v/>
      </c>
      <c r="I127" s="45" t="str">
        <f>IF(OR($B127="",$D127=0),"",SUMIFS(Data!$N$2:$N$1201,Data!$S$2:$S$1201,$B127,Data!$AI$2:$AI$1201,1)/60/$D127)</f>
        <v/>
      </c>
      <c r="J127" s="48" t="str">
        <f>IF($B127="","",SUMIFS(Data!$AH$2:$AH$1201,Data!$S$2:$S$1201,$B127))</f>
        <v/>
      </c>
    </row>
    <row r="128" spans="2:10" x14ac:dyDescent="0.25">
      <c r="B128" s="51" t="str">
        <f>IFERROR(SMALL(Rhythm!$Z$8:$Z$207,119),"")</f>
        <v/>
      </c>
      <c r="C128" s="42" t="str">
        <f t="shared" si="6"/>
        <v/>
      </c>
      <c r="D128" s="53" t="str">
        <f>IF($B128="","",SUMIFS(Data!$N$2:$N$1201,Data!$S$2:$S$1201,$B128)/60)</f>
        <v/>
      </c>
      <c r="E128" s="47" t="str">
        <f>IF($B128="","",COUNTIFS(Data!$S$2:$S$1201,$B128,Data!$E$2:$E$1201,"timed"))</f>
        <v/>
      </c>
      <c r="F128" s="56" t="str">
        <f>IF($B128="","",SUMIFS(Data!$AG$2:$AG$1201,Data!$S$2:$S$1201,$B128))</f>
        <v/>
      </c>
      <c r="G128" s="54" t="str">
        <f t="shared" si="7"/>
        <v/>
      </c>
      <c r="H128" s="47" t="str">
        <f>IF($B128="","",COUNTIFS(Data!$S$2:$S$1201,$B128,Data!$AI$2:$AI$1201,1))</f>
        <v/>
      </c>
      <c r="I128" s="45" t="str">
        <f>IF(OR($B128="",$D128=0),"",SUMIFS(Data!$N$2:$N$1201,Data!$S$2:$S$1201,$B128,Data!$AI$2:$AI$1201,1)/60/$D128)</f>
        <v/>
      </c>
      <c r="J128" s="48" t="str">
        <f>IF($B128="","",SUMIFS(Data!$AH$2:$AH$1201,Data!$S$2:$S$1201,$B128))</f>
        <v/>
      </c>
    </row>
    <row r="129" spans="2:10" x14ac:dyDescent="0.25">
      <c r="B129" s="51" t="str">
        <f>IFERROR(SMALL(Rhythm!$Z$8:$Z$207,120),"")</f>
        <v/>
      </c>
      <c r="C129" s="42" t="str">
        <f t="shared" si="6"/>
        <v/>
      </c>
      <c r="D129" s="53" t="str">
        <f>IF($B129="","",SUMIFS(Data!$N$2:$N$1201,Data!$S$2:$S$1201,$B129)/60)</f>
        <v/>
      </c>
      <c r="E129" s="47" t="str">
        <f>IF($B129="","",COUNTIFS(Data!$S$2:$S$1201,$B129,Data!$E$2:$E$1201,"timed"))</f>
        <v/>
      </c>
      <c r="F129" s="56" t="str">
        <f>IF($B129="","",SUMIFS(Data!$AG$2:$AG$1201,Data!$S$2:$S$1201,$B129))</f>
        <v/>
      </c>
      <c r="G129" s="54" t="str">
        <f t="shared" si="7"/>
        <v/>
      </c>
      <c r="H129" s="47" t="str">
        <f>IF($B129="","",COUNTIFS(Data!$S$2:$S$1201,$B129,Data!$AI$2:$AI$1201,1))</f>
        <v/>
      </c>
      <c r="I129" s="45" t="str">
        <f>IF(OR($B129="",$D129=0),"",SUMIFS(Data!$N$2:$N$1201,Data!$S$2:$S$1201,$B129,Data!$AI$2:$AI$1201,1)/60/$D129)</f>
        <v/>
      </c>
      <c r="J129" s="48" t="str">
        <f>IF($B129="","",SUMIFS(Data!$AH$2:$AH$1201,Data!$S$2:$S$1201,$B129))</f>
        <v/>
      </c>
    </row>
    <row r="130" spans="2:10" x14ac:dyDescent="0.25">
      <c r="B130" s="51" t="str">
        <f>IFERROR(SMALL(Rhythm!$Z$8:$Z$207,121),"")</f>
        <v/>
      </c>
      <c r="C130" s="42" t="str">
        <f t="shared" si="6"/>
        <v/>
      </c>
      <c r="D130" s="53" t="str">
        <f>IF($B130="","",SUMIFS(Data!$N$2:$N$1201,Data!$S$2:$S$1201,$B130)/60)</f>
        <v/>
      </c>
      <c r="E130" s="47" t="str">
        <f>IF($B130="","",COUNTIFS(Data!$S$2:$S$1201,$B130,Data!$E$2:$E$1201,"timed"))</f>
        <v/>
      </c>
      <c r="F130" s="56" t="str">
        <f>IF($B130="","",SUMIFS(Data!$AG$2:$AG$1201,Data!$S$2:$S$1201,$B130))</f>
        <v/>
      </c>
      <c r="G130" s="54" t="str">
        <f t="shared" si="7"/>
        <v/>
      </c>
      <c r="H130" s="47" t="str">
        <f>IF($B130="","",COUNTIFS(Data!$S$2:$S$1201,$B130,Data!$AI$2:$AI$1201,1))</f>
        <v/>
      </c>
      <c r="I130" s="45" t="str">
        <f>IF(OR($B130="",$D130=0),"",SUMIFS(Data!$N$2:$N$1201,Data!$S$2:$S$1201,$B130,Data!$AI$2:$AI$1201,1)/60/$D130)</f>
        <v/>
      </c>
      <c r="J130" s="48" t="str">
        <f>IF($B130="","",SUMIFS(Data!$AH$2:$AH$1201,Data!$S$2:$S$1201,$B130))</f>
        <v/>
      </c>
    </row>
    <row r="131" spans="2:10" x14ac:dyDescent="0.25">
      <c r="B131" s="51" t="str">
        <f>IFERROR(SMALL(Rhythm!$Z$8:$Z$207,122),"")</f>
        <v/>
      </c>
      <c r="C131" s="42" t="str">
        <f t="shared" si="6"/>
        <v/>
      </c>
      <c r="D131" s="53" t="str">
        <f>IF($B131="","",SUMIFS(Data!$N$2:$N$1201,Data!$S$2:$S$1201,$B131)/60)</f>
        <v/>
      </c>
      <c r="E131" s="47" t="str">
        <f>IF($B131="","",COUNTIFS(Data!$S$2:$S$1201,$B131,Data!$E$2:$E$1201,"timed"))</f>
        <v/>
      </c>
      <c r="F131" s="56" t="str">
        <f>IF($B131="","",SUMIFS(Data!$AG$2:$AG$1201,Data!$S$2:$S$1201,$B131))</f>
        <v/>
      </c>
      <c r="G131" s="54" t="str">
        <f t="shared" si="7"/>
        <v/>
      </c>
      <c r="H131" s="47" t="str">
        <f>IF($B131="","",COUNTIFS(Data!$S$2:$S$1201,$B131,Data!$AI$2:$AI$1201,1))</f>
        <v/>
      </c>
      <c r="I131" s="45" t="str">
        <f>IF(OR($B131="",$D131=0),"",SUMIFS(Data!$N$2:$N$1201,Data!$S$2:$S$1201,$B131,Data!$AI$2:$AI$1201,1)/60/$D131)</f>
        <v/>
      </c>
      <c r="J131" s="48" t="str">
        <f>IF($B131="","",SUMIFS(Data!$AH$2:$AH$1201,Data!$S$2:$S$1201,$B131))</f>
        <v/>
      </c>
    </row>
    <row r="132" spans="2:10" x14ac:dyDescent="0.25">
      <c r="B132" s="51" t="str">
        <f>IFERROR(SMALL(Rhythm!$Z$8:$Z$207,123),"")</f>
        <v/>
      </c>
      <c r="C132" s="42" t="str">
        <f t="shared" si="6"/>
        <v/>
      </c>
      <c r="D132" s="53" t="str">
        <f>IF($B132="","",SUMIFS(Data!$N$2:$N$1201,Data!$S$2:$S$1201,$B132)/60)</f>
        <v/>
      </c>
      <c r="E132" s="47" t="str">
        <f>IF($B132="","",COUNTIFS(Data!$S$2:$S$1201,$B132,Data!$E$2:$E$1201,"timed"))</f>
        <v/>
      </c>
      <c r="F132" s="56" t="str">
        <f>IF($B132="","",SUMIFS(Data!$AG$2:$AG$1201,Data!$S$2:$S$1201,$B132))</f>
        <v/>
      </c>
      <c r="G132" s="54" t="str">
        <f t="shared" si="7"/>
        <v/>
      </c>
      <c r="H132" s="47" t="str">
        <f>IF($B132="","",COUNTIFS(Data!$S$2:$S$1201,$B132,Data!$AI$2:$AI$1201,1))</f>
        <v/>
      </c>
      <c r="I132" s="45" t="str">
        <f>IF(OR($B132="",$D132=0),"",SUMIFS(Data!$N$2:$N$1201,Data!$S$2:$S$1201,$B132,Data!$AI$2:$AI$1201,1)/60/$D132)</f>
        <v/>
      </c>
      <c r="J132" s="48" t="str">
        <f>IF($B132="","",SUMIFS(Data!$AH$2:$AH$1201,Data!$S$2:$S$1201,$B132))</f>
        <v/>
      </c>
    </row>
    <row r="133" spans="2:10" x14ac:dyDescent="0.25">
      <c r="B133" s="51" t="str">
        <f>IFERROR(SMALL(Rhythm!$Z$8:$Z$207,124),"")</f>
        <v/>
      </c>
      <c r="C133" s="42" t="str">
        <f t="shared" si="6"/>
        <v/>
      </c>
      <c r="D133" s="53" t="str">
        <f>IF($B133="","",SUMIFS(Data!$N$2:$N$1201,Data!$S$2:$S$1201,$B133)/60)</f>
        <v/>
      </c>
      <c r="E133" s="47" t="str">
        <f>IF($B133="","",COUNTIFS(Data!$S$2:$S$1201,$B133,Data!$E$2:$E$1201,"timed"))</f>
        <v/>
      </c>
      <c r="F133" s="56" t="str">
        <f>IF($B133="","",SUMIFS(Data!$AG$2:$AG$1201,Data!$S$2:$S$1201,$B133))</f>
        <v/>
      </c>
      <c r="G133" s="54" t="str">
        <f t="shared" si="7"/>
        <v/>
      </c>
      <c r="H133" s="47" t="str">
        <f>IF($B133="","",COUNTIFS(Data!$S$2:$S$1201,$B133,Data!$AI$2:$AI$1201,1))</f>
        <v/>
      </c>
      <c r="I133" s="45" t="str">
        <f>IF(OR($B133="",$D133=0),"",SUMIFS(Data!$N$2:$N$1201,Data!$S$2:$S$1201,$B133,Data!$AI$2:$AI$1201,1)/60/$D133)</f>
        <v/>
      </c>
      <c r="J133" s="48" t="str">
        <f>IF($B133="","",SUMIFS(Data!$AH$2:$AH$1201,Data!$S$2:$S$1201,$B133))</f>
        <v/>
      </c>
    </row>
    <row r="134" spans="2:10" x14ac:dyDescent="0.25">
      <c r="B134" s="51" t="str">
        <f>IFERROR(SMALL(Rhythm!$Z$8:$Z$207,125),"")</f>
        <v/>
      </c>
      <c r="C134" s="42" t="str">
        <f t="shared" si="6"/>
        <v/>
      </c>
      <c r="D134" s="53" t="str">
        <f>IF($B134="","",SUMIFS(Data!$N$2:$N$1201,Data!$S$2:$S$1201,$B134)/60)</f>
        <v/>
      </c>
      <c r="E134" s="47" t="str">
        <f>IF($B134="","",COUNTIFS(Data!$S$2:$S$1201,$B134,Data!$E$2:$E$1201,"timed"))</f>
        <v/>
      </c>
      <c r="F134" s="56" t="str">
        <f>IF($B134="","",SUMIFS(Data!$AG$2:$AG$1201,Data!$S$2:$S$1201,$B134))</f>
        <v/>
      </c>
      <c r="G134" s="54" t="str">
        <f t="shared" si="7"/>
        <v/>
      </c>
      <c r="H134" s="47" t="str">
        <f>IF($B134="","",COUNTIFS(Data!$S$2:$S$1201,$B134,Data!$AI$2:$AI$1201,1))</f>
        <v/>
      </c>
      <c r="I134" s="45" t="str">
        <f>IF(OR($B134="",$D134=0),"",SUMIFS(Data!$N$2:$N$1201,Data!$S$2:$S$1201,$B134,Data!$AI$2:$AI$1201,1)/60/$D134)</f>
        <v/>
      </c>
      <c r="J134" s="48" t="str">
        <f>IF($B134="","",SUMIFS(Data!$AH$2:$AH$1201,Data!$S$2:$S$1201,$B134))</f>
        <v/>
      </c>
    </row>
    <row r="135" spans="2:10" x14ac:dyDescent="0.25">
      <c r="B135" s="51" t="str">
        <f>IFERROR(SMALL(Rhythm!$Z$8:$Z$207,126),"")</f>
        <v/>
      </c>
      <c r="C135" s="42" t="str">
        <f t="shared" si="6"/>
        <v/>
      </c>
      <c r="D135" s="53" t="str">
        <f>IF($B135="","",SUMIFS(Data!$N$2:$N$1201,Data!$S$2:$S$1201,$B135)/60)</f>
        <v/>
      </c>
      <c r="E135" s="47" t="str">
        <f>IF($B135="","",COUNTIFS(Data!$S$2:$S$1201,$B135,Data!$E$2:$E$1201,"timed"))</f>
        <v/>
      </c>
      <c r="F135" s="56" t="str">
        <f>IF($B135="","",SUMIFS(Data!$AG$2:$AG$1201,Data!$S$2:$S$1201,$B135))</f>
        <v/>
      </c>
      <c r="G135" s="54" t="str">
        <f t="shared" si="7"/>
        <v/>
      </c>
      <c r="H135" s="47" t="str">
        <f>IF($B135="","",COUNTIFS(Data!$S$2:$S$1201,$B135,Data!$AI$2:$AI$1201,1))</f>
        <v/>
      </c>
      <c r="I135" s="45" t="str">
        <f>IF(OR($B135="",$D135=0),"",SUMIFS(Data!$N$2:$N$1201,Data!$S$2:$S$1201,$B135,Data!$AI$2:$AI$1201,1)/60/$D135)</f>
        <v/>
      </c>
      <c r="J135" s="48" t="str">
        <f>IF($B135="","",SUMIFS(Data!$AH$2:$AH$1201,Data!$S$2:$S$1201,$B135))</f>
        <v/>
      </c>
    </row>
    <row r="136" spans="2:10" x14ac:dyDescent="0.25">
      <c r="B136" s="51" t="str">
        <f>IFERROR(SMALL(Rhythm!$Z$8:$Z$207,127),"")</f>
        <v/>
      </c>
      <c r="C136" s="42" t="str">
        <f t="shared" si="6"/>
        <v/>
      </c>
      <c r="D136" s="53" t="str">
        <f>IF($B136="","",SUMIFS(Data!$N$2:$N$1201,Data!$S$2:$S$1201,$B136)/60)</f>
        <v/>
      </c>
      <c r="E136" s="47" t="str">
        <f>IF($B136="","",COUNTIFS(Data!$S$2:$S$1201,$B136,Data!$E$2:$E$1201,"timed"))</f>
        <v/>
      </c>
      <c r="F136" s="56" t="str">
        <f>IF($B136="","",SUMIFS(Data!$AG$2:$AG$1201,Data!$S$2:$S$1201,$B136))</f>
        <v/>
      </c>
      <c r="G136" s="54" t="str">
        <f t="shared" si="7"/>
        <v/>
      </c>
      <c r="H136" s="47" t="str">
        <f>IF($B136="","",COUNTIFS(Data!$S$2:$S$1201,$B136,Data!$AI$2:$AI$1201,1))</f>
        <v/>
      </c>
      <c r="I136" s="45" t="str">
        <f>IF(OR($B136="",$D136=0),"",SUMIFS(Data!$N$2:$N$1201,Data!$S$2:$S$1201,$B136,Data!$AI$2:$AI$1201,1)/60/$D136)</f>
        <v/>
      </c>
      <c r="J136" s="48" t="str">
        <f>IF($B136="","",SUMIFS(Data!$AH$2:$AH$1201,Data!$S$2:$S$1201,$B136))</f>
        <v/>
      </c>
    </row>
    <row r="137" spans="2:10" x14ac:dyDescent="0.25">
      <c r="B137" s="51" t="str">
        <f>IFERROR(SMALL(Rhythm!$Z$8:$Z$207,128),"")</f>
        <v/>
      </c>
      <c r="C137" s="42" t="str">
        <f t="shared" si="6"/>
        <v/>
      </c>
      <c r="D137" s="53" t="str">
        <f>IF($B137="","",SUMIFS(Data!$N$2:$N$1201,Data!$S$2:$S$1201,$B137)/60)</f>
        <v/>
      </c>
      <c r="E137" s="47" t="str">
        <f>IF($B137="","",COUNTIFS(Data!$S$2:$S$1201,$B137,Data!$E$2:$E$1201,"timed"))</f>
        <v/>
      </c>
      <c r="F137" s="56" t="str">
        <f>IF($B137="","",SUMIFS(Data!$AG$2:$AG$1201,Data!$S$2:$S$1201,$B137))</f>
        <v/>
      </c>
      <c r="G137" s="54" t="str">
        <f t="shared" si="7"/>
        <v/>
      </c>
      <c r="H137" s="47" t="str">
        <f>IF($B137="","",COUNTIFS(Data!$S$2:$S$1201,$B137,Data!$AI$2:$AI$1201,1))</f>
        <v/>
      </c>
      <c r="I137" s="45" t="str">
        <f>IF(OR($B137="",$D137=0),"",SUMIFS(Data!$N$2:$N$1201,Data!$S$2:$S$1201,$B137,Data!$AI$2:$AI$1201,1)/60/$D137)</f>
        <v/>
      </c>
      <c r="J137" s="48" t="str">
        <f>IF($B137="","",SUMIFS(Data!$AH$2:$AH$1201,Data!$S$2:$S$1201,$B137))</f>
        <v/>
      </c>
    </row>
    <row r="138" spans="2:10" x14ac:dyDescent="0.25">
      <c r="B138" s="51" t="str">
        <f>IFERROR(SMALL(Rhythm!$Z$8:$Z$207,129),"")</f>
        <v/>
      </c>
      <c r="C138" s="42" t="str">
        <f t="shared" ref="C138:C169" si="8">IF($B138="","",TEXT($B138,"ddd"))</f>
        <v/>
      </c>
      <c r="D138" s="53" t="str">
        <f>IF($B138="","",SUMIFS(Data!$N$2:$N$1201,Data!$S$2:$S$1201,$B138)/60)</f>
        <v/>
      </c>
      <c r="E138" s="47" t="str">
        <f>IF($B138="","",COUNTIFS(Data!$S$2:$S$1201,$B138,Data!$E$2:$E$1201,"timed"))</f>
        <v/>
      </c>
      <c r="F138" s="56" t="str">
        <f>IF($B138="","",SUMIFS(Data!$AG$2:$AG$1201,Data!$S$2:$S$1201,$B138))</f>
        <v/>
      </c>
      <c r="G138" s="54" t="str">
        <f t="shared" ref="G138:G169" si="9">IF(OR($B138="",$D138=0),"",$F138/$D138)</f>
        <v/>
      </c>
      <c r="H138" s="47" t="str">
        <f>IF($B138="","",COUNTIFS(Data!$S$2:$S$1201,$B138,Data!$AI$2:$AI$1201,1))</f>
        <v/>
      </c>
      <c r="I138" s="45" t="str">
        <f>IF(OR($B138="",$D138=0),"",SUMIFS(Data!$N$2:$N$1201,Data!$S$2:$S$1201,$B138,Data!$AI$2:$AI$1201,1)/60/$D138)</f>
        <v/>
      </c>
      <c r="J138" s="48" t="str">
        <f>IF($B138="","",SUMIFS(Data!$AH$2:$AH$1201,Data!$S$2:$S$1201,$B138))</f>
        <v/>
      </c>
    </row>
    <row r="139" spans="2:10" x14ac:dyDescent="0.25">
      <c r="B139" s="51" t="str">
        <f>IFERROR(SMALL(Rhythm!$Z$8:$Z$207,130),"")</f>
        <v/>
      </c>
      <c r="C139" s="42" t="str">
        <f t="shared" si="8"/>
        <v/>
      </c>
      <c r="D139" s="53" t="str">
        <f>IF($B139="","",SUMIFS(Data!$N$2:$N$1201,Data!$S$2:$S$1201,$B139)/60)</f>
        <v/>
      </c>
      <c r="E139" s="47" t="str">
        <f>IF($B139="","",COUNTIFS(Data!$S$2:$S$1201,$B139,Data!$E$2:$E$1201,"timed"))</f>
        <v/>
      </c>
      <c r="F139" s="56" t="str">
        <f>IF($B139="","",SUMIFS(Data!$AG$2:$AG$1201,Data!$S$2:$S$1201,$B139))</f>
        <v/>
      </c>
      <c r="G139" s="54" t="str">
        <f t="shared" si="9"/>
        <v/>
      </c>
      <c r="H139" s="47" t="str">
        <f>IF($B139="","",COUNTIFS(Data!$S$2:$S$1201,$B139,Data!$AI$2:$AI$1201,1))</f>
        <v/>
      </c>
      <c r="I139" s="45" t="str">
        <f>IF(OR($B139="",$D139=0),"",SUMIFS(Data!$N$2:$N$1201,Data!$S$2:$S$1201,$B139,Data!$AI$2:$AI$1201,1)/60/$D139)</f>
        <v/>
      </c>
      <c r="J139" s="48" t="str">
        <f>IF($B139="","",SUMIFS(Data!$AH$2:$AH$1201,Data!$S$2:$S$1201,$B139))</f>
        <v/>
      </c>
    </row>
    <row r="140" spans="2:10" x14ac:dyDescent="0.25">
      <c r="B140" s="51" t="str">
        <f>IFERROR(SMALL(Rhythm!$Z$8:$Z$207,131),"")</f>
        <v/>
      </c>
      <c r="C140" s="42" t="str">
        <f t="shared" si="8"/>
        <v/>
      </c>
      <c r="D140" s="53" t="str">
        <f>IF($B140="","",SUMIFS(Data!$N$2:$N$1201,Data!$S$2:$S$1201,$B140)/60)</f>
        <v/>
      </c>
      <c r="E140" s="47" t="str">
        <f>IF($B140="","",COUNTIFS(Data!$S$2:$S$1201,$B140,Data!$E$2:$E$1201,"timed"))</f>
        <v/>
      </c>
      <c r="F140" s="56" t="str">
        <f>IF($B140="","",SUMIFS(Data!$AG$2:$AG$1201,Data!$S$2:$S$1201,$B140))</f>
        <v/>
      </c>
      <c r="G140" s="54" t="str">
        <f t="shared" si="9"/>
        <v/>
      </c>
      <c r="H140" s="47" t="str">
        <f>IF($B140="","",COUNTIFS(Data!$S$2:$S$1201,$B140,Data!$AI$2:$AI$1201,1))</f>
        <v/>
      </c>
      <c r="I140" s="45" t="str">
        <f>IF(OR($B140="",$D140=0),"",SUMIFS(Data!$N$2:$N$1201,Data!$S$2:$S$1201,$B140,Data!$AI$2:$AI$1201,1)/60/$D140)</f>
        <v/>
      </c>
      <c r="J140" s="48" t="str">
        <f>IF($B140="","",SUMIFS(Data!$AH$2:$AH$1201,Data!$S$2:$S$1201,$B140))</f>
        <v/>
      </c>
    </row>
    <row r="141" spans="2:10" x14ac:dyDescent="0.25">
      <c r="B141" s="51" t="str">
        <f>IFERROR(SMALL(Rhythm!$Z$8:$Z$207,132),"")</f>
        <v/>
      </c>
      <c r="C141" s="42" t="str">
        <f t="shared" si="8"/>
        <v/>
      </c>
      <c r="D141" s="53" t="str">
        <f>IF($B141="","",SUMIFS(Data!$N$2:$N$1201,Data!$S$2:$S$1201,$B141)/60)</f>
        <v/>
      </c>
      <c r="E141" s="47" t="str">
        <f>IF($B141="","",COUNTIFS(Data!$S$2:$S$1201,$B141,Data!$E$2:$E$1201,"timed"))</f>
        <v/>
      </c>
      <c r="F141" s="56" t="str">
        <f>IF($B141="","",SUMIFS(Data!$AG$2:$AG$1201,Data!$S$2:$S$1201,$B141))</f>
        <v/>
      </c>
      <c r="G141" s="54" t="str">
        <f t="shared" si="9"/>
        <v/>
      </c>
      <c r="H141" s="47" t="str">
        <f>IF($B141="","",COUNTIFS(Data!$S$2:$S$1201,$B141,Data!$AI$2:$AI$1201,1))</f>
        <v/>
      </c>
      <c r="I141" s="45" t="str">
        <f>IF(OR($B141="",$D141=0),"",SUMIFS(Data!$N$2:$N$1201,Data!$S$2:$S$1201,$B141,Data!$AI$2:$AI$1201,1)/60/$D141)</f>
        <v/>
      </c>
      <c r="J141" s="48" t="str">
        <f>IF($B141="","",SUMIFS(Data!$AH$2:$AH$1201,Data!$S$2:$S$1201,$B141))</f>
        <v/>
      </c>
    </row>
    <row r="142" spans="2:10" x14ac:dyDescent="0.25">
      <c r="B142" s="51" t="str">
        <f>IFERROR(SMALL(Rhythm!$Z$8:$Z$207,133),"")</f>
        <v/>
      </c>
      <c r="C142" s="42" t="str">
        <f t="shared" si="8"/>
        <v/>
      </c>
      <c r="D142" s="53" t="str">
        <f>IF($B142="","",SUMIFS(Data!$N$2:$N$1201,Data!$S$2:$S$1201,$B142)/60)</f>
        <v/>
      </c>
      <c r="E142" s="47" t="str">
        <f>IF($B142="","",COUNTIFS(Data!$S$2:$S$1201,$B142,Data!$E$2:$E$1201,"timed"))</f>
        <v/>
      </c>
      <c r="F142" s="56" t="str">
        <f>IF($B142="","",SUMIFS(Data!$AG$2:$AG$1201,Data!$S$2:$S$1201,$B142))</f>
        <v/>
      </c>
      <c r="G142" s="54" t="str">
        <f t="shared" si="9"/>
        <v/>
      </c>
      <c r="H142" s="47" t="str">
        <f>IF($B142="","",COUNTIFS(Data!$S$2:$S$1201,$B142,Data!$AI$2:$AI$1201,1))</f>
        <v/>
      </c>
      <c r="I142" s="45" t="str">
        <f>IF(OR($B142="",$D142=0),"",SUMIFS(Data!$N$2:$N$1201,Data!$S$2:$S$1201,$B142,Data!$AI$2:$AI$1201,1)/60/$D142)</f>
        <v/>
      </c>
      <c r="J142" s="48" t="str">
        <f>IF($B142="","",SUMIFS(Data!$AH$2:$AH$1201,Data!$S$2:$S$1201,$B142))</f>
        <v/>
      </c>
    </row>
    <row r="143" spans="2:10" x14ac:dyDescent="0.25">
      <c r="B143" s="51" t="str">
        <f>IFERROR(SMALL(Rhythm!$Z$8:$Z$207,134),"")</f>
        <v/>
      </c>
      <c r="C143" s="42" t="str">
        <f t="shared" si="8"/>
        <v/>
      </c>
      <c r="D143" s="53" t="str">
        <f>IF($B143="","",SUMIFS(Data!$N$2:$N$1201,Data!$S$2:$S$1201,$B143)/60)</f>
        <v/>
      </c>
      <c r="E143" s="47" t="str">
        <f>IF($B143="","",COUNTIFS(Data!$S$2:$S$1201,$B143,Data!$E$2:$E$1201,"timed"))</f>
        <v/>
      </c>
      <c r="F143" s="56" t="str">
        <f>IF($B143="","",SUMIFS(Data!$AG$2:$AG$1201,Data!$S$2:$S$1201,$B143))</f>
        <v/>
      </c>
      <c r="G143" s="54" t="str">
        <f t="shared" si="9"/>
        <v/>
      </c>
      <c r="H143" s="47" t="str">
        <f>IF($B143="","",COUNTIFS(Data!$S$2:$S$1201,$B143,Data!$AI$2:$AI$1201,1))</f>
        <v/>
      </c>
      <c r="I143" s="45" t="str">
        <f>IF(OR($B143="",$D143=0),"",SUMIFS(Data!$N$2:$N$1201,Data!$S$2:$S$1201,$B143,Data!$AI$2:$AI$1201,1)/60/$D143)</f>
        <v/>
      </c>
      <c r="J143" s="48" t="str">
        <f>IF($B143="","",SUMIFS(Data!$AH$2:$AH$1201,Data!$S$2:$S$1201,$B143))</f>
        <v/>
      </c>
    </row>
    <row r="144" spans="2:10" x14ac:dyDescent="0.25">
      <c r="B144" s="51" t="str">
        <f>IFERROR(SMALL(Rhythm!$Z$8:$Z$207,135),"")</f>
        <v/>
      </c>
      <c r="C144" s="42" t="str">
        <f t="shared" si="8"/>
        <v/>
      </c>
      <c r="D144" s="53" t="str">
        <f>IF($B144="","",SUMIFS(Data!$N$2:$N$1201,Data!$S$2:$S$1201,$B144)/60)</f>
        <v/>
      </c>
      <c r="E144" s="47" t="str">
        <f>IF($B144="","",COUNTIFS(Data!$S$2:$S$1201,$B144,Data!$E$2:$E$1201,"timed"))</f>
        <v/>
      </c>
      <c r="F144" s="56" t="str">
        <f>IF($B144="","",SUMIFS(Data!$AG$2:$AG$1201,Data!$S$2:$S$1201,$B144))</f>
        <v/>
      </c>
      <c r="G144" s="54" t="str">
        <f t="shared" si="9"/>
        <v/>
      </c>
      <c r="H144" s="47" t="str">
        <f>IF($B144="","",COUNTIFS(Data!$S$2:$S$1201,$B144,Data!$AI$2:$AI$1201,1))</f>
        <v/>
      </c>
      <c r="I144" s="45" t="str">
        <f>IF(OR($B144="",$D144=0),"",SUMIFS(Data!$N$2:$N$1201,Data!$S$2:$S$1201,$B144,Data!$AI$2:$AI$1201,1)/60/$D144)</f>
        <v/>
      </c>
      <c r="J144" s="48" t="str">
        <f>IF($B144="","",SUMIFS(Data!$AH$2:$AH$1201,Data!$S$2:$S$1201,$B144))</f>
        <v/>
      </c>
    </row>
    <row r="145" spans="2:10" x14ac:dyDescent="0.25">
      <c r="B145" s="51" t="str">
        <f>IFERROR(SMALL(Rhythm!$Z$8:$Z$207,136),"")</f>
        <v/>
      </c>
      <c r="C145" s="42" t="str">
        <f t="shared" si="8"/>
        <v/>
      </c>
      <c r="D145" s="53" t="str">
        <f>IF($B145="","",SUMIFS(Data!$N$2:$N$1201,Data!$S$2:$S$1201,$B145)/60)</f>
        <v/>
      </c>
      <c r="E145" s="47" t="str">
        <f>IF($B145="","",COUNTIFS(Data!$S$2:$S$1201,$B145,Data!$E$2:$E$1201,"timed"))</f>
        <v/>
      </c>
      <c r="F145" s="56" t="str">
        <f>IF($B145="","",SUMIFS(Data!$AG$2:$AG$1201,Data!$S$2:$S$1201,$B145))</f>
        <v/>
      </c>
      <c r="G145" s="54" t="str">
        <f t="shared" si="9"/>
        <v/>
      </c>
      <c r="H145" s="47" t="str">
        <f>IF($B145="","",COUNTIFS(Data!$S$2:$S$1201,$B145,Data!$AI$2:$AI$1201,1))</f>
        <v/>
      </c>
      <c r="I145" s="45" t="str">
        <f>IF(OR($B145="",$D145=0),"",SUMIFS(Data!$N$2:$N$1201,Data!$S$2:$S$1201,$B145,Data!$AI$2:$AI$1201,1)/60/$D145)</f>
        <v/>
      </c>
      <c r="J145" s="48" t="str">
        <f>IF($B145="","",SUMIFS(Data!$AH$2:$AH$1201,Data!$S$2:$S$1201,$B145))</f>
        <v/>
      </c>
    </row>
    <row r="146" spans="2:10" x14ac:dyDescent="0.25">
      <c r="B146" s="51" t="str">
        <f>IFERROR(SMALL(Rhythm!$Z$8:$Z$207,137),"")</f>
        <v/>
      </c>
      <c r="C146" s="42" t="str">
        <f t="shared" si="8"/>
        <v/>
      </c>
      <c r="D146" s="53" t="str">
        <f>IF($B146="","",SUMIFS(Data!$N$2:$N$1201,Data!$S$2:$S$1201,$B146)/60)</f>
        <v/>
      </c>
      <c r="E146" s="47" t="str">
        <f>IF($B146="","",COUNTIFS(Data!$S$2:$S$1201,$B146,Data!$E$2:$E$1201,"timed"))</f>
        <v/>
      </c>
      <c r="F146" s="56" t="str">
        <f>IF($B146="","",SUMIFS(Data!$AG$2:$AG$1201,Data!$S$2:$S$1201,$B146))</f>
        <v/>
      </c>
      <c r="G146" s="54" t="str">
        <f t="shared" si="9"/>
        <v/>
      </c>
      <c r="H146" s="47" t="str">
        <f>IF($B146="","",COUNTIFS(Data!$S$2:$S$1201,$B146,Data!$AI$2:$AI$1201,1))</f>
        <v/>
      </c>
      <c r="I146" s="45" t="str">
        <f>IF(OR($B146="",$D146=0),"",SUMIFS(Data!$N$2:$N$1201,Data!$S$2:$S$1201,$B146,Data!$AI$2:$AI$1201,1)/60/$D146)</f>
        <v/>
      </c>
      <c r="J146" s="48" t="str">
        <f>IF($B146="","",SUMIFS(Data!$AH$2:$AH$1201,Data!$S$2:$S$1201,$B146))</f>
        <v/>
      </c>
    </row>
    <row r="147" spans="2:10" x14ac:dyDescent="0.25">
      <c r="B147" s="51" t="str">
        <f>IFERROR(SMALL(Rhythm!$Z$8:$Z$207,138),"")</f>
        <v/>
      </c>
      <c r="C147" s="42" t="str">
        <f t="shared" si="8"/>
        <v/>
      </c>
      <c r="D147" s="53" t="str">
        <f>IF($B147="","",SUMIFS(Data!$N$2:$N$1201,Data!$S$2:$S$1201,$B147)/60)</f>
        <v/>
      </c>
      <c r="E147" s="47" t="str">
        <f>IF($B147="","",COUNTIFS(Data!$S$2:$S$1201,$B147,Data!$E$2:$E$1201,"timed"))</f>
        <v/>
      </c>
      <c r="F147" s="56" t="str">
        <f>IF($B147="","",SUMIFS(Data!$AG$2:$AG$1201,Data!$S$2:$S$1201,$B147))</f>
        <v/>
      </c>
      <c r="G147" s="54" t="str">
        <f t="shared" si="9"/>
        <v/>
      </c>
      <c r="H147" s="47" t="str">
        <f>IF($B147="","",COUNTIFS(Data!$S$2:$S$1201,$B147,Data!$AI$2:$AI$1201,1))</f>
        <v/>
      </c>
      <c r="I147" s="45" t="str">
        <f>IF(OR($B147="",$D147=0),"",SUMIFS(Data!$N$2:$N$1201,Data!$S$2:$S$1201,$B147,Data!$AI$2:$AI$1201,1)/60/$D147)</f>
        <v/>
      </c>
      <c r="J147" s="48" t="str">
        <f>IF($B147="","",SUMIFS(Data!$AH$2:$AH$1201,Data!$S$2:$S$1201,$B147))</f>
        <v/>
      </c>
    </row>
    <row r="148" spans="2:10" x14ac:dyDescent="0.25">
      <c r="B148" s="51" t="str">
        <f>IFERROR(SMALL(Rhythm!$Z$8:$Z$207,139),"")</f>
        <v/>
      </c>
      <c r="C148" s="42" t="str">
        <f t="shared" si="8"/>
        <v/>
      </c>
      <c r="D148" s="53" t="str">
        <f>IF($B148="","",SUMIFS(Data!$N$2:$N$1201,Data!$S$2:$S$1201,$B148)/60)</f>
        <v/>
      </c>
      <c r="E148" s="47" t="str">
        <f>IF($B148="","",COUNTIFS(Data!$S$2:$S$1201,$B148,Data!$E$2:$E$1201,"timed"))</f>
        <v/>
      </c>
      <c r="F148" s="56" t="str">
        <f>IF($B148="","",SUMIFS(Data!$AG$2:$AG$1201,Data!$S$2:$S$1201,$B148))</f>
        <v/>
      </c>
      <c r="G148" s="54" t="str">
        <f t="shared" si="9"/>
        <v/>
      </c>
      <c r="H148" s="47" t="str">
        <f>IF($B148="","",COUNTIFS(Data!$S$2:$S$1201,$B148,Data!$AI$2:$AI$1201,1))</f>
        <v/>
      </c>
      <c r="I148" s="45" t="str">
        <f>IF(OR($B148="",$D148=0),"",SUMIFS(Data!$N$2:$N$1201,Data!$S$2:$S$1201,$B148,Data!$AI$2:$AI$1201,1)/60/$D148)</f>
        <v/>
      </c>
      <c r="J148" s="48" t="str">
        <f>IF($B148="","",SUMIFS(Data!$AH$2:$AH$1201,Data!$S$2:$S$1201,$B148))</f>
        <v/>
      </c>
    </row>
    <row r="149" spans="2:10" x14ac:dyDescent="0.25">
      <c r="B149" s="51" t="str">
        <f>IFERROR(SMALL(Rhythm!$Z$8:$Z$207,140),"")</f>
        <v/>
      </c>
      <c r="C149" s="42" t="str">
        <f t="shared" si="8"/>
        <v/>
      </c>
      <c r="D149" s="53" t="str">
        <f>IF($B149="","",SUMIFS(Data!$N$2:$N$1201,Data!$S$2:$S$1201,$B149)/60)</f>
        <v/>
      </c>
      <c r="E149" s="47" t="str">
        <f>IF($B149="","",COUNTIFS(Data!$S$2:$S$1201,$B149,Data!$E$2:$E$1201,"timed"))</f>
        <v/>
      </c>
      <c r="F149" s="56" t="str">
        <f>IF($B149="","",SUMIFS(Data!$AG$2:$AG$1201,Data!$S$2:$S$1201,$B149))</f>
        <v/>
      </c>
      <c r="G149" s="54" t="str">
        <f t="shared" si="9"/>
        <v/>
      </c>
      <c r="H149" s="47" t="str">
        <f>IF($B149="","",COUNTIFS(Data!$S$2:$S$1201,$B149,Data!$AI$2:$AI$1201,1))</f>
        <v/>
      </c>
      <c r="I149" s="45" t="str">
        <f>IF(OR($B149="",$D149=0),"",SUMIFS(Data!$N$2:$N$1201,Data!$S$2:$S$1201,$B149,Data!$AI$2:$AI$1201,1)/60/$D149)</f>
        <v/>
      </c>
      <c r="J149" s="48" t="str">
        <f>IF($B149="","",SUMIFS(Data!$AH$2:$AH$1201,Data!$S$2:$S$1201,$B149))</f>
        <v/>
      </c>
    </row>
    <row r="150" spans="2:10" x14ac:dyDescent="0.25">
      <c r="B150" s="51" t="str">
        <f>IFERROR(SMALL(Rhythm!$Z$8:$Z$207,141),"")</f>
        <v/>
      </c>
      <c r="C150" s="42" t="str">
        <f t="shared" si="8"/>
        <v/>
      </c>
      <c r="D150" s="53" t="str">
        <f>IF($B150="","",SUMIFS(Data!$N$2:$N$1201,Data!$S$2:$S$1201,$B150)/60)</f>
        <v/>
      </c>
      <c r="E150" s="47" t="str">
        <f>IF($B150="","",COUNTIFS(Data!$S$2:$S$1201,$B150,Data!$E$2:$E$1201,"timed"))</f>
        <v/>
      </c>
      <c r="F150" s="56" t="str">
        <f>IF($B150="","",SUMIFS(Data!$AG$2:$AG$1201,Data!$S$2:$S$1201,$B150))</f>
        <v/>
      </c>
      <c r="G150" s="54" t="str">
        <f t="shared" si="9"/>
        <v/>
      </c>
      <c r="H150" s="47" t="str">
        <f>IF($B150="","",COUNTIFS(Data!$S$2:$S$1201,$B150,Data!$AI$2:$AI$1201,1))</f>
        <v/>
      </c>
      <c r="I150" s="45" t="str">
        <f>IF(OR($B150="",$D150=0),"",SUMIFS(Data!$N$2:$N$1201,Data!$S$2:$S$1201,$B150,Data!$AI$2:$AI$1201,1)/60/$D150)</f>
        <v/>
      </c>
      <c r="J150" s="48" t="str">
        <f>IF($B150="","",SUMIFS(Data!$AH$2:$AH$1201,Data!$S$2:$S$1201,$B150))</f>
        <v/>
      </c>
    </row>
    <row r="151" spans="2:10" x14ac:dyDescent="0.25">
      <c r="B151" s="51" t="str">
        <f>IFERROR(SMALL(Rhythm!$Z$8:$Z$207,142),"")</f>
        <v/>
      </c>
      <c r="C151" s="42" t="str">
        <f t="shared" si="8"/>
        <v/>
      </c>
      <c r="D151" s="53" t="str">
        <f>IF($B151="","",SUMIFS(Data!$N$2:$N$1201,Data!$S$2:$S$1201,$B151)/60)</f>
        <v/>
      </c>
      <c r="E151" s="47" t="str">
        <f>IF($B151="","",COUNTIFS(Data!$S$2:$S$1201,$B151,Data!$E$2:$E$1201,"timed"))</f>
        <v/>
      </c>
      <c r="F151" s="56" t="str">
        <f>IF($B151="","",SUMIFS(Data!$AG$2:$AG$1201,Data!$S$2:$S$1201,$B151))</f>
        <v/>
      </c>
      <c r="G151" s="54" t="str">
        <f t="shared" si="9"/>
        <v/>
      </c>
      <c r="H151" s="47" t="str">
        <f>IF($B151="","",COUNTIFS(Data!$S$2:$S$1201,$B151,Data!$AI$2:$AI$1201,1))</f>
        <v/>
      </c>
      <c r="I151" s="45" t="str">
        <f>IF(OR($B151="",$D151=0),"",SUMIFS(Data!$N$2:$N$1201,Data!$S$2:$S$1201,$B151,Data!$AI$2:$AI$1201,1)/60/$D151)</f>
        <v/>
      </c>
      <c r="J151" s="48" t="str">
        <f>IF($B151="","",SUMIFS(Data!$AH$2:$AH$1201,Data!$S$2:$S$1201,$B151))</f>
        <v/>
      </c>
    </row>
    <row r="152" spans="2:10" x14ac:dyDescent="0.25">
      <c r="B152" s="51" t="str">
        <f>IFERROR(SMALL(Rhythm!$Z$8:$Z$207,143),"")</f>
        <v/>
      </c>
      <c r="C152" s="42" t="str">
        <f t="shared" si="8"/>
        <v/>
      </c>
      <c r="D152" s="53" t="str">
        <f>IF($B152="","",SUMIFS(Data!$N$2:$N$1201,Data!$S$2:$S$1201,$B152)/60)</f>
        <v/>
      </c>
      <c r="E152" s="47" t="str">
        <f>IF($B152="","",COUNTIFS(Data!$S$2:$S$1201,$B152,Data!$E$2:$E$1201,"timed"))</f>
        <v/>
      </c>
      <c r="F152" s="56" t="str">
        <f>IF($B152="","",SUMIFS(Data!$AG$2:$AG$1201,Data!$S$2:$S$1201,$B152))</f>
        <v/>
      </c>
      <c r="G152" s="54" t="str">
        <f t="shared" si="9"/>
        <v/>
      </c>
      <c r="H152" s="47" t="str">
        <f>IF($B152="","",COUNTIFS(Data!$S$2:$S$1201,$B152,Data!$AI$2:$AI$1201,1))</f>
        <v/>
      </c>
      <c r="I152" s="45" t="str">
        <f>IF(OR($B152="",$D152=0),"",SUMIFS(Data!$N$2:$N$1201,Data!$S$2:$S$1201,$B152,Data!$AI$2:$AI$1201,1)/60/$D152)</f>
        <v/>
      </c>
      <c r="J152" s="48" t="str">
        <f>IF($B152="","",SUMIFS(Data!$AH$2:$AH$1201,Data!$S$2:$S$1201,$B152))</f>
        <v/>
      </c>
    </row>
    <row r="153" spans="2:10" x14ac:dyDescent="0.25">
      <c r="B153" s="51" t="str">
        <f>IFERROR(SMALL(Rhythm!$Z$8:$Z$207,144),"")</f>
        <v/>
      </c>
      <c r="C153" s="42" t="str">
        <f t="shared" si="8"/>
        <v/>
      </c>
      <c r="D153" s="53" t="str">
        <f>IF($B153="","",SUMIFS(Data!$N$2:$N$1201,Data!$S$2:$S$1201,$B153)/60)</f>
        <v/>
      </c>
      <c r="E153" s="47" t="str">
        <f>IF($B153="","",COUNTIFS(Data!$S$2:$S$1201,$B153,Data!$E$2:$E$1201,"timed"))</f>
        <v/>
      </c>
      <c r="F153" s="56" t="str">
        <f>IF($B153="","",SUMIFS(Data!$AG$2:$AG$1201,Data!$S$2:$S$1201,$B153))</f>
        <v/>
      </c>
      <c r="G153" s="54" t="str">
        <f t="shared" si="9"/>
        <v/>
      </c>
      <c r="H153" s="47" t="str">
        <f>IF($B153="","",COUNTIFS(Data!$S$2:$S$1201,$B153,Data!$AI$2:$AI$1201,1))</f>
        <v/>
      </c>
      <c r="I153" s="45" t="str">
        <f>IF(OR($B153="",$D153=0),"",SUMIFS(Data!$N$2:$N$1201,Data!$S$2:$S$1201,$B153,Data!$AI$2:$AI$1201,1)/60/$D153)</f>
        <v/>
      </c>
      <c r="J153" s="48" t="str">
        <f>IF($B153="","",SUMIFS(Data!$AH$2:$AH$1201,Data!$S$2:$S$1201,$B153))</f>
        <v/>
      </c>
    </row>
    <row r="154" spans="2:10" x14ac:dyDescent="0.25">
      <c r="B154" s="51" t="str">
        <f>IFERROR(SMALL(Rhythm!$Z$8:$Z$207,145),"")</f>
        <v/>
      </c>
      <c r="C154" s="42" t="str">
        <f t="shared" si="8"/>
        <v/>
      </c>
      <c r="D154" s="53" t="str">
        <f>IF($B154="","",SUMIFS(Data!$N$2:$N$1201,Data!$S$2:$S$1201,$B154)/60)</f>
        <v/>
      </c>
      <c r="E154" s="47" t="str">
        <f>IF($B154="","",COUNTIFS(Data!$S$2:$S$1201,$B154,Data!$E$2:$E$1201,"timed"))</f>
        <v/>
      </c>
      <c r="F154" s="56" t="str">
        <f>IF($B154="","",SUMIFS(Data!$AG$2:$AG$1201,Data!$S$2:$S$1201,$B154))</f>
        <v/>
      </c>
      <c r="G154" s="54" t="str">
        <f t="shared" si="9"/>
        <v/>
      </c>
      <c r="H154" s="47" t="str">
        <f>IF($B154="","",COUNTIFS(Data!$S$2:$S$1201,$B154,Data!$AI$2:$AI$1201,1))</f>
        <v/>
      </c>
      <c r="I154" s="45" t="str">
        <f>IF(OR($B154="",$D154=0),"",SUMIFS(Data!$N$2:$N$1201,Data!$S$2:$S$1201,$B154,Data!$AI$2:$AI$1201,1)/60/$D154)</f>
        <v/>
      </c>
      <c r="J154" s="48" t="str">
        <f>IF($B154="","",SUMIFS(Data!$AH$2:$AH$1201,Data!$S$2:$S$1201,$B154))</f>
        <v/>
      </c>
    </row>
    <row r="155" spans="2:10" x14ac:dyDescent="0.25">
      <c r="B155" s="51" t="str">
        <f>IFERROR(SMALL(Rhythm!$Z$8:$Z$207,146),"")</f>
        <v/>
      </c>
      <c r="C155" s="42" t="str">
        <f t="shared" si="8"/>
        <v/>
      </c>
      <c r="D155" s="53" t="str">
        <f>IF($B155="","",SUMIFS(Data!$N$2:$N$1201,Data!$S$2:$S$1201,$B155)/60)</f>
        <v/>
      </c>
      <c r="E155" s="47" t="str">
        <f>IF($B155="","",COUNTIFS(Data!$S$2:$S$1201,$B155,Data!$E$2:$E$1201,"timed"))</f>
        <v/>
      </c>
      <c r="F155" s="56" t="str">
        <f>IF($B155="","",SUMIFS(Data!$AG$2:$AG$1201,Data!$S$2:$S$1201,$B155))</f>
        <v/>
      </c>
      <c r="G155" s="54" t="str">
        <f t="shared" si="9"/>
        <v/>
      </c>
      <c r="H155" s="47" t="str">
        <f>IF($B155="","",COUNTIFS(Data!$S$2:$S$1201,$B155,Data!$AI$2:$AI$1201,1))</f>
        <v/>
      </c>
      <c r="I155" s="45" t="str">
        <f>IF(OR($B155="",$D155=0),"",SUMIFS(Data!$N$2:$N$1201,Data!$S$2:$S$1201,$B155,Data!$AI$2:$AI$1201,1)/60/$D155)</f>
        <v/>
      </c>
      <c r="J155" s="48" t="str">
        <f>IF($B155="","",SUMIFS(Data!$AH$2:$AH$1201,Data!$S$2:$S$1201,$B155))</f>
        <v/>
      </c>
    </row>
    <row r="156" spans="2:10" x14ac:dyDescent="0.25">
      <c r="B156" s="51" t="str">
        <f>IFERROR(SMALL(Rhythm!$Z$8:$Z$207,147),"")</f>
        <v/>
      </c>
      <c r="C156" s="42" t="str">
        <f t="shared" si="8"/>
        <v/>
      </c>
      <c r="D156" s="53" t="str">
        <f>IF($B156="","",SUMIFS(Data!$N$2:$N$1201,Data!$S$2:$S$1201,$B156)/60)</f>
        <v/>
      </c>
      <c r="E156" s="47" t="str">
        <f>IF($B156="","",COUNTIFS(Data!$S$2:$S$1201,$B156,Data!$E$2:$E$1201,"timed"))</f>
        <v/>
      </c>
      <c r="F156" s="56" t="str">
        <f>IF($B156="","",SUMIFS(Data!$AG$2:$AG$1201,Data!$S$2:$S$1201,$B156))</f>
        <v/>
      </c>
      <c r="G156" s="54" t="str">
        <f t="shared" si="9"/>
        <v/>
      </c>
      <c r="H156" s="47" t="str">
        <f>IF($B156="","",COUNTIFS(Data!$S$2:$S$1201,$B156,Data!$AI$2:$AI$1201,1))</f>
        <v/>
      </c>
      <c r="I156" s="45" t="str">
        <f>IF(OR($B156="",$D156=0),"",SUMIFS(Data!$N$2:$N$1201,Data!$S$2:$S$1201,$B156,Data!$AI$2:$AI$1201,1)/60/$D156)</f>
        <v/>
      </c>
      <c r="J156" s="48" t="str">
        <f>IF($B156="","",SUMIFS(Data!$AH$2:$AH$1201,Data!$S$2:$S$1201,$B156))</f>
        <v/>
      </c>
    </row>
    <row r="157" spans="2:10" x14ac:dyDescent="0.25">
      <c r="B157" s="51" t="str">
        <f>IFERROR(SMALL(Rhythm!$Z$8:$Z$207,148),"")</f>
        <v/>
      </c>
      <c r="C157" s="42" t="str">
        <f t="shared" si="8"/>
        <v/>
      </c>
      <c r="D157" s="53" t="str">
        <f>IF($B157="","",SUMIFS(Data!$N$2:$N$1201,Data!$S$2:$S$1201,$B157)/60)</f>
        <v/>
      </c>
      <c r="E157" s="47" t="str">
        <f>IF($B157="","",COUNTIFS(Data!$S$2:$S$1201,$B157,Data!$E$2:$E$1201,"timed"))</f>
        <v/>
      </c>
      <c r="F157" s="56" t="str">
        <f>IF($B157="","",SUMIFS(Data!$AG$2:$AG$1201,Data!$S$2:$S$1201,$B157))</f>
        <v/>
      </c>
      <c r="G157" s="54" t="str">
        <f t="shared" si="9"/>
        <v/>
      </c>
      <c r="H157" s="47" t="str">
        <f>IF($B157="","",COUNTIFS(Data!$S$2:$S$1201,$B157,Data!$AI$2:$AI$1201,1))</f>
        <v/>
      </c>
      <c r="I157" s="45" t="str">
        <f>IF(OR($B157="",$D157=0),"",SUMIFS(Data!$N$2:$N$1201,Data!$S$2:$S$1201,$B157,Data!$AI$2:$AI$1201,1)/60/$D157)</f>
        <v/>
      </c>
      <c r="J157" s="48" t="str">
        <f>IF($B157="","",SUMIFS(Data!$AH$2:$AH$1201,Data!$S$2:$S$1201,$B157))</f>
        <v/>
      </c>
    </row>
    <row r="158" spans="2:10" x14ac:dyDescent="0.25">
      <c r="B158" s="51" t="str">
        <f>IFERROR(SMALL(Rhythm!$Z$8:$Z$207,149),"")</f>
        <v/>
      </c>
      <c r="C158" s="42" t="str">
        <f t="shared" si="8"/>
        <v/>
      </c>
      <c r="D158" s="53" t="str">
        <f>IF($B158="","",SUMIFS(Data!$N$2:$N$1201,Data!$S$2:$S$1201,$B158)/60)</f>
        <v/>
      </c>
      <c r="E158" s="47" t="str">
        <f>IF($B158="","",COUNTIFS(Data!$S$2:$S$1201,$B158,Data!$E$2:$E$1201,"timed"))</f>
        <v/>
      </c>
      <c r="F158" s="56" t="str">
        <f>IF($B158="","",SUMIFS(Data!$AG$2:$AG$1201,Data!$S$2:$S$1201,$B158))</f>
        <v/>
      </c>
      <c r="G158" s="54" t="str">
        <f t="shared" si="9"/>
        <v/>
      </c>
      <c r="H158" s="47" t="str">
        <f>IF($B158="","",COUNTIFS(Data!$S$2:$S$1201,$B158,Data!$AI$2:$AI$1201,1))</f>
        <v/>
      </c>
      <c r="I158" s="45" t="str">
        <f>IF(OR($B158="",$D158=0),"",SUMIFS(Data!$N$2:$N$1201,Data!$S$2:$S$1201,$B158,Data!$AI$2:$AI$1201,1)/60/$D158)</f>
        <v/>
      </c>
      <c r="J158" s="48" t="str">
        <f>IF($B158="","",SUMIFS(Data!$AH$2:$AH$1201,Data!$S$2:$S$1201,$B158))</f>
        <v/>
      </c>
    </row>
    <row r="159" spans="2:10" x14ac:dyDescent="0.25">
      <c r="B159" s="51" t="str">
        <f>IFERROR(SMALL(Rhythm!$Z$8:$Z$207,150),"")</f>
        <v/>
      </c>
      <c r="C159" s="42" t="str">
        <f t="shared" si="8"/>
        <v/>
      </c>
      <c r="D159" s="53" t="str">
        <f>IF($B159="","",SUMIFS(Data!$N$2:$N$1201,Data!$S$2:$S$1201,$B159)/60)</f>
        <v/>
      </c>
      <c r="E159" s="47" t="str">
        <f>IF($B159="","",COUNTIFS(Data!$S$2:$S$1201,$B159,Data!$E$2:$E$1201,"timed"))</f>
        <v/>
      </c>
      <c r="F159" s="56" t="str">
        <f>IF($B159="","",SUMIFS(Data!$AG$2:$AG$1201,Data!$S$2:$S$1201,$B159))</f>
        <v/>
      </c>
      <c r="G159" s="54" t="str">
        <f t="shared" si="9"/>
        <v/>
      </c>
      <c r="H159" s="47" t="str">
        <f>IF($B159="","",COUNTIFS(Data!$S$2:$S$1201,$B159,Data!$AI$2:$AI$1201,1))</f>
        <v/>
      </c>
      <c r="I159" s="45" t="str">
        <f>IF(OR($B159="",$D159=0),"",SUMIFS(Data!$N$2:$N$1201,Data!$S$2:$S$1201,$B159,Data!$AI$2:$AI$1201,1)/60/$D159)</f>
        <v/>
      </c>
      <c r="J159" s="48" t="str">
        <f>IF($B159="","",SUMIFS(Data!$AH$2:$AH$1201,Data!$S$2:$S$1201,$B159))</f>
        <v/>
      </c>
    </row>
    <row r="160" spans="2:10" x14ac:dyDescent="0.25">
      <c r="B160" s="51" t="str">
        <f>IFERROR(SMALL(Rhythm!$Z$8:$Z$207,151),"")</f>
        <v/>
      </c>
      <c r="C160" s="42" t="str">
        <f t="shared" si="8"/>
        <v/>
      </c>
      <c r="D160" s="53" t="str">
        <f>IF($B160="","",SUMIFS(Data!$N$2:$N$1201,Data!$S$2:$S$1201,$B160)/60)</f>
        <v/>
      </c>
      <c r="E160" s="47" t="str">
        <f>IF($B160="","",COUNTIFS(Data!$S$2:$S$1201,$B160,Data!$E$2:$E$1201,"timed"))</f>
        <v/>
      </c>
      <c r="F160" s="56" t="str">
        <f>IF($B160="","",SUMIFS(Data!$AG$2:$AG$1201,Data!$S$2:$S$1201,$B160))</f>
        <v/>
      </c>
      <c r="G160" s="54" t="str">
        <f t="shared" si="9"/>
        <v/>
      </c>
      <c r="H160" s="47" t="str">
        <f>IF($B160="","",COUNTIFS(Data!$S$2:$S$1201,$B160,Data!$AI$2:$AI$1201,1))</f>
        <v/>
      </c>
      <c r="I160" s="45" t="str">
        <f>IF(OR($B160="",$D160=0),"",SUMIFS(Data!$N$2:$N$1201,Data!$S$2:$S$1201,$B160,Data!$AI$2:$AI$1201,1)/60/$D160)</f>
        <v/>
      </c>
      <c r="J160" s="48" t="str">
        <f>IF($B160="","",SUMIFS(Data!$AH$2:$AH$1201,Data!$S$2:$S$1201,$B160))</f>
        <v/>
      </c>
    </row>
    <row r="161" spans="2:10" x14ac:dyDescent="0.25">
      <c r="B161" s="51" t="str">
        <f>IFERROR(SMALL(Rhythm!$Z$8:$Z$207,152),"")</f>
        <v/>
      </c>
      <c r="C161" s="42" t="str">
        <f t="shared" si="8"/>
        <v/>
      </c>
      <c r="D161" s="53" t="str">
        <f>IF($B161="","",SUMIFS(Data!$N$2:$N$1201,Data!$S$2:$S$1201,$B161)/60)</f>
        <v/>
      </c>
      <c r="E161" s="47" t="str">
        <f>IF($B161="","",COUNTIFS(Data!$S$2:$S$1201,$B161,Data!$E$2:$E$1201,"timed"))</f>
        <v/>
      </c>
      <c r="F161" s="56" t="str">
        <f>IF($B161="","",SUMIFS(Data!$AG$2:$AG$1201,Data!$S$2:$S$1201,$B161))</f>
        <v/>
      </c>
      <c r="G161" s="54" t="str">
        <f t="shared" si="9"/>
        <v/>
      </c>
      <c r="H161" s="47" t="str">
        <f>IF($B161="","",COUNTIFS(Data!$S$2:$S$1201,$B161,Data!$AI$2:$AI$1201,1))</f>
        <v/>
      </c>
      <c r="I161" s="45" t="str">
        <f>IF(OR($B161="",$D161=0),"",SUMIFS(Data!$N$2:$N$1201,Data!$S$2:$S$1201,$B161,Data!$AI$2:$AI$1201,1)/60/$D161)</f>
        <v/>
      </c>
      <c r="J161" s="48" t="str">
        <f>IF($B161="","",SUMIFS(Data!$AH$2:$AH$1201,Data!$S$2:$S$1201,$B161))</f>
        <v/>
      </c>
    </row>
    <row r="162" spans="2:10" x14ac:dyDescent="0.25">
      <c r="B162" s="51" t="str">
        <f>IFERROR(SMALL(Rhythm!$Z$8:$Z$207,153),"")</f>
        <v/>
      </c>
      <c r="C162" s="42" t="str">
        <f t="shared" si="8"/>
        <v/>
      </c>
      <c r="D162" s="53" t="str">
        <f>IF($B162="","",SUMIFS(Data!$N$2:$N$1201,Data!$S$2:$S$1201,$B162)/60)</f>
        <v/>
      </c>
      <c r="E162" s="47" t="str">
        <f>IF($B162="","",COUNTIFS(Data!$S$2:$S$1201,$B162,Data!$E$2:$E$1201,"timed"))</f>
        <v/>
      </c>
      <c r="F162" s="56" t="str">
        <f>IF($B162="","",SUMIFS(Data!$AG$2:$AG$1201,Data!$S$2:$S$1201,$B162))</f>
        <v/>
      </c>
      <c r="G162" s="54" t="str">
        <f t="shared" si="9"/>
        <v/>
      </c>
      <c r="H162" s="47" t="str">
        <f>IF($B162="","",COUNTIFS(Data!$S$2:$S$1201,$B162,Data!$AI$2:$AI$1201,1))</f>
        <v/>
      </c>
      <c r="I162" s="45" t="str">
        <f>IF(OR($B162="",$D162=0),"",SUMIFS(Data!$N$2:$N$1201,Data!$S$2:$S$1201,$B162,Data!$AI$2:$AI$1201,1)/60/$D162)</f>
        <v/>
      </c>
      <c r="J162" s="48" t="str">
        <f>IF($B162="","",SUMIFS(Data!$AH$2:$AH$1201,Data!$S$2:$S$1201,$B162))</f>
        <v/>
      </c>
    </row>
    <row r="163" spans="2:10" x14ac:dyDescent="0.25">
      <c r="B163" s="51" t="str">
        <f>IFERROR(SMALL(Rhythm!$Z$8:$Z$207,154),"")</f>
        <v/>
      </c>
      <c r="C163" s="42" t="str">
        <f t="shared" si="8"/>
        <v/>
      </c>
      <c r="D163" s="53" t="str">
        <f>IF($B163="","",SUMIFS(Data!$N$2:$N$1201,Data!$S$2:$S$1201,$B163)/60)</f>
        <v/>
      </c>
      <c r="E163" s="47" t="str">
        <f>IF($B163="","",COUNTIFS(Data!$S$2:$S$1201,$B163,Data!$E$2:$E$1201,"timed"))</f>
        <v/>
      </c>
      <c r="F163" s="56" t="str">
        <f>IF($B163="","",SUMIFS(Data!$AG$2:$AG$1201,Data!$S$2:$S$1201,$B163))</f>
        <v/>
      </c>
      <c r="G163" s="54" t="str">
        <f t="shared" si="9"/>
        <v/>
      </c>
      <c r="H163" s="47" t="str">
        <f>IF($B163="","",COUNTIFS(Data!$S$2:$S$1201,$B163,Data!$AI$2:$AI$1201,1))</f>
        <v/>
      </c>
      <c r="I163" s="45" t="str">
        <f>IF(OR($B163="",$D163=0),"",SUMIFS(Data!$N$2:$N$1201,Data!$S$2:$S$1201,$B163,Data!$AI$2:$AI$1201,1)/60/$D163)</f>
        <v/>
      </c>
      <c r="J163" s="48" t="str">
        <f>IF($B163="","",SUMIFS(Data!$AH$2:$AH$1201,Data!$S$2:$S$1201,$B163))</f>
        <v/>
      </c>
    </row>
    <row r="164" spans="2:10" x14ac:dyDescent="0.25">
      <c r="B164" s="51" t="str">
        <f>IFERROR(SMALL(Rhythm!$Z$8:$Z$207,155),"")</f>
        <v/>
      </c>
      <c r="C164" s="42" t="str">
        <f t="shared" si="8"/>
        <v/>
      </c>
      <c r="D164" s="53" t="str">
        <f>IF($B164="","",SUMIFS(Data!$N$2:$N$1201,Data!$S$2:$S$1201,$B164)/60)</f>
        <v/>
      </c>
      <c r="E164" s="47" t="str">
        <f>IF($B164="","",COUNTIFS(Data!$S$2:$S$1201,$B164,Data!$E$2:$E$1201,"timed"))</f>
        <v/>
      </c>
      <c r="F164" s="56" t="str">
        <f>IF($B164="","",SUMIFS(Data!$AG$2:$AG$1201,Data!$S$2:$S$1201,$B164))</f>
        <v/>
      </c>
      <c r="G164" s="54" t="str">
        <f t="shared" si="9"/>
        <v/>
      </c>
      <c r="H164" s="47" t="str">
        <f>IF($B164="","",COUNTIFS(Data!$S$2:$S$1201,$B164,Data!$AI$2:$AI$1201,1))</f>
        <v/>
      </c>
      <c r="I164" s="45" t="str">
        <f>IF(OR($B164="",$D164=0),"",SUMIFS(Data!$N$2:$N$1201,Data!$S$2:$S$1201,$B164,Data!$AI$2:$AI$1201,1)/60/$D164)</f>
        <v/>
      </c>
      <c r="J164" s="48" t="str">
        <f>IF($B164="","",SUMIFS(Data!$AH$2:$AH$1201,Data!$S$2:$S$1201,$B164))</f>
        <v/>
      </c>
    </row>
    <row r="165" spans="2:10" x14ac:dyDescent="0.25">
      <c r="B165" s="51" t="str">
        <f>IFERROR(SMALL(Rhythm!$Z$8:$Z$207,156),"")</f>
        <v/>
      </c>
      <c r="C165" s="42" t="str">
        <f t="shared" si="8"/>
        <v/>
      </c>
      <c r="D165" s="53" t="str">
        <f>IF($B165="","",SUMIFS(Data!$N$2:$N$1201,Data!$S$2:$S$1201,$B165)/60)</f>
        <v/>
      </c>
      <c r="E165" s="47" t="str">
        <f>IF($B165="","",COUNTIFS(Data!$S$2:$S$1201,$B165,Data!$E$2:$E$1201,"timed"))</f>
        <v/>
      </c>
      <c r="F165" s="56" t="str">
        <f>IF($B165="","",SUMIFS(Data!$AG$2:$AG$1201,Data!$S$2:$S$1201,$B165))</f>
        <v/>
      </c>
      <c r="G165" s="54" t="str">
        <f t="shared" si="9"/>
        <v/>
      </c>
      <c r="H165" s="47" t="str">
        <f>IF($B165="","",COUNTIFS(Data!$S$2:$S$1201,$B165,Data!$AI$2:$AI$1201,1))</f>
        <v/>
      </c>
      <c r="I165" s="45" t="str">
        <f>IF(OR($B165="",$D165=0),"",SUMIFS(Data!$N$2:$N$1201,Data!$S$2:$S$1201,$B165,Data!$AI$2:$AI$1201,1)/60/$D165)</f>
        <v/>
      </c>
      <c r="J165" s="48" t="str">
        <f>IF($B165="","",SUMIFS(Data!$AH$2:$AH$1201,Data!$S$2:$S$1201,$B165))</f>
        <v/>
      </c>
    </row>
    <row r="166" spans="2:10" x14ac:dyDescent="0.25">
      <c r="B166" s="51" t="str">
        <f>IFERROR(SMALL(Rhythm!$Z$8:$Z$207,157),"")</f>
        <v/>
      </c>
      <c r="C166" s="42" t="str">
        <f t="shared" si="8"/>
        <v/>
      </c>
      <c r="D166" s="53" t="str">
        <f>IF($B166="","",SUMIFS(Data!$N$2:$N$1201,Data!$S$2:$S$1201,$B166)/60)</f>
        <v/>
      </c>
      <c r="E166" s="47" t="str">
        <f>IF($B166="","",COUNTIFS(Data!$S$2:$S$1201,$B166,Data!$E$2:$E$1201,"timed"))</f>
        <v/>
      </c>
      <c r="F166" s="56" t="str">
        <f>IF($B166="","",SUMIFS(Data!$AG$2:$AG$1201,Data!$S$2:$S$1201,$B166))</f>
        <v/>
      </c>
      <c r="G166" s="54" t="str">
        <f t="shared" si="9"/>
        <v/>
      </c>
      <c r="H166" s="47" t="str">
        <f>IF($B166="","",COUNTIFS(Data!$S$2:$S$1201,$B166,Data!$AI$2:$AI$1201,1))</f>
        <v/>
      </c>
      <c r="I166" s="45" t="str">
        <f>IF(OR($B166="",$D166=0),"",SUMIFS(Data!$N$2:$N$1201,Data!$S$2:$S$1201,$B166,Data!$AI$2:$AI$1201,1)/60/$D166)</f>
        <v/>
      </c>
      <c r="J166" s="48" t="str">
        <f>IF($B166="","",SUMIFS(Data!$AH$2:$AH$1201,Data!$S$2:$S$1201,$B166))</f>
        <v/>
      </c>
    </row>
    <row r="167" spans="2:10" x14ac:dyDescent="0.25">
      <c r="B167" s="51" t="str">
        <f>IFERROR(SMALL(Rhythm!$Z$8:$Z$207,158),"")</f>
        <v/>
      </c>
      <c r="C167" s="42" t="str">
        <f t="shared" si="8"/>
        <v/>
      </c>
      <c r="D167" s="53" t="str">
        <f>IF($B167="","",SUMIFS(Data!$N$2:$N$1201,Data!$S$2:$S$1201,$B167)/60)</f>
        <v/>
      </c>
      <c r="E167" s="47" t="str">
        <f>IF($B167="","",COUNTIFS(Data!$S$2:$S$1201,$B167,Data!$E$2:$E$1201,"timed"))</f>
        <v/>
      </c>
      <c r="F167" s="56" t="str">
        <f>IF($B167="","",SUMIFS(Data!$AG$2:$AG$1201,Data!$S$2:$S$1201,$B167))</f>
        <v/>
      </c>
      <c r="G167" s="54" t="str">
        <f t="shared" si="9"/>
        <v/>
      </c>
      <c r="H167" s="47" t="str">
        <f>IF($B167="","",COUNTIFS(Data!$S$2:$S$1201,$B167,Data!$AI$2:$AI$1201,1))</f>
        <v/>
      </c>
      <c r="I167" s="45" t="str">
        <f>IF(OR($B167="",$D167=0),"",SUMIFS(Data!$N$2:$N$1201,Data!$S$2:$S$1201,$B167,Data!$AI$2:$AI$1201,1)/60/$D167)</f>
        <v/>
      </c>
      <c r="J167" s="48" t="str">
        <f>IF($B167="","",SUMIFS(Data!$AH$2:$AH$1201,Data!$S$2:$S$1201,$B167))</f>
        <v/>
      </c>
    </row>
    <row r="168" spans="2:10" x14ac:dyDescent="0.25">
      <c r="B168" s="51" t="str">
        <f>IFERROR(SMALL(Rhythm!$Z$8:$Z$207,159),"")</f>
        <v/>
      </c>
      <c r="C168" s="42" t="str">
        <f t="shared" si="8"/>
        <v/>
      </c>
      <c r="D168" s="53" t="str">
        <f>IF($B168="","",SUMIFS(Data!$N$2:$N$1201,Data!$S$2:$S$1201,$B168)/60)</f>
        <v/>
      </c>
      <c r="E168" s="47" t="str">
        <f>IF($B168="","",COUNTIFS(Data!$S$2:$S$1201,$B168,Data!$E$2:$E$1201,"timed"))</f>
        <v/>
      </c>
      <c r="F168" s="56" t="str">
        <f>IF($B168="","",SUMIFS(Data!$AG$2:$AG$1201,Data!$S$2:$S$1201,$B168))</f>
        <v/>
      </c>
      <c r="G168" s="54" t="str">
        <f t="shared" si="9"/>
        <v/>
      </c>
      <c r="H168" s="47" t="str">
        <f>IF($B168="","",COUNTIFS(Data!$S$2:$S$1201,$B168,Data!$AI$2:$AI$1201,1))</f>
        <v/>
      </c>
      <c r="I168" s="45" t="str">
        <f>IF(OR($B168="",$D168=0),"",SUMIFS(Data!$N$2:$N$1201,Data!$S$2:$S$1201,$B168,Data!$AI$2:$AI$1201,1)/60/$D168)</f>
        <v/>
      </c>
      <c r="J168" s="48" t="str">
        <f>IF($B168="","",SUMIFS(Data!$AH$2:$AH$1201,Data!$S$2:$S$1201,$B168))</f>
        <v/>
      </c>
    </row>
    <row r="169" spans="2:10" x14ac:dyDescent="0.25">
      <c r="B169" s="51" t="str">
        <f>IFERROR(SMALL(Rhythm!$Z$8:$Z$207,160),"")</f>
        <v/>
      </c>
      <c r="C169" s="42" t="str">
        <f t="shared" si="8"/>
        <v/>
      </c>
      <c r="D169" s="53" t="str">
        <f>IF($B169="","",SUMIFS(Data!$N$2:$N$1201,Data!$S$2:$S$1201,$B169)/60)</f>
        <v/>
      </c>
      <c r="E169" s="47" t="str">
        <f>IF($B169="","",COUNTIFS(Data!$S$2:$S$1201,$B169,Data!$E$2:$E$1201,"timed"))</f>
        <v/>
      </c>
      <c r="F169" s="56" t="str">
        <f>IF($B169="","",SUMIFS(Data!$AG$2:$AG$1201,Data!$S$2:$S$1201,$B169))</f>
        <v/>
      </c>
      <c r="G169" s="54" t="str">
        <f t="shared" si="9"/>
        <v/>
      </c>
      <c r="H169" s="47" t="str">
        <f>IF($B169="","",COUNTIFS(Data!$S$2:$S$1201,$B169,Data!$AI$2:$AI$1201,1))</f>
        <v/>
      </c>
      <c r="I169" s="45" t="str">
        <f>IF(OR($B169="",$D169=0),"",SUMIFS(Data!$N$2:$N$1201,Data!$S$2:$S$1201,$B169,Data!$AI$2:$AI$1201,1)/60/$D169)</f>
        <v/>
      </c>
      <c r="J169" s="48" t="str">
        <f>IF($B169="","",SUMIFS(Data!$AH$2:$AH$1201,Data!$S$2:$S$1201,$B169))</f>
        <v/>
      </c>
    </row>
    <row r="170" spans="2:10" x14ac:dyDescent="0.25">
      <c r="B170" s="51" t="str">
        <f>IFERROR(SMALL(Rhythm!$Z$8:$Z$207,161),"")</f>
        <v/>
      </c>
      <c r="C170" s="42" t="str">
        <f t="shared" ref="C170:C201" si="10">IF($B170="","",TEXT($B170,"ddd"))</f>
        <v/>
      </c>
      <c r="D170" s="53" t="str">
        <f>IF($B170="","",SUMIFS(Data!$N$2:$N$1201,Data!$S$2:$S$1201,$B170)/60)</f>
        <v/>
      </c>
      <c r="E170" s="47" t="str">
        <f>IF($B170="","",COUNTIFS(Data!$S$2:$S$1201,$B170,Data!$E$2:$E$1201,"timed"))</f>
        <v/>
      </c>
      <c r="F170" s="56" t="str">
        <f>IF($B170="","",SUMIFS(Data!$AG$2:$AG$1201,Data!$S$2:$S$1201,$B170))</f>
        <v/>
      </c>
      <c r="G170" s="54" t="str">
        <f t="shared" ref="G170:G201" si="11">IF(OR($B170="",$D170=0),"",$F170/$D170)</f>
        <v/>
      </c>
      <c r="H170" s="47" t="str">
        <f>IF($B170="","",COUNTIFS(Data!$S$2:$S$1201,$B170,Data!$AI$2:$AI$1201,1))</f>
        <v/>
      </c>
      <c r="I170" s="45" t="str">
        <f>IF(OR($B170="",$D170=0),"",SUMIFS(Data!$N$2:$N$1201,Data!$S$2:$S$1201,$B170,Data!$AI$2:$AI$1201,1)/60/$D170)</f>
        <v/>
      </c>
      <c r="J170" s="48" t="str">
        <f>IF($B170="","",SUMIFS(Data!$AH$2:$AH$1201,Data!$S$2:$S$1201,$B170))</f>
        <v/>
      </c>
    </row>
    <row r="171" spans="2:10" x14ac:dyDescent="0.25">
      <c r="B171" s="51" t="str">
        <f>IFERROR(SMALL(Rhythm!$Z$8:$Z$207,162),"")</f>
        <v/>
      </c>
      <c r="C171" s="42" t="str">
        <f t="shared" si="10"/>
        <v/>
      </c>
      <c r="D171" s="53" t="str">
        <f>IF($B171="","",SUMIFS(Data!$N$2:$N$1201,Data!$S$2:$S$1201,$B171)/60)</f>
        <v/>
      </c>
      <c r="E171" s="47" t="str">
        <f>IF($B171="","",COUNTIFS(Data!$S$2:$S$1201,$B171,Data!$E$2:$E$1201,"timed"))</f>
        <v/>
      </c>
      <c r="F171" s="56" t="str">
        <f>IF($B171="","",SUMIFS(Data!$AG$2:$AG$1201,Data!$S$2:$S$1201,$B171))</f>
        <v/>
      </c>
      <c r="G171" s="54" t="str">
        <f t="shared" si="11"/>
        <v/>
      </c>
      <c r="H171" s="47" t="str">
        <f>IF($B171="","",COUNTIFS(Data!$S$2:$S$1201,$B171,Data!$AI$2:$AI$1201,1))</f>
        <v/>
      </c>
      <c r="I171" s="45" t="str">
        <f>IF(OR($B171="",$D171=0),"",SUMIFS(Data!$N$2:$N$1201,Data!$S$2:$S$1201,$B171,Data!$AI$2:$AI$1201,1)/60/$D171)</f>
        <v/>
      </c>
      <c r="J171" s="48" t="str">
        <f>IF($B171="","",SUMIFS(Data!$AH$2:$AH$1201,Data!$S$2:$S$1201,$B171))</f>
        <v/>
      </c>
    </row>
    <row r="172" spans="2:10" x14ac:dyDescent="0.25">
      <c r="B172" s="51" t="str">
        <f>IFERROR(SMALL(Rhythm!$Z$8:$Z$207,163),"")</f>
        <v/>
      </c>
      <c r="C172" s="42" t="str">
        <f t="shared" si="10"/>
        <v/>
      </c>
      <c r="D172" s="53" t="str">
        <f>IF($B172="","",SUMIFS(Data!$N$2:$N$1201,Data!$S$2:$S$1201,$B172)/60)</f>
        <v/>
      </c>
      <c r="E172" s="47" t="str">
        <f>IF($B172="","",COUNTIFS(Data!$S$2:$S$1201,$B172,Data!$E$2:$E$1201,"timed"))</f>
        <v/>
      </c>
      <c r="F172" s="56" t="str">
        <f>IF($B172="","",SUMIFS(Data!$AG$2:$AG$1201,Data!$S$2:$S$1201,$B172))</f>
        <v/>
      </c>
      <c r="G172" s="54" t="str">
        <f t="shared" si="11"/>
        <v/>
      </c>
      <c r="H172" s="47" t="str">
        <f>IF($B172="","",COUNTIFS(Data!$S$2:$S$1201,$B172,Data!$AI$2:$AI$1201,1))</f>
        <v/>
      </c>
      <c r="I172" s="45" t="str">
        <f>IF(OR($B172="",$D172=0),"",SUMIFS(Data!$N$2:$N$1201,Data!$S$2:$S$1201,$B172,Data!$AI$2:$AI$1201,1)/60/$D172)</f>
        <v/>
      </c>
      <c r="J172" s="48" t="str">
        <f>IF($B172="","",SUMIFS(Data!$AH$2:$AH$1201,Data!$S$2:$S$1201,$B172))</f>
        <v/>
      </c>
    </row>
    <row r="173" spans="2:10" x14ac:dyDescent="0.25">
      <c r="B173" s="51" t="str">
        <f>IFERROR(SMALL(Rhythm!$Z$8:$Z$207,164),"")</f>
        <v/>
      </c>
      <c r="C173" s="42" t="str">
        <f t="shared" si="10"/>
        <v/>
      </c>
      <c r="D173" s="53" t="str">
        <f>IF($B173="","",SUMIFS(Data!$N$2:$N$1201,Data!$S$2:$S$1201,$B173)/60)</f>
        <v/>
      </c>
      <c r="E173" s="47" t="str">
        <f>IF($B173="","",COUNTIFS(Data!$S$2:$S$1201,$B173,Data!$E$2:$E$1201,"timed"))</f>
        <v/>
      </c>
      <c r="F173" s="56" t="str">
        <f>IF($B173="","",SUMIFS(Data!$AG$2:$AG$1201,Data!$S$2:$S$1201,$B173))</f>
        <v/>
      </c>
      <c r="G173" s="54" t="str">
        <f t="shared" si="11"/>
        <v/>
      </c>
      <c r="H173" s="47" t="str">
        <f>IF($B173="","",COUNTIFS(Data!$S$2:$S$1201,$B173,Data!$AI$2:$AI$1201,1))</f>
        <v/>
      </c>
      <c r="I173" s="45" t="str">
        <f>IF(OR($B173="",$D173=0),"",SUMIFS(Data!$N$2:$N$1201,Data!$S$2:$S$1201,$B173,Data!$AI$2:$AI$1201,1)/60/$D173)</f>
        <v/>
      </c>
      <c r="J173" s="48" t="str">
        <f>IF($B173="","",SUMIFS(Data!$AH$2:$AH$1201,Data!$S$2:$S$1201,$B173))</f>
        <v/>
      </c>
    </row>
    <row r="174" spans="2:10" x14ac:dyDescent="0.25">
      <c r="B174" s="51" t="str">
        <f>IFERROR(SMALL(Rhythm!$Z$8:$Z$207,165),"")</f>
        <v/>
      </c>
      <c r="C174" s="42" t="str">
        <f t="shared" si="10"/>
        <v/>
      </c>
      <c r="D174" s="53" t="str">
        <f>IF($B174="","",SUMIFS(Data!$N$2:$N$1201,Data!$S$2:$S$1201,$B174)/60)</f>
        <v/>
      </c>
      <c r="E174" s="47" t="str">
        <f>IF($B174="","",COUNTIFS(Data!$S$2:$S$1201,$B174,Data!$E$2:$E$1201,"timed"))</f>
        <v/>
      </c>
      <c r="F174" s="56" t="str">
        <f>IF($B174="","",SUMIFS(Data!$AG$2:$AG$1201,Data!$S$2:$S$1201,$B174))</f>
        <v/>
      </c>
      <c r="G174" s="54" t="str">
        <f t="shared" si="11"/>
        <v/>
      </c>
      <c r="H174" s="47" t="str">
        <f>IF($B174="","",COUNTIFS(Data!$S$2:$S$1201,$B174,Data!$AI$2:$AI$1201,1))</f>
        <v/>
      </c>
      <c r="I174" s="45" t="str">
        <f>IF(OR($B174="",$D174=0),"",SUMIFS(Data!$N$2:$N$1201,Data!$S$2:$S$1201,$B174,Data!$AI$2:$AI$1201,1)/60/$D174)</f>
        <v/>
      </c>
      <c r="J174" s="48" t="str">
        <f>IF($B174="","",SUMIFS(Data!$AH$2:$AH$1201,Data!$S$2:$S$1201,$B174))</f>
        <v/>
      </c>
    </row>
    <row r="175" spans="2:10" x14ac:dyDescent="0.25">
      <c r="B175" s="51" t="str">
        <f>IFERROR(SMALL(Rhythm!$Z$8:$Z$207,166),"")</f>
        <v/>
      </c>
      <c r="C175" s="42" t="str">
        <f t="shared" si="10"/>
        <v/>
      </c>
      <c r="D175" s="53" t="str">
        <f>IF($B175="","",SUMIFS(Data!$N$2:$N$1201,Data!$S$2:$S$1201,$B175)/60)</f>
        <v/>
      </c>
      <c r="E175" s="47" t="str">
        <f>IF($B175="","",COUNTIFS(Data!$S$2:$S$1201,$B175,Data!$E$2:$E$1201,"timed"))</f>
        <v/>
      </c>
      <c r="F175" s="56" t="str">
        <f>IF($B175="","",SUMIFS(Data!$AG$2:$AG$1201,Data!$S$2:$S$1201,$B175))</f>
        <v/>
      </c>
      <c r="G175" s="54" t="str">
        <f t="shared" si="11"/>
        <v/>
      </c>
      <c r="H175" s="47" t="str">
        <f>IF($B175="","",COUNTIFS(Data!$S$2:$S$1201,$B175,Data!$AI$2:$AI$1201,1))</f>
        <v/>
      </c>
      <c r="I175" s="45" t="str">
        <f>IF(OR($B175="",$D175=0),"",SUMIFS(Data!$N$2:$N$1201,Data!$S$2:$S$1201,$B175,Data!$AI$2:$AI$1201,1)/60/$D175)</f>
        <v/>
      </c>
      <c r="J175" s="48" t="str">
        <f>IF($B175="","",SUMIFS(Data!$AH$2:$AH$1201,Data!$S$2:$S$1201,$B175))</f>
        <v/>
      </c>
    </row>
    <row r="176" spans="2:10" x14ac:dyDescent="0.25">
      <c r="B176" s="51" t="str">
        <f>IFERROR(SMALL(Rhythm!$Z$8:$Z$207,167),"")</f>
        <v/>
      </c>
      <c r="C176" s="42" t="str">
        <f t="shared" si="10"/>
        <v/>
      </c>
      <c r="D176" s="53" t="str">
        <f>IF($B176="","",SUMIFS(Data!$N$2:$N$1201,Data!$S$2:$S$1201,$B176)/60)</f>
        <v/>
      </c>
      <c r="E176" s="47" t="str">
        <f>IF($B176="","",COUNTIFS(Data!$S$2:$S$1201,$B176,Data!$E$2:$E$1201,"timed"))</f>
        <v/>
      </c>
      <c r="F176" s="56" t="str">
        <f>IF($B176="","",SUMIFS(Data!$AG$2:$AG$1201,Data!$S$2:$S$1201,$B176))</f>
        <v/>
      </c>
      <c r="G176" s="54" t="str">
        <f t="shared" si="11"/>
        <v/>
      </c>
      <c r="H176" s="47" t="str">
        <f>IF($B176="","",COUNTIFS(Data!$S$2:$S$1201,$B176,Data!$AI$2:$AI$1201,1))</f>
        <v/>
      </c>
      <c r="I176" s="45" t="str">
        <f>IF(OR($B176="",$D176=0),"",SUMIFS(Data!$N$2:$N$1201,Data!$S$2:$S$1201,$B176,Data!$AI$2:$AI$1201,1)/60/$D176)</f>
        <v/>
      </c>
      <c r="J176" s="48" t="str">
        <f>IF($B176="","",SUMIFS(Data!$AH$2:$AH$1201,Data!$S$2:$S$1201,$B176))</f>
        <v/>
      </c>
    </row>
    <row r="177" spans="2:10" x14ac:dyDescent="0.25">
      <c r="B177" s="51" t="str">
        <f>IFERROR(SMALL(Rhythm!$Z$8:$Z$207,168),"")</f>
        <v/>
      </c>
      <c r="C177" s="42" t="str">
        <f t="shared" si="10"/>
        <v/>
      </c>
      <c r="D177" s="53" t="str">
        <f>IF($B177="","",SUMIFS(Data!$N$2:$N$1201,Data!$S$2:$S$1201,$B177)/60)</f>
        <v/>
      </c>
      <c r="E177" s="47" t="str">
        <f>IF($B177="","",COUNTIFS(Data!$S$2:$S$1201,$B177,Data!$E$2:$E$1201,"timed"))</f>
        <v/>
      </c>
      <c r="F177" s="56" t="str">
        <f>IF($B177="","",SUMIFS(Data!$AG$2:$AG$1201,Data!$S$2:$S$1201,$B177))</f>
        <v/>
      </c>
      <c r="G177" s="54" t="str">
        <f t="shared" si="11"/>
        <v/>
      </c>
      <c r="H177" s="47" t="str">
        <f>IF($B177="","",COUNTIFS(Data!$S$2:$S$1201,$B177,Data!$AI$2:$AI$1201,1))</f>
        <v/>
      </c>
      <c r="I177" s="45" t="str">
        <f>IF(OR($B177="",$D177=0),"",SUMIFS(Data!$N$2:$N$1201,Data!$S$2:$S$1201,$B177,Data!$AI$2:$AI$1201,1)/60/$D177)</f>
        <v/>
      </c>
      <c r="J177" s="48" t="str">
        <f>IF($B177="","",SUMIFS(Data!$AH$2:$AH$1201,Data!$S$2:$S$1201,$B177))</f>
        <v/>
      </c>
    </row>
    <row r="178" spans="2:10" x14ac:dyDescent="0.25">
      <c r="B178" s="51" t="str">
        <f>IFERROR(SMALL(Rhythm!$Z$8:$Z$207,169),"")</f>
        <v/>
      </c>
      <c r="C178" s="42" t="str">
        <f t="shared" si="10"/>
        <v/>
      </c>
      <c r="D178" s="53" t="str">
        <f>IF($B178="","",SUMIFS(Data!$N$2:$N$1201,Data!$S$2:$S$1201,$B178)/60)</f>
        <v/>
      </c>
      <c r="E178" s="47" t="str">
        <f>IF($B178="","",COUNTIFS(Data!$S$2:$S$1201,$B178,Data!$E$2:$E$1201,"timed"))</f>
        <v/>
      </c>
      <c r="F178" s="56" t="str">
        <f>IF($B178="","",SUMIFS(Data!$AG$2:$AG$1201,Data!$S$2:$S$1201,$B178))</f>
        <v/>
      </c>
      <c r="G178" s="54" t="str">
        <f t="shared" si="11"/>
        <v/>
      </c>
      <c r="H178" s="47" t="str">
        <f>IF($B178="","",COUNTIFS(Data!$S$2:$S$1201,$B178,Data!$AI$2:$AI$1201,1))</f>
        <v/>
      </c>
      <c r="I178" s="45" t="str">
        <f>IF(OR($B178="",$D178=0),"",SUMIFS(Data!$N$2:$N$1201,Data!$S$2:$S$1201,$B178,Data!$AI$2:$AI$1201,1)/60/$D178)</f>
        <v/>
      </c>
      <c r="J178" s="48" t="str">
        <f>IF($B178="","",SUMIFS(Data!$AH$2:$AH$1201,Data!$S$2:$S$1201,$B178))</f>
        <v/>
      </c>
    </row>
    <row r="179" spans="2:10" x14ac:dyDescent="0.25">
      <c r="B179" s="51" t="str">
        <f>IFERROR(SMALL(Rhythm!$Z$8:$Z$207,170),"")</f>
        <v/>
      </c>
      <c r="C179" s="42" t="str">
        <f t="shared" si="10"/>
        <v/>
      </c>
      <c r="D179" s="53" t="str">
        <f>IF($B179="","",SUMIFS(Data!$N$2:$N$1201,Data!$S$2:$S$1201,$B179)/60)</f>
        <v/>
      </c>
      <c r="E179" s="47" t="str">
        <f>IF($B179="","",COUNTIFS(Data!$S$2:$S$1201,$B179,Data!$E$2:$E$1201,"timed"))</f>
        <v/>
      </c>
      <c r="F179" s="56" t="str">
        <f>IF($B179="","",SUMIFS(Data!$AG$2:$AG$1201,Data!$S$2:$S$1201,$B179))</f>
        <v/>
      </c>
      <c r="G179" s="54" t="str">
        <f t="shared" si="11"/>
        <v/>
      </c>
      <c r="H179" s="47" t="str">
        <f>IF($B179="","",COUNTIFS(Data!$S$2:$S$1201,$B179,Data!$AI$2:$AI$1201,1))</f>
        <v/>
      </c>
      <c r="I179" s="45" t="str">
        <f>IF(OR($B179="",$D179=0),"",SUMIFS(Data!$N$2:$N$1201,Data!$S$2:$S$1201,$B179,Data!$AI$2:$AI$1201,1)/60/$D179)</f>
        <v/>
      </c>
      <c r="J179" s="48" t="str">
        <f>IF($B179="","",SUMIFS(Data!$AH$2:$AH$1201,Data!$S$2:$S$1201,$B179))</f>
        <v/>
      </c>
    </row>
    <row r="180" spans="2:10" x14ac:dyDescent="0.25">
      <c r="B180" s="51" t="str">
        <f>IFERROR(SMALL(Rhythm!$Z$8:$Z$207,171),"")</f>
        <v/>
      </c>
      <c r="C180" s="42" t="str">
        <f t="shared" si="10"/>
        <v/>
      </c>
      <c r="D180" s="53" t="str">
        <f>IF($B180="","",SUMIFS(Data!$N$2:$N$1201,Data!$S$2:$S$1201,$B180)/60)</f>
        <v/>
      </c>
      <c r="E180" s="47" t="str">
        <f>IF($B180="","",COUNTIFS(Data!$S$2:$S$1201,$B180,Data!$E$2:$E$1201,"timed"))</f>
        <v/>
      </c>
      <c r="F180" s="56" t="str">
        <f>IF($B180="","",SUMIFS(Data!$AG$2:$AG$1201,Data!$S$2:$S$1201,$B180))</f>
        <v/>
      </c>
      <c r="G180" s="54" t="str">
        <f t="shared" si="11"/>
        <v/>
      </c>
      <c r="H180" s="47" t="str">
        <f>IF($B180="","",COUNTIFS(Data!$S$2:$S$1201,$B180,Data!$AI$2:$AI$1201,1))</f>
        <v/>
      </c>
      <c r="I180" s="45" t="str">
        <f>IF(OR($B180="",$D180=0),"",SUMIFS(Data!$N$2:$N$1201,Data!$S$2:$S$1201,$B180,Data!$AI$2:$AI$1201,1)/60/$D180)</f>
        <v/>
      </c>
      <c r="J180" s="48" t="str">
        <f>IF($B180="","",SUMIFS(Data!$AH$2:$AH$1201,Data!$S$2:$S$1201,$B180))</f>
        <v/>
      </c>
    </row>
    <row r="181" spans="2:10" x14ac:dyDescent="0.25">
      <c r="B181" s="51" t="str">
        <f>IFERROR(SMALL(Rhythm!$Z$8:$Z$207,172),"")</f>
        <v/>
      </c>
      <c r="C181" s="42" t="str">
        <f t="shared" si="10"/>
        <v/>
      </c>
      <c r="D181" s="53" t="str">
        <f>IF($B181="","",SUMIFS(Data!$N$2:$N$1201,Data!$S$2:$S$1201,$B181)/60)</f>
        <v/>
      </c>
      <c r="E181" s="47" t="str">
        <f>IF($B181="","",COUNTIFS(Data!$S$2:$S$1201,$B181,Data!$E$2:$E$1201,"timed"))</f>
        <v/>
      </c>
      <c r="F181" s="56" t="str">
        <f>IF($B181="","",SUMIFS(Data!$AG$2:$AG$1201,Data!$S$2:$S$1201,$B181))</f>
        <v/>
      </c>
      <c r="G181" s="54" t="str">
        <f t="shared" si="11"/>
        <v/>
      </c>
      <c r="H181" s="47" t="str">
        <f>IF($B181="","",COUNTIFS(Data!$S$2:$S$1201,$B181,Data!$AI$2:$AI$1201,1))</f>
        <v/>
      </c>
      <c r="I181" s="45" t="str">
        <f>IF(OR($B181="",$D181=0),"",SUMIFS(Data!$N$2:$N$1201,Data!$S$2:$S$1201,$B181,Data!$AI$2:$AI$1201,1)/60/$D181)</f>
        <v/>
      </c>
      <c r="J181" s="48" t="str">
        <f>IF($B181="","",SUMIFS(Data!$AH$2:$AH$1201,Data!$S$2:$S$1201,$B181))</f>
        <v/>
      </c>
    </row>
    <row r="182" spans="2:10" x14ac:dyDescent="0.25">
      <c r="B182" s="51" t="str">
        <f>IFERROR(SMALL(Rhythm!$Z$8:$Z$207,173),"")</f>
        <v/>
      </c>
      <c r="C182" s="42" t="str">
        <f t="shared" si="10"/>
        <v/>
      </c>
      <c r="D182" s="53" t="str">
        <f>IF($B182="","",SUMIFS(Data!$N$2:$N$1201,Data!$S$2:$S$1201,$B182)/60)</f>
        <v/>
      </c>
      <c r="E182" s="47" t="str">
        <f>IF($B182="","",COUNTIFS(Data!$S$2:$S$1201,$B182,Data!$E$2:$E$1201,"timed"))</f>
        <v/>
      </c>
      <c r="F182" s="56" t="str">
        <f>IF($B182="","",SUMIFS(Data!$AG$2:$AG$1201,Data!$S$2:$S$1201,$B182))</f>
        <v/>
      </c>
      <c r="G182" s="54" t="str">
        <f t="shared" si="11"/>
        <v/>
      </c>
      <c r="H182" s="47" t="str">
        <f>IF($B182="","",COUNTIFS(Data!$S$2:$S$1201,$B182,Data!$AI$2:$AI$1201,1))</f>
        <v/>
      </c>
      <c r="I182" s="45" t="str">
        <f>IF(OR($B182="",$D182=0),"",SUMIFS(Data!$N$2:$N$1201,Data!$S$2:$S$1201,$B182,Data!$AI$2:$AI$1201,1)/60/$D182)</f>
        <v/>
      </c>
      <c r="J182" s="48" t="str">
        <f>IF($B182="","",SUMIFS(Data!$AH$2:$AH$1201,Data!$S$2:$S$1201,$B182))</f>
        <v/>
      </c>
    </row>
    <row r="183" spans="2:10" x14ac:dyDescent="0.25">
      <c r="B183" s="51" t="str">
        <f>IFERROR(SMALL(Rhythm!$Z$8:$Z$207,174),"")</f>
        <v/>
      </c>
      <c r="C183" s="42" t="str">
        <f t="shared" si="10"/>
        <v/>
      </c>
      <c r="D183" s="53" t="str">
        <f>IF($B183="","",SUMIFS(Data!$N$2:$N$1201,Data!$S$2:$S$1201,$B183)/60)</f>
        <v/>
      </c>
      <c r="E183" s="47" t="str">
        <f>IF($B183="","",COUNTIFS(Data!$S$2:$S$1201,$B183,Data!$E$2:$E$1201,"timed"))</f>
        <v/>
      </c>
      <c r="F183" s="56" t="str">
        <f>IF($B183="","",SUMIFS(Data!$AG$2:$AG$1201,Data!$S$2:$S$1201,$B183))</f>
        <v/>
      </c>
      <c r="G183" s="54" t="str">
        <f t="shared" si="11"/>
        <v/>
      </c>
      <c r="H183" s="47" t="str">
        <f>IF($B183="","",COUNTIFS(Data!$S$2:$S$1201,$B183,Data!$AI$2:$AI$1201,1))</f>
        <v/>
      </c>
      <c r="I183" s="45" t="str">
        <f>IF(OR($B183="",$D183=0),"",SUMIFS(Data!$N$2:$N$1201,Data!$S$2:$S$1201,$B183,Data!$AI$2:$AI$1201,1)/60/$D183)</f>
        <v/>
      </c>
      <c r="J183" s="48" t="str">
        <f>IF($B183="","",SUMIFS(Data!$AH$2:$AH$1201,Data!$S$2:$S$1201,$B183))</f>
        <v/>
      </c>
    </row>
    <row r="184" spans="2:10" x14ac:dyDescent="0.25">
      <c r="B184" s="51" t="str">
        <f>IFERROR(SMALL(Rhythm!$Z$8:$Z$207,175),"")</f>
        <v/>
      </c>
      <c r="C184" s="42" t="str">
        <f t="shared" si="10"/>
        <v/>
      </c>
      <c r="D184" s="53" t="str">
        <f>IF($B184="","",SUMIFS(Data!$N$2:$N$1201,Data!$S$2:$S$1201,$B184)/60)</f>
        <v/>
      </c>
      <c r="E184" s="47" t="str">
        <f>IF($B184="","",COUNTIFS(Data!$S$2:$S$1201,$B184,Data!$E$2:$E$1201,"timed"))</f>
        <v/>
      </c>
      <c r="F184" s="56" t="str">
        <f>IF($B184="","",SUMIFS(Data!$AG$2:$AG$1201,Data!$S$2:$S$1201,$B184))</f>
        <v/>
      </c>
      <c r="G184" s="54" t="str">
        <f t="shared" si="11"/>
        <v/>
      </c>
      <c r="H184" s="47" t="str">
        <f>IF($B184="","",COUNTIFS(Data!$S$2:$S$1201,$B184,Data!$AI$2:$AI$1201,1))</f>
        <v/>
      </c>
      <c r="I184" s="45" t="str">
        <f>IF(OR($B184="",$D184=0),"",SUMIFS(Data!$N$2:$N$1201,Data!$S$2:$S$1201,$B184,Data!$AI$2:$AI$1201,1)/60/$D184)</f>
        <v/>
      </c>
      <c r="J184" s="48" t="str">
        <f>IF($B184="","",SUMIFS(Data!$AH$2:$AH$1201,Data!$S$2:$S$1201,$B184))</f>
        <v/>
      </c>
    </row>
    <row r="185" spans="2:10" x14ac:dyDescent="0.25">
      <c r="B185" s="51" t="str">
        <f>IFERROR(SMALL(Rhythm!$Z$8:$Z$207,176),"")</f>
        <v/>
      </c>
      <c r="C185" s="42" t="str">
        <f t="shared" si="10"/>
        <v/>
      </c>
      <c r="D185" s="53" t="str">
        <f>IF($B185="","",SUMIFS(Data!$N$2:$N$1201,Data!$S$2:$S$1201,$B185)/60)</f>
        <v/>
      </c>
      <c r="E185" s="47" t="str">
        <f>IF($B185="","",COUNTIFS(Data!$S$2:$S$1201,$B185,Data!$E$2:$E$1201,"timed"))</f>
        <v/>
      </c>
      <c r="F185" s="56" t="str">
        <f>IF($B185="","",SUMIFS(Data!$AG$2:$AG$1201,Data!$S$2:$S$1201,$B185))</f>
        <v/>
      </c>
      <c r="G185" s="54" t="str">
        <f t="shared" si="11"/>
        <v/>
      </c>
      <c r="H185" s="47" t="str">
        <f>IF($B185="","",COUNTIFS(Data!$S$2:$S$1201,$B185,Data!$AI$2:$AI$1201,1))</f>
        <v/>
      </c>
      <c r="I185" s="45" t="str">
        <f>IF(OR($B185="",$D185=0),"",SUMIFS(Data!$N$2:$N$1201,Data!$S$2:$S$1201,$B185,Data!$AI$2:$AI$1201,1)/60/$D185)</f>
        <v/>
      </c>
      <c r="J185" s="48" t="str">
        <f>IF($B185="","",SUMIFS(Data!$AH$2:$AH$1201,Data!$S$2:$S$1201,$B185))</f>
        <v/>
      </c>
    </row>
    <row r="186" spans="2:10" x14ac:dyDescent="0.25">
      <c r="B186" s="51" t="str">
        <f>IFERROR(SMALL(Rhythm!$Z$8:$Z$207,177),"")</f>
        <v/>
      </c>
      <c r="C186" s="42" t="str">
        <f t="shared" si="10"/>
        <v/>
      </c>
      <c r="D186" s="53" t="str">
        <f>IF($B186="","",SUMIFS(Data!$N$2:$N$1201,Data!$S$2:$S$1201,$B186)/60)</f>
        <v/>
      </c>
      <c r="E186" s="47" t="str">
        <f>IF($B186="","",COUNTIFS(Data!$S$2:$S$1201,$B186,Data!$E$2:$E$1201,"timed"))</f>
        <v/>
      </c>
      <c r="F186" s="56" t="str">
        <f>IF($B186="","",SUMIFS(Data!$AG$2:$AG$1201,Data!$S$2:$S$1201,$B186))</f>
        <v/>
      </c>
      <c r="G186" s="54" t="str">
        <f t="shared" si="11"/>
        <v/>
      </c>
      <c r="H186" s="47" t="str">
        <f>IF($B186="","",COUNTIFS(Data!$S$2:$S$1201,$B186,Data!$AI$2:$AI$1201,1))</f>
        <v/>
      </c>
      <c r="I186" s="45" t="str">
        <f>IF(OR($B186="",$D186=0),"",SUMIFS(Data!$N$2:$N$1201,Data!$S$2:$S$1201,$B186,Data!$AI$2:$AI$1201,1)/60/$D186)</f>
        <v/>
      </c>
      <c r="J186" s="48" t="str">
        <f>IF($B186="","",SUMIFS(Data!$AH$2:$AH$1201,Data!$S$2:$S$1201,$B186))</f>
        <v/>
      </c>
    </row>
    <row r="187" spans="2:10" x14ac:dyDescent="0.25">
      <c r="B187" s="51" t="str">
        <f>IFERROR(SMALL(Rhythm!$Z$8:$Z$207,178),"")</f>
        <v/>
      </c>
      <c r="C187" s="42" t="str">
        <f t="shared" si="10"/>
        <v/>
      </c>
      <c r="D187" s="53" t="str">
        <f>IF($B187="","",SUMIFS(Data!$N$2:$N$1201,Data!$S$2:$S$1201,$B187)/60)</f>
        <v/>
      </c>
      <c r="E187" s="47" t="str">
        <f>IF($B187="","",COUNTIFS(Data!$S$2:$S$1201,$B187,Data!$E$2:$E$1201,"timed"))</f>
        <v/>
      </c>
      <c r="F187" s="56" t="str">
        <f>IF($B187="","",SUMIFS(Data!$AG$2:$AG$1201,Data!$S$2:$S$1201,$B187))</f>
        <v/>
      </c>
      <c r="G187" s="54" t="str">
        <f t="shared" si="11"/>
        <v/>
      </c>
      <c r="H187" s="47" t="str">
        <f>IF($B187="","",COUNTIFS(Data!$S$2:$S$1201,$B187,Data!$AI$2:$AI$1201,1))</f>
        <v/>
      </c>
      <c r="I187" s="45" t="str">
        <f>IF(OR($B187="",$D187=0),"",SUMIFS(Data!$N$2:$N$1201,Data!$S$2:$S$1201,$B187,Data!$AI$2:$AI$1201,1)/60/$D187)</f>
        <v/>
      </c>
      <c r="J187" s="48" t="str">
        <f>IF($B187="","",SUMIFS(Data!$AH$2:$AH$1201,Data!$S$2:$S$1201,$B187))</f>
        <v/>
      </c>
    </row>
    <row r="188" spans="2:10" x14ac:dyDescent="0.25">
      <c r="B188" s="51" t="str">
        <f>IFERROR(SMALL(Rhythm!$Z$8:$Z$207,179),"")</f>
        <v/>
      </c>
      <c r="C188" s="42" t="str">
        <f t="shared" si="10"/>
        <v/>
      </c>
      <c r="D188" s="53" t="str">
        <f>IF($B188="","",SUMIFS(Data!$N$2:$N$1201,Data!$S$2:$S$1201,$B188)/60)</f>
        <v/>
      </c>
      <c r="E188" s="47" t="str">
        <f>IF($B188="","",COUNTIFS(Data!$S$2:$S$1201,$B188,Data!$E$2:$E$1201,"timed"))</f>
        <v/>
      </c>
      <c r="F188" s="56" t="str">
        <f>IF($B188="","",SUMIFS(Data!$AG$2:$AG$1201,Data!$S$2:$S$1201,$B188))</f>
        <v/>
      </c>
      <c r="G188" s="54" t="str">
        <f t="shared" si="11"/>
        <v/>
      </c>
      <c r="H188" s="47" t="str">
        <f>IF($B188="","",COUNTIFS(Data!$S$2:$S$1201,$B188,Data!$AI$2:$AI$1201,1))</f>
        <v/>
      </c>
      <c r="I188" s="45" t="str">
        <f>IF(OR($B188="",$D188=0),"",SUMIFS(Data!$N$2:$N$1201,Data!$S$2:$S$1201,$B188,Data!$AI$2:$AI$1201,1)/60/$D188)</f>
        <v/>
      </c>
      <c r="J188" s="48" t="str">
        <f>IF($B188="","",SUMIFS(Data!$AH$2:$AH$1201,Data!$S$2:$S$1201,$B188))</f>
        <v/>
      </c>
    </row>
    <row r="189" spans="2:10" x14ac:dyDescent="0.25">
      <c r="B189" s="51" t="str">
        <f>IFERROR(SMALL(Rhythm!$Z$8:$Z$207,180),"")</f>
        <v/>
      </c>
      <c r="C189" s="42" t="str">
        <f t="shared" si="10"/>
        <v/>
      </c>
      <c r="D189" s="53" t="str">
        <f>IF($B189="","",SUMIFS(Data!$N$2:$N$1201,Data!$S$2:$S$1201,$B189)/60)</f>
        <v/>
      </c>
      <c r="E189" s="47" t="str">
        <f>IF($B189="","",COUNTIFS(Data!$S$2:$S$1201,$B189,Data!$E$2:$E$1201,"timed"))</f>
        <v/>
      </c>
      <c r="F189" s="56" t="str">
        <f>IF($B189="","",SUMIFS(Data!$AG$2:$AG$1201,Data!$S$2:$S$1201,$B189))</f>
        <v/>
      </c>
      <c r="G189" s="54" t="str">
        <f t="shared" si="11"/>
        <v/>
      </c>
      <c r="H189" s="47" t="str">
        <f>IF($B189="","",COUNTIFS(Data!$S$2:$S$1201,$B189,Data!$AI$2:$AI$1201,1))</f>
        <v/>
      </c>
      <c r="I189" s="45" t="str">
        <f>IF(OR($B189="",$D189=0),"",SUMIFS(Data!$N$2:$N$1201,Data!$S$2:$S$1201,$B189,Data!$AI$2:$AI$1201,1)/60/$D189)</f>
        <v/>
      </c>
      <c r="J189" s="48" t="str">
        <f>IF($B189="","",SUMIFS(Data!$AH$2:$AH$1201,Data!$S$2:$S$1201,$B189))</f>
        <v/>
      </c>
    </row>
    <row r="190" spans="2:10" x14ac:dyDescent="0.25">
      <c r="B190" s="51" t="str">
        <f>IFERROR(SMALL(Rhythm!$Z$8:$Z$207,181),"")</f>
        <v/>
      </c>
      <c r="C190" s="42" t="str">
        <f t="shared" si="10"/>
        <v/>
      </c>
      <c r="D190" s="53" t="str">
        <f>IF($B190="","",SUMIFS(Data!$N$2:$N$1201,Data!$S$2:$S$1201,$B190)/60)</f>
        <v/>
      </c>
      <c r="E190" s="47" t="str">
        <f>IF($B190="","",COUNTIFS(Data!$S$2:$S$1201,$B190,Data!$E$2:$E$1201,"timed"))</f>
        <v/>
      </c>
      <c r="F190" s="56" t="str">
        <f>IF($B190="","",SUMIFS(Data!$AG$2:$AG$1201,Data!$S$2:$S$1201,$B190))</f>
        <v/>
      </c>
      <c r="G190" s="54" t="str">
        <f t="shared" si="11"/>
        <v/>
      </c>
      <c r="H190" s="47" t="str">
        <f>IF($B190="","",COUNTIFS(Data!$S$2:$S$1201,$B190,Data!$AI$2:$AI$1201,1))</f>
        <v/>
      </c>
      <c r="I190" s="45" t="str">
        <f>IF(OR($B190="",$D190=0),"",SUMIFS(Data!$N$2:$N$1201,Data!$S$2:$S$1201,$B190,Data!$AI$2:$AI$1201,1)/60/$D190)</f>
        <v/>
      </c>
      <c r="J190" s="48" t="str">
        <f>IF($B190="","",SUMIFS(Data!$AH$2:$AH$1201,Data!$S$2:$S$1201,$B190))</f>
        <v/>
      </c>
    </row>
    <row r="191" spans="2:10" x14ac:dyDescent="0.25">
      <c r="B191" s="51" t="str">
        <f>IFERROR(SMALL(Rhythm!$Z$8:$Z$207,182),"")</f>
        <v/>
      </c>
      <c r="C191" s="42" t="str">
        <f t="shared" si="10"/>
        <v/>
      </c>
      <c r="D191" s="53" t="str">
        <f>IF($B191="","",SUMIFS(Data!$N$2:$N$1201,Data!$S$2:$S$1201,$B191)/60)</f>
        <v/>
      </c>
      <c r="E191" s="47" t="str">
        <f>IF($B191="","",COUNTIFS(Data!$S$2:$S$1201,$B191,Data!$E$2:$E$1201,"timed"))</f>
        <v/>
      </c>
      <c r="F191" s="56" t="str">
        <f>IF($B191="","",SUMIFS(Data!$AG$2:$AG$1201,Data!$S$2:$S$1201,$B191))</f>
        <v/>
      </c>
      <c r="G191" s="54" t="str">
        <f t="shared" si="11"/>
        <v/>
      </c>
      <c r="H191" s="47" t="str">
        <f>IF($B191="","",COUNTIFS(Data!$S$2:$S$1201,$B191,Data!$AI$2:$AI$1201,1))</f>
        <v/>
      </c>
      <c r="I191" s="45" t="str">
        <f>IF(OR($B191="",$D191=0),"",SUMIFS(Data!$N$2:$N$1201,Data!$S$2:$S$1201,$B191,Data!$AI$2:$AI$1201,1)/60/$D191)</f>
        <v/>
      </c>
      <c r="J191" s="48" t="str">
        <f>IF($B191="","",SUMIFS(Data!$AH$2:$AH$1201,Data!$S$2:$S$1201,$B191))</f>
        <v/>
      </c>
    </row>
    <row r="192" spans="2:10" x14ac:dyDescent="0.25">
      <c r="B192" s="51" t="str">
        <f>IFERROR(SMALL(Rhythm!$Z$8:$Z$207,183),"")</f>
        <v/>
      </c>
      <c r="C192" s="42" t="str">
        <f t="shared" si="10"/>
        <v/>
      </c>
      <c r="D192" s="53" t="str">
        <f>IF($B192="","",SUMIFS(Data!$N$2:$N$1201,Data!$S$2:$S$1201,$B192)/60)</f>
        <v/>
      </c>
      <c r="E192" s="47" t="str">
        <f>IF($B192="","",COUNTIFS(Data!$S$2:$S$1201,$B192,Data!$E$2:$E$1201,"timed"))</f>
        <v/>
      </c>
      <c r="F192" s="56" t="str">
        <f>IF($B192="","",SUMIFS(Data!$AG$2:$AG$1201,Data!$S$2:$S$1201,$B192))</f>
        <v/>
      </c>
      <c r="G192" s="54" t="str">
        <f t="shared" si="11"/>
        <v/>
      </c>
      <c r="H192" s="47" t="str">
        <f>IF($B192="","",COUNTIFS(Data!$S$2:$S$1201,$B192,Data!$AI$2:$AI$1201,1))</f>
        <v/>
      </c>
      <c r="I192" s="45" t="str">
        <f>IF(OR($B192="",$D192=0),"",SUMIFS(Data!$N$2:$N$1201,Data!$S$2:$S$1201,$B192,Data!$AI$2:$AI$1201,1)/60/$D192)</f>
        <v/>
      </c>
      <c r="J192" s="48" t="str">
        <f>IF($B192="","",SUMIFS(Data!$AH$2:$AH$1201,Data!$S$2:$S$1201,$B192))</f>
        <v/>
      </c>
    </row>
    <row r="193" spans="2:10" x14ac:dyDescent="0.25">
      <c r="B193" s="51" t="str">
        <f>IFERROR(SMALL(Rhythm!$Z$8:$Z$207,184),"")</f>
        <v/>
      </c>
      <c r="C193" s="42" t="str">
        <f t="shared" si="10"/>
        <v/>
      </c>
      <c r="D193" s="53" t="str">
        <f>IF($B193="","",SUMIFS(Data!$N$2:$N$1201,Data!$S$2:$S$1201,$B193)/60)</f>
        <v/>
      </c>
      <c r="E193" s="47" t="str">
        <f>IF($B193="","",COUNTIFS(Data!$S$2:$S$1201,$B193,Data!$E$2:$E$1201,"timed"))</f>
        <v/>
      </c>
      <c r="F193" s="56" t="str">
        <f>IF($B193="","",SUMIFS(Data!$AG$2:$AG$1201,Data!$S$2:$S$1201,$B193))</f>
        <v/>
      </c>
      <c r="G193" s="54" t="str">
        <f t="shared" si="11"/>
        <v/>
      </c>
      <c r="H193" s="47" t="str">
        <f>IF($B193="","",COUNTIFS(Data!$S$2:$S$1201,$B193,Data!$AI$2:$AI$1201,1))</f>
        <v/>
      </c>
      <c r="I193" s="45" t="str">
        <f>IF(OR($B193="",$D193=0),"",SUMIFS(Data!$N$2:$N$1201,Data!$S$2:$S$1201,$B193,Data!$AI$2:$AI$1201,1)/60/$D193)</f>
        <v/>
      </c>
      <c r="J193" s="48" t="str">
        <f>IF($B193="","",SUMIFS(Data!$AH$2:$AH$1201,Data!$S$2:$S$1201,$B193))</f>
        <v/>
      </c>
    </row>
    <row r="194" spans="2:10" x14ac:dyDescent="0.25">
      <c r="B194" s="51" t="str">
        <f>IFERROR(SMALL(Rhythm!$Z$8:$Z$207,185),"")</f>
        <v/>
      </c>
      <c r="C194" s="42" t="str">
        <f t="shared" si="10"/>
        <v/>
      </c>
      <c r="D194" s="53" t="str">
        <f>IF($B194="","",SUMIFS(Data!$N$2:$N$1201,Data!$S$2:$S$1201,$B194)/60)</f>
        <v/>
      </c>
      <c r="E194" s="47" t="str">
        <f>IF($B194="","",COUNTIFS(Data!$S$2:$S$1201,$B194,Data!$E$2:$E$1201,"timed"))</f>
        <v/>
      </c>
      <c r="F194" s="56" t="str">
        <f>IF($B194="","",SUMIFS(Data!$AG$2:$AG$1201,Data!$S$2:$S$1201,$B194))</f>
        <v/>
      </c>
      <c r="G194" s="54" t="str">
        <f t="shared" si="11"/>
        <v/>
      </c>
      <c r="H194" s="47" t="str">
        <f>IF($B194="","",COUNTIFS(Data!$S$2:$S$1201,$B194,Data!$AI$2:$AI$1201,1))</f>
        <v/>
      </c>
      <c r="I194" s="45" t="str">
        <f>IF(OR($B194="",$D194=0),"",SUMIFS(Data!$N$2:$N$1201,Data!$S$2:$S$1201,$B194,Data!$AI$2:$AI$1201,1)/60/$D194)</f>
        <v/>
      </c>
      <c r="J194" s="48" t="str">
        <f>IF($B194="","",SUMIFS(Data!$AH$2:$AH$1201,Data!$S$2:$S$1201,$B194))</f>
        <v/>
      </c>
    </row>
    <row r="195" spans="2:10" x14ac:dyDescent="0.25">
      <c r="B195" s="51" t="str">
        <f>IFERROR(SMALL(Rhythm!$Z$8:$Z$207,186),"")</f>
        <v/>
      </c>
      <c r="C195" s="42" t="str">
        <f t="shared" si="10"/>
        <v/>
      </c>
      <c r="D195" s="53" t="str">
        <f>IF($B195="","",SUMIFS(Data!$N$2:$N$1201,Data!$S$2:$S$1201,$B195)/60)</f>
        <v/>
      </c>
      <c r="E195" s="47" t="str">
        <f>IF($B195="","",COUNTIFS(Data!$S$2:$S$1201,$B195,Data!$E$2:$E$1201,"timed"))</f>
        <v/>
      </c>
      <c r="F195" s="56" t="str">
        <f>IF($B195="","",SUMIFS(Data!$AG$2:$AG$1201,Data!$S$2:$S$1201,$B195))</f>
        <v/>
      </c>
      <c r="G195" s="54" t="str">
        <f t="shared" si="11"/>
        <v/>
      </c>
      <c r="H195" s="47" t="str">
        <f>IF($B195="","",COUNTIFS(Data!$S$2:$S$1201,$B195,Data!$AI$2:$AI$1201,1))</f>
        <v/>
      </c>
      <c r="I195" s="45" t="str">
        <f>IF(OR($B195="",$D195=0),"",SUMIFS(Data!$N$2:$N$1201,Data!$S$2:$S$1201,$B195,Data!$AI$2:$AI$1201,1)/60/$D195)</f>
        <v/>
      </c>
      <c r="J195" s="48" t="str">
        <f>IF($B195="","",SUMIFS(Data!$AH$2:$AH$1201,Data!$S$2:$S$1201,$B195))</f>
        <v/>
      </c>
    </row>
    <row r="196" spans="2:10" x14ac:dyDescent="0.25">
      <c r="B196" s="51" t="str">
        <f>IFERROR(SMALL(Rhythm!$Z$8:$Z$207,187),"")</f>
        <v/>
      </c>
      <c r="C196" s="42" t="str">
        <f t="shared" si="10"/>
        <v/>
      </c>
      <c r="D196" s="53" t="str">
        <f>IF($B196="","",SUMIFS(Data!$N$2:$N$1201,Data!$S$2:$S$1201,$B196)/60)</f>
        <v/>
      </c>
      <c r="E196" s="47" t="str">
        <f>IF($B196="","",COUNTIFS(Data!$S$2:$S$1201,$B196,Data!$E$2:$E$1201,"timed"))</f>
        <v/>
      </c>
      <c r="F196" s="56" t="str">
        <f>IF($B196="","",SUMIFS(Data!$AG$2:$AG$1201,Data!$S$2:$S$1201,$B196))</f>
        <v/>
      </c>
      <c r="G196" s="54" t="str">
        <f t="shared" si="11"/>
        <v/>
      </c>
      <c r="H196" s="47" t="str">
        <f>IF($B196="","",COUNTIFS(Data!$S$2:$S$1201,$B196,Data!$AI$2:$AI$1201,1))</f>
        <v/>
      </c>
      <c r="I196" s="45" t="str">
        <f>IF(OR($B196="",$D196=0),"",SUMIFS(Data!$N$2:$N$1201,Data!$S$2:$S$1201,$B196,Data!$AI$2:$AI$1201,1)/60/$D196)</f>
        <v/>
      </c>
      <c r="J196" s="48" t="str">
        <f>IF($B196="","",SUMIFS(Data!$AH$2:$AH$1201,Data!$S$2:$S$1201,$B196))</f>
        <v/>
      </c>
    </row>
    <row r="197" spans="2:10" x14ac:dyDescent="0.25">
      <c r="B197" s="51" t="str">
        <f>IFERROR(SMALL(Rhythm!$Z$8:$Z$207,188),"")</f>
        <v/>
      </c>
      <c r="C197" s="42" t="str">
        <f t="shared" si="10"/>
        <v/>
      </c>
      <c r="D197" s="53" t="str">
        <f>IF($B197="","",SUMIFS(Data!$N$2:$N$1201,Data!$S$2:$S$1201,$B197)/60)</f>
        <v/>
      </c>
      <c r="E197" s="47" t="str">
        <f>IF($B197="","",COUNTIFS(Data!$S$2:$S$1201,$B197,Data!$E$2:$E$1201,"timed"))</f>
        <v/>
      </c>
      <c r="F197" s="56" t="str">
        <f>IF($B197="","",SUMIFS(Data!$AG$2:$AG$1201,Data!$S$2:$S$1201,$B197))</f>
        <v/>
      </c>
      <c r="G197" s="54" t="str">
        <f t="shared" si="11"/>
        <v/>
      </c>
      <c r="H197" s="47" t="str">
        <f>IF($B197="","",COUNTIFS(Data!$S$2:$S$1201,$B197,Data!$AI$2:$AI$1201,1))</f>
        <v/>
      </c>
      <c r="I197" s="45" t="str">
        <f>IF(OR($B197="",$D197=0),"",SUMIFS(Data!$N$2:$N$1201,Data!$S$2:$S$1201,$B197,Data!$AI$2:$AI$1201,1)/60/$D197)</f>
        <v/>
      </c>
      <c r="J197" s="48" t="str">
        <f>IF($B197="","",SUMIFS(Data!$AH$2:$AH$1201,Data!$S$2:$S$1201,$B197))</f>
        <v/>
      </c>
    </row>
    <row r="198" spans="2:10" x14ac:dyDescent="0.25">
      <c r="B198" s="51" t="str">
        <f>IFERROR(SMALL(Rhythm!$Z$8:$Z$207,189),"")</f>
        <v/>
      </c>
      <c r="C198" s="42" t="str">
        <f t="shared" si="10"/>
        <v/>
      </c>
      <c r="D198" s="53" t="str">
        <f>IF($B198="","",SUMIFS(Data!$N$2:$N$1201,Data!$S$2:$S$1201,$B198)/60)</f>
        <v/>
      </c>
      <c r="E198" s="47" t="str">
        <f>IF($B198="","",COUNTIFS(Data!$S$2:$S$1201,$B198,Data!$E$2:$E$1201,"timed"))</f>
        <v/>
      </c>
      <c r="F198" s="56" t="str">
        <f>IF($B198="","",SUMIFS(Data!$AG$2:$AG$1201,Data!$S$2:$S$1201,$B198))</f>
        <v/>
      </c>
      <c r="G198" s="54" t="str">
        <f t="shared" si="11"/>
        <v/>
      </c>
      <c r="H198" s="47" t="str">
        <f>IF($B198="","",COUNTIFS(Data!$S$2:$S$1201,$B198,Data!$AI$2:$AI$1201,1))</f>
        <v/>
      </c>
      <c r="I198" s="45" t="str">
        <f>IF(OR($B198="",$D198=0),"",SUMIFS(Data!$N$2:$N$1201,Data!$S$2:$S$1201,$B198,Data!$AI$2:$AI$1201,1)/60/$D198)</f>
        <v/>
      </c>
      <c r="J198" s="48" t="str">
        <f>IF($B198="","",SUMIFS(Data!$AH$2:$AH$1201,Data!$S$2:$S$1201,$B198))</f>
        <v/>
      </c>
    </row>
    <row r="199" spans="2:10" x14ac:dyDescent="0.25">
      <c r="B199" s="51" t="str">
        <f>IFERROR(SMALL(Rhythm!$Z$8:$Z$207,190),"")</f>
        <v/>
      </c>
      <c r="C199" s="42" t="str">
        <f t="shared" si="10"/>
        <v/>
      </c>
      <c r="D199" s="53" t="str">
        <f>IF($B199="","",SUMIFS(Data!$N$2:$N$1201,Data!$S$2:$S$1201,$B199)/60)</f>
        <v/>
      </c>
      <c r="E199" s="47" t="str">
        <f>IF($B199="","",COUNTIFS(Data!$S$2:$S$1201,$B199,Data!$E$2:$E$1201,"timed"))</f>
        <v/>
      </c>
      <c r="F199" s="56" t="str">
        <f>IF($B199="","",SUMIFS(Data!$AG$2:$AG$1201,Data!$S$2:$S$1201,$B199))</f>
        <v/>
      </c>
      <c r="G199" s="54" t="str">
        <f t="shared" si="11"/>
        <v/>
      </c>
      <c r="H199" s="47" t="str">
        <f>IF($B199="","",COUNTIFS(Data!$S$2:$S$1201,$B199,Data!$AI$2:$AI$1201,1))</f>
        <v/>
      </c>
      <c r="I199" s="45" t="str">
        <f>IF(OR($B199="",$D199=0),"",SUMIFS(Data!$N$2:$N$1201,Data!$S$2:$S$1201,$B199,Data!$AI$2:$AI$1201,1)/60/$D199)</f>
        <v/>
      </c>
      <c r="J199" s="48" t="str">
        <f>IF($B199="","",SUMIFS(Data!$AH$2:$AH$1201,Data!$S$2:$S$1201,$B199))</f>
        <v/>
      </c>
    </row>
    <row r="200" spans="2:10" x14ac:dyDescent="0.25">
      <c r="B200" s="51" t="str">
        <f>IFERROR(SMALL(Rhythm!$Z$8:$Z$207,191),"")</f>
        <v/>
      </c>
      <c r="C200" s="42" t="str">
        <f t="shared" si="10"/>
        <v/>
      </c>
      <c r="D200" s="53" t="str">
        <f>IF($B200="","",SUMIFS(Data!$N$2:$N$1201,Data!$S$2:$S$1201,$B200)/60)</f>
        <v/>
      </c>
      <c r="E200" s="47" t="str">
        <f>IF($B200="","",COUNTIFS(Data!$S$2:$S$1201,$B200,Data!$E$2:$E$1201,"timed"))</f>
        <v/>
      </c>
      <c r="F200" s="56" t="str">
        <f>IF($B200="","",SUMIFS(Data!$AG$2:$AG$1201,Data!$S$2:$S$1201,$B200))</f>
        <v/>
      </c>
      <c r="G200" s="54" t="str">
        <f t="shared" si="11"/>
        <v/>
      </c>
      <c r="H200" s="47" t="str">
        <f>IF($B200="","",COUNTIFS(Data!$S$2:$S$1201,$B200,Data!$AI$2:$AI$1201,1))</f>
        <v/>
      </c>
      <c r="I200" s="45" t="str">
        <f>IF(OR($B200="",$D200=0),"",SUMIFS(Data!$N$2:$N$1201,Data!$S$2:$S$1201,$B200,Data!$AI$2:$AI$1201,1)/60/$D200)</f>
        <v/>
      </c>
      <c r="J200" s="48" t="str">
        <f>IF($B200="","",SUMIFS(Data!$AH$2:$AH$1201,Data!$S$2:$S$1201,$B200))</f>
        <v/>
      </c>
    </row>
    <row r="201" spans="2:10" x14ac:dyDescent="0.25">
      <c r="B201" s="51" t="str">
        <f>IFERROR(SMALL(Rhythm!$Z$8:$Z$207,192),"")</f>
        <v/>
      </c>
      <c r="C201" s="42" t="str">
        <f t="shared" si="10"/>
        <v/>
      </c>
      <c r="D201" s="53" t="str">
        <f>IF($B201="","",SUMIFS(Data!$N$2:$N$1201,Data!$S$2:$S$1201,$B201)/60)</f>
        <v/>
      </c>
      <c r="E201" s="47" t="str">
        <f>IF($B201="","",COUNTIFS(Data!$S$2:$S$1201,$B201,Data!$E$2:$E$1201,"timed"))</f>
        <v/>
      </c>
      <c r="F201" s="56" t="str">
        <f>IF($B201="","",SUMIFS(Data!$AG$2:$AG$1201,Data!$S$2:$S$1201,$B201))</f>
        <v/>
      </c>
      <c r="G201" s="54" t="str">
        <f t="shared" si="11"/>
        <v/>
      </c>
      <c r="H201" s="47" t="str">
        <f>IF($B201="","",COUNTIFS(Data!$S$2:$S$1201,$B201,Data!$AI$2:$AI$1201,1))</f>
        <v/>
      </c>
      <c r="I201" s="45" t="str">
        <f>IF(OR($B201="",$D201=0),"",SUMIFS(Data!$N$2:$N$1201,Data!$S$2:$S$1201,$B201,Data!$AI$2:$AI$1201,1)/60/$D201)</f>
        <v/>
      </c>
      <c r="J201" s="48" t="str">
        <f>IF($B201="","",SUMIFS(Data!$AH$2:$AH$1201,Data!$S$2:$S$1201,$B201))</f>
        <v/>
      </c>
    </row>
    <row r="202" spans="2:10" x14ac:dyDescent="0.25">
      <c r="B202" s="51" t="str">
        <f>IFERROR(SMALL(Rhythm!$Z$8:$Z$207,193),"")</f>
        <v/>
      </c>
      <c r="C202" s="42" t="str">
        <f t="shared" ref="C202:C209" si="12">IF($B202="","",TEXT($B202,"ddd"))</f>
        <v/>
      </c>
      <c r="D202" s="53" t="str">
        <f>IF($B202="","",SUMIFS(Data!$N$2:$N$1201,Data!$S$2:$S$1201,$B202)/60)</f>
        <v/>
      </c>
      <c r="E202" s="47" t="str">
        <f>IF($B202="","",COUNTIFS(Data!$S$2:$S$1201,$B202,Data!$E$2:$E$1201,"timed"))</f>
        <v/>
      </c>
      <c r="F202" s="56" t="str">
        <f>IF($B202="","",SUMIFS(Data!$AG$2:$AG$1201,Data!$S$2:$S$1201,$B202))</f>
        <v/>
      </c>
      <c r="G202" s="54" t="str">
        <f t="shared" ref="G202:G209" si="13">IF(OR($B202="",$D202=0),"",$F202/$D202)</f>
        <v/>
      </c>
      <c r="H202" s="47" t="str">
        <f>IF($B202="","",COUNTIFS(Data!$S$2:$S$1201,$B202,Data!$AI$2:$AI$1201,1))</f>
        <v/>
      </c>
      <c r="I202" s="45" t="str">
        <f>IF(OR($B202="",$D202=0),"",SUMIFS(Data!$N$2:$N$1201,Data!$S$2:$S$1201,$B202,Data!$AI$2:$AI$1201,1)/60/$D202)</f>
        <v/>
      </c>
      <c r="J202" s="48" t="str">
        <f>IF($B202="","",SUMIFS(Data!$AH$2:$AH$1201,Data!$S$2:$S$1201,$B202))</f>
        <v/>
      </c>
    </row>
    <row r="203" spans="2:10" x14ac:dyDescent="0.25">
      <c r="B203" s="51" t="str">
        <f>IFERROR(SMALL(Rhythm!$Z$8:$Z$207,194),"")</f>
        <v/>
      </c>
      <c r="C203" s="42" t="str">
        <f t="shared" si="12"/>
        <v/>
      </c>
      <c r="D203" s="53" t="str">
        <f>IF($B203="","",SUMIFS(Data!$N$2:$N$1201,Data!$S$2:$S$1201,$B203)/60)</f>
        <v/>
      </c>
      <c r="E203" s="47" t="str">
        <f>IF($B203="","",COUNTIFS(Data!$S$2:$S$1201,$B203,Data!$E$2:$E$1201,"timed"))</f>
        <v/>
      </c>
      <c r="F203" s="56" t="str">
        <f>IF($B203="","",SUMIFS(Data!$AG$2:$AG$1201,Data!$S$2:$S$1201,$B203))</f>
        <v/>
      </c>
      <c r="G203" s="54" t="str">
        <f t="shared" si="13"/>
        <v/>
      </c>
      <c r="H203" s="47" t="str">
        <f>IF($B203="","",COUNTIFS(Data!$S$2:$S$1201,$B203,Data!$AI$2:$AI$1201,1))</f>
        <v/>
      </c>
      <c r="I203" s="45" t="str">
        <f>IF(OR($B203="",$D203=0),"",SUMIFS(Data!$N$2:$N$1201,Data!$S$2:$S$1201,$B203,Data!$AI$2:$AI$1201,1)/60/$D203)</f>
        <v/>
      </c>
      <c r="J203" s="48" t="str">
        <f>IF($B203="","",SUMIFS(Data!$AH$2:$AH$1201,Data!$S$2:$S$1201,$B203))</f>
        <v/>
      </c>
    </row>
    <row r="204" spans="2:10" x14ac:dyDescent="0.25">
      <c r="B204" s="51" t="str">
        <f>IFERROR(SMALL(Rhythm!$Z$8:$Z$207,195),"")</f>
        <v/>
      </c>
      <c r="C204" s="42" t="str">
        <f t="shared" si="12"/>
        <v/>
      </c>
      <c r="D204" s="53" t="str">
        <f>IF($B204="","",SUMIFS(Data!$N$2:$N$1201,Data!$S$2:$S$1201,$B204)/60)</f>
        <v/>
      </c>
      <c r="E204" s="47" t="str">
        <f>IF($B204="","",COUNTIFS(Data!$S$2:$S$1201,$B204,Data!$E$2:$E$1201,"timed"))</f>
        <v/>
      </c>
      <c r="F204" s="56" t="str">
        <f>IF($B204="","",SUMIFS(Data!$AG$2:$AG$1201,Data!$S$2:$S$1201,$B204))</f>
        <v/>
      </c>
      <c r="G204" s="54" t="str">
        <f t="shared" si="13"/>
        <v/>
      </c>
      <c r="H204" s="47" t="str">
        <f>IF($B204="","",COUNTIFS(Data!$S$2:$S$1201,$B204,Data!$AI$2:$AI$1201,1))</f>
        <v/>
      </c>
      <c r="I204" s="45" t="str">
        <f>IF(OR($B204="",$D204=0),"",SUMIFS(Data!$N$2:$N$1201,Data!$S$2:$S$1201,$B204,Data!$AI$2:$AI$1201,1)/60/$D204)</f>
        <v/>
      </c>
      <c r="J204" s="48" t="str">
        <f>IF($B204="","",SUMIFS(Data!$AH$2:$AH$1201,Data!$S$2:$S$1201,$B204))</f>
        <v/>
      </c>
    </row>
    <row r="205" spans="2:10" x14ac:dyDescent="0.25">
      <c r="B205" s="51" t="str">
        <f>IFERROR(SMALL(Rhythm!$Z$8:$Z$207,196),"")</f>
        <v/>
      </c>
      <c r="C205" s="42" t="str">
        <f t="shared" si="12"/>
        <v/>
      </c>
      <c r="D205" s="53" t="str">
        <f>IF($B205="","",SUMIFS(Data!$N$2:$N$1201,Data!$S$2:$S$1201,$B205)/60)</f>
        <v/>
      </c>
      <c r="E205" s="47" t="str">
        <f>IF($B205="","",COUNTIFS(Data!$S$2:$S$1201,$B205,Data!$E$2:$E$1201,"timed"))</f>
        <v/>
      </c>
      <c r="F205" s="56" t="str">
        <f>IF($B205="","",SUMIFS(Data!$AG$2:$AG$1201,Data!$S$2:$S$1201,$B205))</f>
        <v/>
      </c>
      <c r="G205" s="54" t="str">
        <f t="shared" si="13"/>
        <v/>
      </c>
      <c r="H205" s="47" t="str">
        <f>IF($B205="","",COUNTIFS(Data!$S$2:$S$1201,$B205,Data!$AI$2:$AI$1201,1))</f>
        <v/>
      </c>
      <c r="I205" s="45" t="str">
        <f>IF(OR($B205="",$D205=0),"",SUMIFS(Data!$N$2:$N$1201,Data!$S$2:$S$1201,$B205,Data!$AI$2:$AI$1201,1)/60/$D205)</f>
        <v/>
      </c>
      <c r="J205" s="48" t="str">
        <f>IF($B205="","",SUMIFS(Data!$AH$2:$AH$1201,Data!$S$2:$S$1201,$B205))</f>
        <v/>
      </c>
    </row>
    <row r="206" spans="2:10" x14ac:dyDescent="0.25">
      <c r="B206" s="51" t="str">
        <f>IFERROR(SMALL(Rhythm!$Z$8:$Z$207,197),"")</f>
        <v/>
      </c>
      <c r="C206" s="42" t="str">
        <f t="shared" si="12"/>
        <v/>
      </c>
      <c r="D206" s="53" t="str">
        <f>IF($B206="","",SUMIFS(Data!$N$2:$N$1201,Data!$S$2:$S$1201,$B206)/60)</f>
        <v/>
      </c>
      <c r="E206" s="47" t="str">
        <f>IF($B206="","",COUNTIFS(Data!$S$2:$S$1201,$B206,Data!$E$2:$E$1201,"timed"))</f>
        <v/>
      </c>
      <c r="F206" s="56" t="str">
        <f>IF($B206="","",SUMIFS(Data!$AG$2:$AG$1201,Data!$S$2:$S$1201,$B206))</f>
        <v/>
      </c>
      <c r="G206" s="54" t="str">
        <f t="shared" si="13"/>
        <v/>
      </c>
      <c r="H206" s="47" t="str">
        <f>IF($B206="","",COUNTIFS(Data!$S$2:$S$1201,$B206,Data!$AI$2:$AI$1201,1))</f>
        <v/>
      </c>
      <c r="I206" s="45" t="str">
        <f>IF(OR($B206="",$D206=0),"",SUMIFS(Data!$N$2:$N$1201,Data!$S$2:$S$1201,$B206,Data!$AI$2:$AI$1201,1)/60/$D206)</f>
        <v/>
      </c>
      <c r="J206" s="48" t="str">
        <f>IF($B206="","",SUMIFS(Data!$AH$2:$AH$1201,Data!$S$2:$S$1201,$B206))</f>
        <v/>
      </c>
    </row>
    <row r="207" spans="2:10" x14ac:dyDescent="0.25">
      <c r="B207" s="51" t="str">
        <f>IFERROR(SMALL(Rhythm!$Z$8:$Z$207,198),"")</f>
        <v/>
      </c>
      <c r="C207" s="42" t="str">
        <f t="shared" si="12"/>
        <v/>
      </c>
      <c r="D207" s="53" t="str">
        <f>IF($B207="","",SUMIFS(Data!$N$2:$N$1201,Data!$S$2:$S$1201,$B207)/60)</f>
        <v/>
      </c>
      <c r="E207" s="47" t="str">
        <f>IF($B207="","",COUNTIFS(Data!$S$2:$S$1201,$B207,Data!$E$2:$E$1201,"timed"))</f>
        <v/>
      </c>
      <c r="F207" s="56" t="str">
        <f>IF($B207="","",SUMIFS(Data!$AG$2:$AG$1201,Data!$S$2:$S$1201,$B207))</f>
        <v/>
      </c>
      <c r="G207" s="54" t="str">
        <f t="shared" si="13"/>
        <v/>
      </c>
      <c r="H207" s="47" t="str">
        <f>IF($B207="","",COUNTIFS(Data!$S$2:$S$1201,$B207,Data!$AI$2:$AI$1201,1))</f>
        <v/>
      </c>
      <c r="I207" s="45" t="str">
        <f>IF(OR($B207="",$D207=0),"",SUMIFS(Data!$N$2:$N$1201,Data!$S$2:$S$1201,$B207,Data!$AI$2:$AI$1201,1)/60/$D207)</f>
        <v/>
      </c>
      <c r="J207" s="48" t="str">
        <f>IF($B207="","",SUMIFS(Data!$AH$2:$AH$1201,Data!$S$2:$S$1201,$B207))</f>
        <v/>
      </c>
    </row>
    <row r="208" spans="2:10" x14ac:dyDescent="0.25">
      <c r="B208" s="51" t="str">
        <f>IFERROR(SMALL(Rhythm!$Z$8:$Z$207,199),"")</f>
        <v/>
      </c>
      <c r="C208" s="42" t="str">
        <f t="shared" si="12"/>
        <v/>
      </c>
      <c r="D208" s="53" t="str">
        <f>IF($B208="","",SUMIFS(Data!$N$2:$N$1201,Data!$S$2:$S$1201,$B208)/60)</f>
        <v/>
      </c>
      <c r="E208" s="47" t="str">
        <f>IF($B208="","",COUNTIFS(Data!$S$2:$S$1201,$B208,Data!$E$2:$E$1201,"timed"))</f>
        <v/>
      </c>
      <c r="F208" s="56" t="str">
        <f>IF($B208="","",SUMIFS(Data!$AG$2:$AG$1201,Data!$S$2:$S$1201,$B208))</f>
        <v/>
      </c>
      <c r="G208" s="54" t="str">
        <f t="shared" si="13"/>
        <v/>
      </c>
      <c r="H208" s="47" t="str">
        <f>IF($B208="","",COUNTIFS(Data!$S$2:$S$1201,$B208,Data!$AI$2:$AI$1201,1))</f>
        <v/>
      </c>
      <c r="I208" s="45" t="str">
        <f>IF(OR($B208="",$D208=0),"",SUMIFS(Data!$N$2:$N$1201,Data!$S$2:$S$1201,$B208,Data!$AI$2:$AI$1201,1)/60/$D208)</f>
        <v/>
      </c>
      <c r="J208" s="48" t="str">
        <f>IF($B208="","",SUMIFS(Data!$AH$2:$AH$1201,Data!$S$2:$S$1201,$B208))</f>
        <v/>
      </c>
    </row>
    <row r="209" spans="2:10" x14ac:dyDescent="0.25">
      <c r="B209" s="51" t="str">
        <f>IFERROR(SMALL(Rhythm!$Z$8:$Z$207,200),"")</f>
        <v/>
      </c>
      <c r="C209" s="42" t="str">
        <f t="shared" si="12"/>
        <v/>
      </c>
      <c r="D209" s="53" t="str">
        <f>IF($B209="","",SUMIFS(Data!$N$2:$N$1201,Data!$S$2:$S$1201,$B209)/60)</f>
        <v/>
      </c>
      <c r="E209" s="47" t="str">
        <f>IF($B209="","",COUNTIFS(Data!$S$2:$S$1201,$B209,Data!$E$2:$E$1201,"timed"))</f>
        <v/>
      </c>
      <c r="F209" s="56" t="str">
        <f>IF($B209="","",SUMIFS(Data!$AG$2:$AG$1201,Data!$S$2:$S$1201,$B209))</f>
        <v/>
      </c>
      <c r="G209" s="54" t="str">
        <f t="shared" si="13"/>
        <v/>
      </c>
      <c r="H209" s="47" t="str">
        <f>IF($B209="","",COUNTIFS(Data!$S$2:$S$1201,$B209,Data!$AI$2:$AI$1201,1))</f>
        <v/>
      </c>
      <c r="I209" s="45" t="str">
        <f>IF(OR($B209="",$D209=0),"",SUMIFS(Data!$N$2:$N$1201,Data!$S$2:$S$1201,$B209,Data!$AI$2:$AI$1201,1)/60/$D209)</f>
        <v/>
      </c>
      <c r="J209" s="48" t="str">
        <f>IF($B209="","",SUMIFS(Data!$AH$2:$AH$1201,Data!$S$2:$S$1201,$B209))</f>
        <v/>
      </c>
    </row>
    <row r="212" spans="2:10" x14ac:dyDescent="0.25">
      <c r="B212" s="37" t="s">
        <v>160</v>
      </c>
      <c r="C212" s="38"/>
      <c r="D212" s="38"/>
      <c r="E212" s="38"/>
      <c r="F212" s="38"/>
      <c r="G212" s="38"/>
      <c r="H212" s="38"/>
      <c r="I212" s="38"/>
      <c r="J212" s="38"/>
    </row>
    <row r="213" spans="2:10" x14ac:dyDescent="0.25">
      <c r="B213" s="39" t="s">
        <v>161</v>
      </c>
    </row>
    <row r="215" spans="2:10" ht="61.5" customHeight="1" x14ac:dyDescent="0.25">
      <c r="B215" s="57" t="s">
        <v>162</v>
      </c>
      <c r="C215" s="58" t="str">
        <f>IF('Where it goes'!$C$10="","",'Where it goes'!$C$10)</f>
        <v>Zendesk Tickets</v>
      </c>
      <c r="D215" s="58" t="str">
        <f>IF('Where it goes'!$C$11="","",'Where it goes'!$C$11)</f>
        <v>Project work</v>
      </c>
      <c r="E215" s="58" t="str">
        <f>IF('Where it goes'!$C$12="","",'Where it goes'!$C$12)</f>
        <v>Admin</v>
      </c>
      <c r="F215" s="58" t="str">
        <f>IF('Where it goes'!$C$13="","",'Where it goes'!$C$13)</f>
        <v>Email</v>
      </c>
      <c r="G215" s="58" t="str">
        <f>IF('Where it goes'!$C$14="","",'Where it goes'!$C$14)</f>
        <v>Dev Tickets - ADO's</v>
      </c>
      <c r="H215" s="58" t="str">
        <f>IF('Where it goes'!$C$15="","",'Where it goes'!$C$15)</f>
        <v>Lunch Break</v>
      </c>
      <c r="I215" s="58" t="str">
        <f>IF('Where it goes'!$C$16="","",'Where it goes'!$C$16)</f>
        <v>Teams Communications</v>
      </c>
      <c r="J215" s="58" t="str">
        <f>IF('Where it goes'!$C$17="","",'Where it goes'!$C$17)</f>
        <v>Support</v>
      </c>
    </row>
    <row r="216" spans="2:10" ht="18.75" customHeight="1" x14ac:dyDescent="0.25">
      <c r="B216" s="59" t="str">
        <f>IF('Where it goes'!$C$10="","",'Where it goes'!$C$10)</f>
        <v>Zendesk Tickets</v>
      </c>
      <c r="C216" s="60" t="str">
        <f>IF('Where it goes'!$C$10="","","—")</f>
        <v>—</v>
      </c>
      <c r="D216" s="61">
        <f>IF(OR('Where it goes'!$C$10="",'Where it goes'!$C$11=""),"",IF(COUNTIFS(Data!$AE$2:$AE$1201,'Where it goes'!$C$10,Data!$C$2:$C$1201,'Where it goes'!$C$11,Data!$AG$2:$AG$1201,1)=0,"",COUNTIFS(Data!$AE$2:$AE$1201,'Where it goes'!$C$10,Data!$C$2:$C$1201,'Where it goes'!$C$11,Data!$AG$2:$AG$1201,1)))</f>
        <v>1</v>
      </c>
      <c r="E216" s="61">
        <f>IF(OR('Where it goes'!$C$10="",'Where it goes'!$C$12=""),"",IF(COUNTIFS(Data!$AE$2:$AE$1201,'Where it goes'!$C$10,Data!$C$2:$C$1201,'Where it goes'!$C$12,Data!$AG$2:$AG$1201,1)=0,"",COUNTIFS(Data!$AE$2:$AE$1201,'Where it goes'!$C$10,Data!$C$2:$C$1201,'Where it goes'!$C$12,Data!$AG$2:$AG$1201,1)))</f>
        <v>3</v>
      </c>
      <c r="F216" s="61">
        <f>IF(OR('Where it goes'!$C$10="",'Where it goes'!$C$13=""),"",IF(COUNTIFS(Data!$AE$2:$AE$1201,'Where it goes'!$C$10,Data!$C$2:$C$1201,'Where it goes'!$C$13,Data!$AG$2:$AG$1201,1)=0,"",COUNTIFS(Data!$AE$2:$AE$1201,'Where it goes'!$C$10,Data!$C$2:$C$1201,'Where it goes'!$C$13,Data!$AG$2:$AG$1201,1)))</f>
        <v>3</v>
      </c>
      <c r="G216" s="61">
        <f>IF(OR('Where it goes'!$C$10="",'Where it goes'!$C$14=""),"",IF(COUNTIFS(Data!$AE$2:$AE$1201,'Where it goes'!$C$10,Data!$C$2:$C$1201,'Where it goes'!$C$14,Data!$AG$2:$AG$1201,1)=0,"",COUNTIFS(Data!$AE$2:$AE$1201,'Where it goes'!$C$10,Data!$C$2:$C$1201,'Where it goes'!$C$14,Data!$AG$2:$AG$1201,1)))</f>
        <v>1</v>
      </c>
      <c r="H216" s="61">
        <f>IF(OR('Where it goes'!$C$10="",'Where it goes'!$C$15=""),"",IF(COUNTIFS(Data!$AE$2:$AE$1201,'Where it goes'!$C$10,Data!$C$2:$C$1201,'Where it goes'!$C$15,Data!$AG$2:$AG$1201,1)=0,"",COUNTIFS(Data!$AE$2:$AE$1201,'Where it goes'!$C$10,Data!$C$2:$C$1201,'Where it goes'!$C$15,Data!$AG$2:$AG$1201,1)))</f>
        <v>2</v>
      </c>
      <c r="I216" s="61">
        <f>IF(OR('Where it goes'!$C$10="",'Where it goes'!$C$16=""),"",IF(COUNTIFS(Data!$AE$2:$AE$1201,'Where it goes'!$C$10,Data!$C$2:$C$1201,'Where it goes'!$C$16,Data!$AG$2:$AG$1201,1)=0,"",COUNTIFS(Data!$AE$2:$AE$1201,'Where it goes'!$C$10,Data!$C$2:$C$1201,'Where it goes'!$C$16,Data!$AG$2:$AG$1201,1)))</f>
        <v>4</v>
      </c>
      <c r="J216" s="61" t="str">
        <f>IF(OR('Where it goes'!$C$10="",'Where it goes'!$C$17=""),"",IF(COUNTIFS(Data!$AE$2:$AE$1201,'Where it goes'!$C$10,Data!$C$2:$C$1201,'Where it goes'!$C$17,Data!$AG$2:$AG$1201,1)=0,"",COUNTIFS(Data!$AE$2:$AE$1201,'Where it goes'!$C$10,Data!$C$2:$C$1201,'Where it goes'!$C$17,Data!$AG$2:$AG$1201,1)))</f>
        <v/>
      </c>
    </row>
    <row r="217" spans="2:10" ht="18.75" customHeight="1" x14ac:dyDescent="0.25">
      <c r="B217" s="59" t="str">
        <f>IF('Where it goes'!$C$11="","",'Where it goes'!$C$11)</f>
        <v>Project work</v>
      </c>
      <c r="C217" s="61" t="str">
        <f>IF(OR('Where it goes'!$C$11="",'Where it goes'!$C$10=""),"",IF(COUNTIFS(Data!$AE$2:$AE$1201,'Where it goes'!$C$11,Data!$C$2:$C$1201,'Where it goes'!$C$10,Data!$AG$2:$AG$1201,1)=0,"",COUNTIFS(Data!$AE$2:$AE$1201,'Where it goes'!$C$11,Data!$C$2:$C$1201,'Where it goes'!$C$10,Data!$AG$2:$AG$1201,1)))</f>
        <v/>
      </c>
      <c r="D217" s="60" t="str">
        <f>IF('Where it goes'!$C$11="","","—")</f>
        <v>—</v>
      </c>
      <c r="E217" s="61">
        <f>IF(OR('Where it goes'!$C$11="",'Where it goes'!$C$12=""),"",IF(COUNTIFS(Data!$AE$2:$AE$1201,'Where it goes'!$C$11,Data!$C$2:$C$1201,'Where it goes'!$C$12,Data!$AG$2:$AG$1201,1)=0,"",COUNTIFS(Data!$AE$2:$AE$1201,'Where it goes'!$C$11,Data!$C$2:$C$1201,'Where it goes'!$C$12,Data!$AG$2:$AG$1201,1)))</f>
        <v>2</v>
      </c>
      <c r="F217" s="61">
        <f>IF(OR('Where it goes'!$C$11="",'Where it goes'!$C$13=""),"",IF(COUNTIFS(Data!$AE$2:$AE$1201,'Where it goes'!$C$11,Data!$C$2:$C$1201,'Where it goes'!$C$13,Data!$AG$2:$AG$1201,1)=0,"",COUNTIFS(Data!$AE$2:$AE$1201,'Where it goes'!$C$11,Data!$C$2:$C$1201,'Where it goes'!$C$13,Data!$AG$2:$AG$1201,1)))</f>
        <v>3</v>
      </c>
      <c r="G217" s="61" t="str">
        <f>IF(OR('Where it goes'!$C$11="",'Where it goes'!$C$14=""),"",IF(COUNTIFS(Data!$AE$2:$AE$1201,'Where it goes'!$C$11,Data!$C$2:$C$1201,'Where it goes'!$C$14,Data!$AG$2:$AG$1201,1)=0,"",COUNTIFS(Data!$AE$2:$AE$1201,'Where it goes'!$C$11,Data!$C$2:$C$1201,'Where it goes'!$C$14,Data!$AG$2:$AG$1201,1)))</f>
        <v/>
      </c>
      <c r="H217" s="61">
        <f>IF(OR('Where it goes'!$C$11="",'Where it goes'!$C$15=""),"",IF(COUNTIFS(Data!$AE$2:$AE$1201,'Where it goes'!$C$11,Data!$C$2:$C$1201,'Where it goes'!$C$15,Data!$AG$2:$AG$1201,1)=0,"",COUNTIFS(Data!$AE$2:$AE$1201,'Where it goes'!$C$11,Data!$C$2:$C$1201,'Where it goes'!$C$15,Data!$AG$2:$AG$1201,1)))</f>
        <v>2</v>
      </c>
      <c r="I217" s="61">
        <f>IF(OR('Where it goes'!$C$11="",'Where it goes'!$C$16=""),"",IF(COUNTIFS(Data!$AE$2:$AE$1201,'Where it goes'!$C$11,Data!$C$2:$C$1201,'Where it goes'!$C$16,Data!$AG$2:$AG$1201,1)=0,"",COUNTIFS(Data!$AE$2:$AE$1201,'Where it goes'!$C$11,Data!$C$2:$C$1201,'Where it goes'!$C$16,Data!$AG$2:$AG$1201,1)))</f>
        <v>1</v>
      </c>
      <c r="J217" s="61" t="str">
        <f>IF(OR('Where it goes'!$C$11="",'Where it goes'!$C$17=""),"",IF(COUNTIFS(Data!$AE$2:$AE$1201,'Where it goes'!$C$11,Data!$C$2:$C$1201,'Where it goes'!$C$17,Data!$AG$2:$AG$1201,1)=0,"",COUNTIFS(Data!$AE$2:$AE$1201,'Where it goes'!$C$11,Data!$C$2:$C$1201,'Where it goes'!$C$17,Data!$AG$2:$AG$1201,1)))</f>
        <v/>
      </c>
    </row>
    <row r="218" spans="2:10" ht="18.75" customHeight="1" x14ac:dyDescent="0.25">
      <c r="B218" s="59" t="str">
        <f>IF('Where it goes'!$C$12="","",'Where it goes'!$C$12)</f>
        <v>Admin</v>
      </c>
      <c r="C218" s="61" t="str">
        <f>IF(OR('Where it goes'!$C$12="",'Where it goes'!$C$10=""),"",IF(COUNTIFS(Data!$AE$2:$AE$1201,'Where it goes'!$C$12,Data!$C$2:$C$1201,'Where it goes'!$C$10,Data!$AG$2:$AG$1201,1)=0,"",COUNTIFS(Data!$AE$2:$AE$1201,'Where it goes'!$C$12,Data!$C$2:$C$1201,'Where it goes'!$C$10,Data!$AG$2:$AG$1201,1)))</f>
        <v/>
      </c>
      <c r="D218" s="61">
        <f>IF(OR('Where it goes'!$C$12="",'Where it goes'!$C$11=""),"",IF(COUNTIFS(Data!$AE$2:$AE$1201,'Where it goes'!$C$12,Data!$C$2:$C$1201,'Where it goes'!$C$11,Data!$AG$2:$AG$1201,1)=0,"",COUNTIFS(Data!$AE$2:$AE$1201,'Where it goes'!$C$12,Data!$C$2:$C$1201,'Where it goes'!$C$11,Data!$AG$2:$AG$1201,1)))</f>
        <v>3</v>
      </c>
      <c r="E218" s="60" t="str">
        <f>IF('Where it goes'!$C$12="","","—")</f>
        <v>—</v>
      </c>
      <c r="F218" s="61">
        <f>IF(OR('Where it goes'!$C$12="",'Where it goes'!$C$13=""),"",IF(COUNTIFS(Data!$AE$2:$AE$1201,'Where it goes'!$C$12,Data!$C$2:$C$1201,'Where it goes'!$C$13,Data!$AG$2:$AG$1201,1)=0,"",COUNTIFS(Data!$AE$2:$AE$1201,'Where it goes'!$C$12,Data!$C$2:$C$1201,'Where it goes'!$C$13,Data!$AG$2:$AG$1201,1)))</f>
        <v>1</v>
      </c>
      <c r="G218" s="61">
        <f>IF(OR('Where it goes'!$C$12="",'Where it goes'!$C$14=""),"",IF(COUNTIFS(Data!$AE$2:$AE$1201,'Where it goes'!$C$12,Data!$C$2:$C$1201,'Where it goes'!$C$14,Data!$AG$2:$AG$1201,1)=0,"",COUNTIFS(Data!$AE$2:$AE$1201,'Where it goes'!$C$12,Data!$C$2:$C$1201,'Where it goes'!$C$14,Data!$AG$2:$AG$1201,1)))</f>
        <v>1</v>
      </c>
      <c r="H218" s="61">
        <f>IF(OR('Where it goes'!$C$12="",'Where it goes'!$C$15=""),"",IF(COUNTIFS(Data!$AE$2:$AE$1201,'Where it goes'!$C$12,Data!$C$2:$C$1201,'Where it goes'!$C$15,Data!$AG$2:$AG$1201,1)=0,"",COUNTIFS(Data!$AE$2:$AE$1201,'Where it goes'!$C$12,Data!$C$2:$C$1201,'Where it goes'!$C$15,Data!$AG$2:$AG$1201,1)))</f>
        <v>1</v>
      </c>
      <c r="I218" s="61">
        <f>IF(OR('Where it goes'!$C$12="",'Where it goes'!$C$16=""),"",IF(COUNTIFS(Data!$AE$2:$AE$1201,'Where it goes'!$C$12,Data!$C$2:$C$1201,'Where it goes'!$C$16,Data!$AG$2:$AG$1201,1)=0,"",COUNTIFS(Data!$AE$2:$AE$1201,'Where it goes'!$C$12,Data!$C$2:$C$1201,'Where it goes'!$C$16,Data!$AG$2:$AG$1201,1)))</f>
        <v>1</v>
      </c>
      <c r="J218" s="61">
        <f>IF(OR('Where it goes'!$C$12="",'Where it goes'!$C$17=""),"",IF(COUNTIFS(Data!$AE$2:$AE$1201,'Where it goes'!$C$12,Data!$C$2:$C$1201,'Where it goes'!$C$17,Data!$AG$2:$AG$1201,1)=0,"",COUNTIFS(Data!$AE$2:$AE$1201,'Where it goes'!$C$12,Data!$C$2:$C$1201,'Where it goes'!$C$17,Data!$AG$2:$AG$1201,1)))</f>
        <v>1</v>
      </c>
    </row>
    <row r="219" spans="2:10" ht="18.75" customHeight="1" x14ac:dyDescent="0.25">
      <c r="B219" s="59" t="str">
        <f>IF('Where it goes'!$C$13="","",'Where it goes'!$C$13)</f>
        <v>Email</v>
      </c>
      <c r="C219" s="61">
        <f>IF(OR('Where it goes'!$C$13="",'Where it goes'!$C$10=""),"",IF(COUNTIFS(Data!$AE$2:$AE$1201,'Where it goes'!$C$13,Data!$C$2:$C$1201,'Where it goes'!$C$10,Data!$AG$2:$AG$1201,1)=0,"",COUNTIFS(Data!$AE$2:$AE$1201,'Where it goes'!$C$13,Data!$C$2:$C$1201,'Where it goes'!$C$10,Data!$AG$2:$AG$1201,1)))</f>
        <v>8</v>
      </c>
      <c r="D219" s="61">
        <f>IF(OR('Where it goes'!$C$13="",'Where it goes'!$C$11=""),"",IF(COUNTIFS(Data!$AE$2:$AE$1201,'Where it goes'!$C$13,Data!$C$2:$C$1201,'Where it goes'!$C$11,Data!$AG$2:$AG$1201,1)=0,"",COUNTIFS(Data!$AE$2:$AE$1201,'Where it goes'!$C$13,Data!$C$2:$C$1201,'Where it goes'!$C$11,Data!$AG$2:$AG$1201,1)))</f>
        <v>1</v>
      </c>
      <c r="E219" s="61">
        <f>IF(OR('Where it goes'!$C$13="",'Where it goes'!$C$12=""),"",IF(COUNTIFS(Data!$AE$2:$AE$1201,'Where it goes'!$C$13,Data!$C$2:$C$1201,'Where it goes'!$C$12,Data!$AG$2:$AG$1201,1)=0,"",COUNTIFS(Data!$AE$2:$AE$1201,'Where it goes'!$C$13,Data!$C$2:$C$1201,'Where it goes'!$C$12,Data!$AG$2:$AG$1201,1)))</f>
        <v>2</v>
      </c>
      <c r="F219" s="60" t="str">
        <f>IF('Where it goes'!$C$13="","","—")</f>
        <v>—</v>
      </c>
      <c r="G219" s="61">
        <f>IF(OR('Where it goes'!$C$13="",'Where it goes'!$C$14=""),"",IF(COUNTIFS(Data!$AE$2:$AE$1201,'Where it goes'!$C$13,Data!$C$2:$C$1201,'Where it goes'!$C$14,Data!$AG$2:$AG$1201,1)=0,"",COUNTIFS(Data!$AE$2:$AE$1201,'Where it goes'!$C$13,Data!$C$2:$C$1201,'Where it goes'!$C$14,Data!$AG$2:$AG$1201,1)))</f>
        <v>3</v>
      </c>
      <c r="H219" s="61" t="str">
        <f>IF(OR('Where it goes'!$C$13="",'Where it goes'!$C$15=""),"",IF(COUNTIFS(Data!$AE$2:$AE$1201,'Where it goes'!$C$13,Data!$C$2:$C$1201,'Where it goes'!$C$15,Data!$AG$2:$AG$1201,1)=0,"",COUNTIFS(Data!$AE$2:$AE$1201,'Where it goes'!$C$13,Data!$C$2:$C$1201,'Where it goes'!$C$15,Data!$AG$2:$AG$1201,1)))</f>
        <v/>
      </c>
      <c r="I219" s="61">
        <f>IF(OR('Where it goes'!$C$13="",'Where it goes'!$C$16=""),"",IF(COUNTIFS(Data!$AE$2:$AE$1201,'Where it goes'!$C$13,Data!$C$2:$C$1201,'Where it goes'!$C$16,Data!$AG$2:$AG$1201,1)=0,"",COUNTIFS(Data!$AE$2:$AE$1201,'Where it goes'!$C$13,Data!$C$2:$C$1201,'Where it goes'!$C$16,Data!$AG$2:$AG$1201,1)))</f>
        <v>2</v>
      </c>
      <c r="J219" s="61" t="str">
        <f>IF(OR('Where it goes'!$C$13="",'Where it goes'!$C$17=""),"",IF(COUNTIFS(Data!$AE$2:$AE$1201,'Where it goes'!$C$13,Data!$C$2:$C$1201,'Where it goes'!$C$17,Data!$AG$2:$AG$1201,1)=0,"",COUNTIFS(Data!$AE$2:$AE$1201,'Where it goes'!$C$13,Data!$C$2:$C$1201,'Where it goes'!$C$17,Data!$AG$2:$AG$1201,1)))</f>
        <v/>
      </c>
    </row>
    <row r="220" spans="2:10" ht="18.75" customHeight="1" x14ac:dyDescent="0.25">
      <c r="B220" s="59" t="str">
        <f>IF('Where it goes'!$C$14="","",'Where it goes'!$C$14)</f>
        <v>Dev Tickets - ADO's</v>
      </c>
      <c r="C220" s="61">
        <f>IF(OR('Where it goes'!$C$14="",'Where it goes'!$C$10=""),"",IF(COUNTIFS(Data!$AE$2:$AE$1201,'Where it goes'!$C$14,Data!$C$2:$C$1201,'Where it goes'!$C$10,Data!$AG$2:$AG$1201,1)=0,"",COUNTIFS(Data!$AE$2:$AE$1201,'Where it goes'!$C$14,Data!$C$2:$C$1201,'Where it goes'!$C$10,Data!$AG$2:$AG$1201,1)))</f>
        <v>3</v>
      </c>
      <c r="D220" s="61" t="str">
        <f>IF(OR('Where it goes'!$C$14="",'Where it goes'!$C$11=""),"",IF(COUNTIFS(Data!$AE$2:$AE$1201,'Where it goes'!$C$14,Data!$C$2:$C$1201,'Where it goes'!$C$11,Data!$AG$2:$AG$1201,1)=0,"",COUNTIFS(Data!$AE$2:$AE$1201,'Where it goes'!$C$14,Data!$C$2:$C$1201,'Where it goes'!$C$11,Data!$AG$2:$AG$1201,1)))</f>
        <v/>
      </c>
      <c r="E220" s="61">
        <f>IF(OR('Where it goes'!$C$14="",'Where it goes'!$C$12=""),"",IF(COUNTIFS(Data!$AE$2:$AE$1201,'Where it goes'!$C$14,Data!$C$2:$C$1201,'Where it goes'!$C$12,Data!$AG$2:$AG$1201,1)=0,"",COUNTIFS(Data!$AE$2:$AE$1201,'Where it goes'!$C$14,Data!$C$2:$C$1201,'Where it goes'!$C$12,Data!$AG$2:$AG$1201,1)))</f>
        <v>1</v>
      </c>
      <c r="F220" s="61">
        <f>IF(OR('Where it goes'!$C$14="",'Where it goes'!$C$13=""),"",IF(COUNTIFS(Data!$AE$2:$AE$1201,'Where it goes'!$C$14,Data!$C$2:$C$1201,'Where it goes'!$C$13,Data!$AG$2:$AG$1201,1)=0,"",COUNTIFS(Data!$AE$2:$AE$1201,'Where it goes'!$C$14,Data!$C$2:$C$1201,'Where it goes'!$C$13,Data!$AG$2:$AG$1201,1)))</f>
        <v>2</v>
      </c>
      <c r="G220" s="60" t="str">
        <f>IF('Where it goes'!$C$14="","","—")</f>
        <v>—</v>
      </c>
      <c r="H220" s="61" t="str">
        <f>IF(OR('Where it goes'!$C$14="",'Where it goes'!$C$15=""),"",IF(COUNTIFS(Data!$AE$2:$AE$1201,'Where it goes'!$C$14,Data!$C$2:$C$1201,'Where it goes'!$C$15,Data!$AG$2:$AG$1201,1)=0,"",COUNTIFS(Data!$AE$2:$AE$1201,'Where it goes'!$C$14,Data!$C$2:$C$1201,'Where it goes'!$C$15,Data!$AG$2:$AG$1201,1)))</f>
        <v/>
      </c>
      <c r="I220" s="61" t="str">
        <f>IF(OR('Where it goes'!$C$14="",'Where it goes'!$C$16=""),"",IF(COUNTIFS(Data!$AE$2:$AE$1201,'Where it goes'!$C$14,Data!$C$2:$C$1201,'Where it goes'!$C$16,Data!$AG$2:$AG$1201,1)=0,"",COUNTIFS(Data!$AE$2:$AE$1201,'Where it goes'!$C$14,Data!$C$2:$C$1201,'Where it goes'!$C$16,Data!$AG$2:$AG$1201,1)))</f>
        <v/>
      </c>
      <c r="J220" s="61" t="str">
        <f>IF(OR('Where it goes'!$C$14="",'Where it goes'!$C$17=""),"",IF(COUNTIFS(Data!$AE$2:$AE$1201,'Where it goes'!$C$14,Data!$C$2:$C$1201,'Where it goes'!$C$17,Data!$AG$2:$AG$1201,1)=0,"",COUNTIFS(Data!$AE$2:$AE$1201,'Where it goes'!$C$14,Data!$C$2:$C$1201,'Where it goes'!$C$17,Data!$AG$2:$AG$1201,1)))</f>
        <v/>
      </c>
    </row>
    <row r="221" spans="2:10" ht="18.75" customHeight="1" x14ac:dyDescent="0.25">
      <c r="B221" s="59" t="str">
        <f>IF('Where it goes'!$C$15="","",'Where it goes'!$C$15)</f>
        <v>Lunch Break</v>
      </c>
      <c r="C221" s="61" t="str">
        <f>IF(OR('Where it goes'!$C$15="",'Where it goes'!$C$10=""),"",IF(COUNTIFS(Data!$AE$2:$AE$1201,'Where it goes'!$C$15,Data!$C$2:$C$1201,'Where it goes'!$C$10,Data!$AG$2:$AG$1201,1)=0,"",COUNTIFS(Data!$AE$2:$AE$1201,'Where it goes'!$C$15,Data!$C$2:$C$1201,'Where it goes'!$C$10,Data!$AG$2:$AG$1201,1)))</f>
        <v/>
      </c>
      <c r="D221" s="61">
        <f>IF(OR('Where it goes'!$C$15="",'Where it goes'!$C$11=""),"",IF(COUNTIFS(Data!$AE$2:$AE$1201,'Where it goes'!$C$15,Data!$C$2:$C$1201,'Where it goes'!$C$11,Data!$AG$2:$AG$1201,1)=0,"",COUNTIFS(Data!$AE$2:$AE$1201,'Where it goes'!$C$15,Data!$C$2:$C$1201,'Where it goes'!$C$11,Data!$AG$2:$AG$1201,1)))</f>
        <v>1</v>
      </c>
      <c r="E221" s="61">
        <f>IF(OR('Where it goes'!$C$15="",'Where it goes'!$C$12=""),"",IF(COUNTIFS(Data!$AE$2:$AE$1201,'Where it goes'!$C$15,Data!$C$2:$C$1201,'Where it goes'!$C$12,Data!$AG$2:$AG$1201,1)=0,"",COUNTIFS(Data!$AE$2:$AE$1201,'Where it goes'!$C$15,Data!$C$2:$C$1201,'Where it goes'!$C$12,Data!$AG$2:$AG$1201,1)))</f>
        <v>2</v>
      </c>
      <c r="F221" s="61">
        <f>IF(OR('Where it goes'!$C$15="",'Where it goes'!$C$13=""),"",IF(COUNTIFS(Data!$AE$2:$AE$1201,'Where it goes'!$C$15,Data!$C$2:$C$1201,'Where it goes'!$C$13,Data!$AG$2:$AG$1201,1)=0,"",COUNTIFS(Data!$AE$2:$AE$1201,'Where it goes'!$C$15,Data!$C$2:$C$1201,'Where it goes'!$C$13,Data!$AG$2:$AG$1201,1)))</f>
        <v>1</v>
      </c>
      <c r="G221" s="61" t="str">
        <f>IF(OR('Where it goes'!$C$15="",'Where it goes'!$C$14=""),"",IF(COUNTIFS(Data!$AE$2:$AE$1201,'Where it goes'!$C$15,Data!$C$2:$C$1201,'Where it goes'!$C$14,Data!$AG$2:$AG$1201,1)=0,"",COUNTIFS(Data!$AE$2:$AE$1201,'Where it goes'!$C$15,Data!$C$2:$C$1201,'Where it goes'!$C$14,Data!$AG$2:$AG$1201,1)))</f>
        <v/>
      </c>
      <c r="H221" s="60" t="str">
        <f>IF('Where it goes'!$C$15="","","—")</f>
        <v>—</v>
      </c>
      <c r="I221" s="61">
        <f>IF(OR('Where it goes'!$C$15="",'Where it goes'!$C$16=""),"",IF(COUNTIFS(Data!$AE$2:$AE$1201,'Where it goes'!$C$15,Data!$C$2:$C$1201,'Where it goes'!$C$16,Data!$AG$2:$AG$1201,1)=0,"",COUNTIFS(Data!$AE$2:$AE$1201,'Where it goes'!$C$15,Data!$C$2:$C$1201,'Where it goes'!$C$16,Data!$AG$2:$AG$1201,1)))</f>
        <v>1</v>
      </c>
      <c r="J221" s="61" t="str">
        <f>IF(OR('Where it goes'!$C$15="",'Where it goes'!$C$17=""),"",IF(COUNTIFS(Data!$AE$2:$AE$1201,'Where it goes'!$C$15,Data!$C$2:$C$1201,'Where it goes'!$C$17,Data!$AG$2:$AG$1201,1)=0,"",COUNTIFS(Data!$AE$2:$AE$1201,'Where it goes'!$C$15,Data!$C$2:$C$1201,'Where it goes'!$C$17,Data!$AG$2:$AG$1201,1)))</f>
        <v/>
      </c>
    </row>
    <row r="222" spans="2:10" ht="18.75" customHeight="1" x14ac:dyDescent="0.25">
      <c r="B222" s="59" t="str">
        <f>IF('Where it goes'!$C$16="","",'Where it goes'!$C$16)</f>
        <v>Teams Communications</v>
      </c>
      <c r="C222" s="61">
        <f>IF(OR('Where it goes'!$C$16="",'Where it goes'!$C$10=""),"",IF(COUNTIFS(Data!$AE$2:$AE$1201,'Where it goes'!$C$16,Data!$C$2:$C$1201,'Where it goes'!$C$10,Data!$AG$2:$AG$1201,1)=0,"",COUNTIFS(Data!$AE$2:$AE$1201,'Where it goes'!$C$16,Data!$C$2:$C$1201,'Where it goes'!$C$10,Data!$AG$2:$AG$1201,1)))</f>
        <v>3</v>
      </c>
      <c r="D222" s="61">
        <f>IF(OR('Where it goes'!$C$16="",'Where it goes'!$C$11=""),"",IF(COUNTIFS(Data!$AE$2:$AE$1201,'Where it goes'!$C$16,Data!$C$2:$C$1201,'Where it goes'!$C$11,Data!$AG$2:$AG$1201,1)=0,"",COUNTIFS(Data!$AE$2:$AE$1201,'Where it goes'!$C$16,Data!$C$2:$C$1201,'Where it goes'!$C$11,Data!$AG$2:$AG$1201,1)))</f>
        <v>3</v>
      </c>
      <c r="E222" s="61">
        <f>IF(OR('Where it goes'!$C$16="",'Where it goes'!$C$12=""),"",IF(COUNTIFS(Data!$AE$2:$AE$1201,'Where it goes'!$C$16,Data!$C$2:$C$1201,'Where it goes'!$C$12,Data!$AG$2:$AG$1201,1)=0,"",COUNTIFS(Data!$AE$2:$AE$1201,'Where it goes'!$C$16,Data!$C$2:$C$1201,'Where it goes'!$C$12,Data!$AG$2:$AG$1201,1)))</f>
        <v>1</v>
      </c>
      <c r="F222" s="61">
        <f>IF(OR('Where it goes'!$C$16="",'Where it goes'!$C$13=""),"",IF(COUNTIFS(Data!$AE$2:$AE$1201,'Where it goes'!$C$16,Data!$C$2:$C$1201,'Where it goes'!$C$13,Data!$AG$2:$AG$1201,1)=0,"",COUNTIFS(Data!$AE$2:$AE$1201,'Where it goes'!$C$16,Data!$C$2:$C$1201,'Where it goes'!$C$13,Data!$AG$2:$AG$1201,1)))</f>
        <v>2</v>
      </c>
      <c r="G222" s="61">
        <f>IF(OR('Where it goes'!$C$16="",'Where it goes'!$C$14=""),"",IF(COUNTIFS(Data!$AE$2:$AE$1201,'Where it goes'!$C$16,Data!$C$2:$C$1201,'Where it goes'!$C$14,Data!$AG$2:$AG$1201,1)=0,"",COUNTIFS(Data!$AE$2:$AE$1201,'Where it goes'!$C$16,Data!$C$2:$C$1201,'Where it goes'!$C$14,Data!$AG$2:$AG$1201,1)))</f>
        <v>1</v>
      </c>
      <c r="H222" s="61" t="str">
        <f>IF(OR('Where it goes'!$C$16="",'Where it goes'!$C$15=""),"",IF(COUNTIFS(Data!$AE$2:$AE$1201,'Where it goes'!$C$16,Data!$C$2:$C$1201,'Where it goes'!$C$15,Data!$AG$2:$AG$1201,1)=0,"",COUNTIFS(Data!$AE$2:$AE$1201,'Where it goes'!$C$16,Data!$C$2:$C$1201,'Where it goes'!$C$15,Data!$AG$2:$AG$1201,1)))</f>
        <v/>
      </c>
      <c r="I222" s="60" t="str">
        <f>IF('Where it goes'!$C$16="","","—")</f>
        <v>—</v>
      </c>
      <c r="J222" s="61" t="str">
        <f>IF(OR('Where it goes'!$C$16="",'Where it goes'!$C$17=""),"",IF(COUNTIFS(Data!$AE$2:$AE$1201,'Where it goes'!$C$16,Data!$C$2:$C$1201,'Where it goes'!$C$17,Data!$AG$2:$AG$1201,1)=0,"",COUNTIFS(Data!$AE$2:$AE$1201,'Where it goes'!$C$16,Data!$C$2:$C$1201,'Where it goes'!$C$17,Data!$AG$2:$AG$1201,1)))</f>
        <v/>
      </c>
    </row>
    <row r="223" spans="2:10" ht="18.75" customHeight="1" x14ac:dyDescent="0.25">
      <c r="B223" s="59" t="str">
        <f>IF('Where it goes'!$C$17="","",'Where it goes'!$C$17)</f>
        <v>Support</v>
      </c>
      <c r="C223" s="61" t="str">
        <f>IF(OR('Where it goes'!$C$17="",'Where it goes'!$C$10=""),"",IF(COUNTIFS(Data!$AE$2:$AE$1201,'Where it goes'!$C$17,Data!$C$2:$C$1201,'Where it goes'!$C$10,Data!$AG$2:$AG$1201,1)=0,"",COUNTIFS(Data!$AE$2:$AE$1201,'Where it goes'!$C$17,Data!$C$2:$C$1201,'Where it goes'!$C$10,Data!$AG$2:$AG$1201,1)))</f>
        <v/>
      </c>
      <c r="D223" s="61" t="str">
        <f>IF(OR('Where it goes'!$C$17="",'Where it goes'!$C$11=""),"",IF(COUNTIFS(Data!$AE$2:$AE$1201,'Where it goes'!$C$17,Data!$C$2:$C$1201,'Where it goes'!$C$11,Data!$AG$2:$AG$1201,1)=0,"",COUNTIFS(Data!$AE$2:$AE$1201,'Where it goes'!$C$17,Data!$C$2:$C$1201,'Where it goes'!$C$11,Data!$AG$2:$AG$1201,1)))</f>
        <v/>
      </c>
      <c r="E223" s="61" t="str">
        <f>IF(OR('Where it goes'!$C$17="",'Where it goes'!$C$12=""),"",IF(COUNTIFS(Data!$AE$2:$AE$1201,'Where it goes'!$C$17,Data!$C$2:$C$1201,'Where it goes'!$C$12,Data!$AG$2:$AG$1201,1)=0,"",COUNTIFS(Data!$AE$2:$AE$1201,'Where it goes'!$C$17,Data!$C$2:$C$1201,'Where it goes'!$C$12,Data!$AG$2:$AG$1201,1)))</f>
        <v/>
      </c>
      <c r="F223" s="61" t="str">
        <f>IF(OR('Where it goes'!$C$17="",'Where it goes'!$C$13=""),"",IF(COUNTIFS(Data!$AE$2:$AE$1201,'Where it goes'!$C$17,Data!$C$2:$C$1201,'Where it goes'!$C$13,Data!$AG$2:$AG$1201,1)=0,"",COUNTIFS(Data!$AE$2:$AE$1201,'Where it goes'!$C$17,Data!$C$2:$C$1201,'Where it goes'!$C$13,Data!$AG$2:$AG$1201,1)))</f>
        <v/>
      </c>
      <c r="G223" s="61" t="str">
        <f>IF(OR('Where it goes'!$C$17="",'Where it goes'!$C$14=""),"",IF(COUNTIFS(Data!$AE$2:$AE$1201,'Where it goes'!$C$17,Data!$C$2:$C$1201,'Where it goes'!$C$14,Data!$AG$2:$AG$1201,1)=0,"",COUNTIFS(Data!$AE$2:$AE$1201,'Where it goes'!$C$17,Data!$C$2:$C$1201,'Where it goes'!$C$14,Data!$AG$2:$AG$1201,1)))</f>
        <v/>
      </c>
      <c r="H223" s="61" t="str">
        <f>IF(OR('Where it goes'!$C$17="",'Where it goes'!$C$15=""),"",IF(COUNTIFS(Data!$AE$2:$AE$1201,'Where it goes'!$C$17,Data!$C$2:$C$1201,'Where it goes'!$C$15,Data!$AG$2:$AG$1201,1)=0,"",COUNTIFS(Data!$AE$2:$AE$1201,'Where it goes'!$C$17,Data!$C$2:$C$1201,'Where it goes'!$C$15,Data!$AG$2:$AG$1201,1)))</f>
        <v/>
      </c>
      <c r="I223" s="61">
        <f>IF(OR('Where it goes'!$C$17="",'Where it goes'!$C$16=""),"",IF(COUNTIFS(Data!$AE$2:$AE$1201,'Where it goes'!$C$17,Data!$C$2:$C$1201,'Where it goes'!$C$16,Data!$AG$2:$AG$1201,1)=0,"",COUNTIFS(Data!$AE$2:$AE$1201,'Where it goes'!$C$17,Data!$C$2:$C$1201,'Where it goes'!$C$16,Data!$AG$2:$AG$1201,1)))</f>
        <v>1</v>
      </c>
      <c r="J223" s="60" t="str">
        <f>IF('Where it goes'!$C$17="","","—")</f>
        <v>—</v>
      </c>
    </row>
  </sheetData>
  <mergeCells count="1">
    <mergeCell ref="B3:J3"/>
  </mergeCells>
  <conditionalFormatting sqref="B10:J209">
    <cfRule type="expression" dxfId="19" priority="2">
      <formula>$B10&lt;&gt;""</formula>
    </cfRule>
  </conditionalFormatting>
  <conditionalFormatting sqref="C216:J223">
    <cfRule type="colorScale" priority="5">
      <colorScale>
        <cfvo type="min"/>
        <cfvo type="percentile" val="55"/>
        <cfvo type="max"/>
        <color rgb="FFF5F7FB"/>
        <color rgb="FF93AEF5"/>
        <color rgb="FF2F4A99"/>
      </colorScale>
    </cfRule>
    <cfRule type="expression" dxfId="18" priority="6">
      <formula>AND(C216&lt;&gt;"",C216&gt;=0.85*MAX($C$216:$J$223))</formula>
    </cfRule>
  </conditionalFormatting>
  <conditionalFormatting sqref="F10:F209">
    <cfRule type="dataBar" priority="3">
      <dataBar>
        <cfvo type="num" val="0"/>
        <cfvo type="max"/>
        <color rgb="FFFBD9C8"/>
      </dataBar>
      <extLst>
        <ext xmlns:x14="http://schemas.microsoft.com/office/spreadsheetml/2009/9/main" uri="{B025F937-C7B1-47D3-B67F-A62EFF666E3E}">
          <x14:id>{807052DD-3B6A-442C-BE11-E8537EC0A7E6}</x14:id>
        </ext>
      </extLst>
    </cfRule>
  </conditionalFormatting>
  <conditionalFormatting sqref="I10:I209">
    <cfRule type="colorScale" priority="4">
      <colorScale>
        <cfvo type="num" val="0"/>
        <cfvo type="num" val="0.5"/>
        <cfvo type="num" val="1"/>
        <color rgb="FFFCE9E4"/>
        <color rgb="FFFEF5DE"/>
        <color rgb="FFE4F5E4"/>
      </colorScale>
    </cfRule>
  </conditionalFormatting>
  <pageMargins left="0.75" right="0.75" top="1" bottom="1" header="0.511811023622047" footer="0.511811023622047"/>
  <pageSetup paperSize="9" orientation="portrait" horizontalDpi="300" verticalDpi="300"/>
  <extLst>
    <ext xmlns:x14="http://schemas.microsoft.com/office/spreadsheetml/2009/9/main" uri="{78C0D931-6437-407d-A8EE-F0AAD7539E65}">
      <x14:conditionalFormattings>
        <x14:conditionalFormatting xmlns:xm="http://schemas.microsoft.com/office/excel/2006/main">
          <x14:cfRule type="dataBar" id="{807052DD-3B6A-442C-BE11-E8537EC0A7E6}">
            <x14:dataBar minLength="0" maxLength="100" gradient="0" axisPosition="none">
              <x14:cfvo type="num">
                <xm:f>0</xm:f>
              </x14:cfvo>
              <x14:cfvo type="max"/>
              <x14:negativeFillColor rgb="FFFBD9C8"/>
            </x14:dataBar>
          </x14:cfRule>
          <xm:sqref>F10:F209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L65"/>
  <sheetViews>
    <sheetView showGridLines="0" zoomScaleNormal="100" workbookViewId="0"/>
  </sheetViews>
  <sheetFormatPr defaultColWidth="8.7109375" defaultRowHeight="15" x14ac:dyDescent="0.25"/>
  <cols>
    <col min="1" max="1" width="3" customWidth="1"/>
    <col min="2" max="2" width="30" customWidth="1"/>
    <col min="3" max="3" width="11" customWidth="1"/>
    <col min="4" max="4" width="9" customWidth="1"/>
    <col min="5" max="5" width="3" customWidth="1"/>
    <col min="6" max="6" width="11" customWidth="1"/>
    <col min="7" max="7" width="9" customWidth="1"/>
    <col min="8" max="9" width="3" customWidth="1"/>
    <col min="10" max="10" width="13" customWidth="1"/>
    <col min="11" max="11" width="11" customWidth="1"/>
    <col min="12" max="12" width="2" customWidth="1"/>
  </cols>
  <sheetData>
    <row r="2" spans="2:12" ht="25.5" customHeight="1" x14ac:dyDescent="0.35">
      <c r="B2" s="35" t="s">
        <v>163</v>
      </c>
    </row>
    <row r="3" spans="2:12" ht="15.75" customHeight="1" x14ac:dyDescent="0.25">
      <c r="B3" s="157" t="s">
        <v>164</v>
      </c>
      <c r="C3" s="157"/>
      <c r="D3" s="157"/>
      <c r="E3" s="157"/>
      <c r="F3" s="157"/>
      <c r="G3" s="157"/>
      <c r="H3" s="157"/>
      <c r="I3" s="157"/>
      <c r="J3" s="157"/>
      <c r="K3" s="157"/>
      <c r="L3" s="157"/>
    </row>
    <row r="6" spans="2:12" x14ac:dyDescent="0.25">
      <c r="B6" s="37" t="s">
        <v>165</v>
      </c>
      <c r="C6" s="38"/>
      <c r="D6" s="38"/>
      <c r="E6" s="38"/>
      <c r="F6" s="38"/>
      <c r="G6" s="38"/>
      <c r="H6" s="38"/>
      <c r="I6" s="38"/>
      <c r="J6" s="38"/>
      <c r="K6" s="38"/>
      <c r="L6" s="38"/>
    </row>
    <row r="7" spans="2:12" x14ac:dyDescent="0.25">
      <c r="B7" s="39" t="s">
        <v>166</v>
      </c>
    </row>
    <row r="9" spans="2:12" x14ac:dyDescent="0.25">
      <c r="B9" s="62" t="s">
        <v>167</v>
      </c>
      <c r="C9" s="38"/>
      <c r="D9" s="38"/>
      <c r="E9" s="38"/>
      <c r="F9" s="63" t="s">
        <v>168</v>
      </c>
      <c r="G9" s="38"/>
      <c r="H9" s="38"/>
      <c r="I9" s="38"/>
      <c r="J9" s="64" t="s">
        <v>81</v>
      </c>
      <c r="K9" s="38"/>
      <c r="L9" s="38"/>
    </row>
    <row r="10" spans="2:12" x14ac:dyDescent="0.25">
      <c r="B10" s="65" t="str">
        <f>IF(Settings!$C$14="","",TEXT(Settings!$C$14,"d mmm")&amp;"  –  "&amp;TEXT(Settings!$C$16,"d mmm yyyy"))</f>
        <v>31 Aug  –  2 Sept 2026</v>
      </c>
      <c r="F10" s="65" t="str">
        <f>IF(Settings!$C$14="","",TEXT(Settings!$C$16+1,"d mmm")&amp;"  –  "&amp;TEXT(Settings!$C$15,"d mmm yyyy"))</f>
        <v>3 Sept  –  4 Sept 2026</v>
      </c>
    </row>
    <row r="11" spans="2:12" x14ac:dyDescent="0.25">
      <c r="B11" s="39" t="str">
        <f>IF(Settings!$C$14="","",COUNTIFS(Data!$X$2:$X$1201,1,Data!$AJ$2:$AJ$1201,1)&amp;" active days")</f>
        <v>3 active days</v>
      </c>
      <c r="F11" s="39" t="str">
        <f>IF(Settings!$C$14="","",COUNTIFS(Data!$X$2:$X$1201,1,Data!$AJ$2:$AJ$1201,2)&amp;" active days")</f>
        <v>2 active days</v>
      </c>
    </row>
    <row r="13" spans="2:12" ht="19.5" customHeight="1" x14ac:dyDescent="0.25">
      <c r="B13" s="66" t="s">
        <v>82</v>
      </c>
      <c r="C13" s="67">
        <f>IF(COUNTIFS(Data!$X$2:$X$1201,1,Data!$AJ$2:$AJ$1201,1)=0,"",SUMIFS(Data!$N$2:$N$1201,Data!$AJ$2:$AJ$1201,1)/60/COUNTIFS(Data!$X$2:$X$1201,1,Data!$AJ$2:$AJ$1201,1))</f>
        <v>8.2313333333333336</v>
      </c>
      <c r="D13" s="68"/>
      <c r="E13" s="68"/>
      <c r="F13" s="67">
        <f>IF(COUNTIFS(Data!$X$2:$X$1201,1,Data!$AJ$2:$AJ$1201,2)=0,"",SUMIFS(Data!$N$2:$N$1201,Data!$AJ$2:$AJ$1201,2)/60/COUNTIFS(Data!$X$2:$X$1201,1,Data!$AJ$2:$AJ$1201,2))</f>
        <v>8.9879999999999995</v>
      </c>
      <c r="G13" s="68"/>
      <c r="H13" s="68"/>
      <c r="I13" s="68"/>
      <c r="J13" s="69">
        <f t="shared" ref="J13:J19" si="0">IF(OR($C13="",$F13=""),"",$F13-$C13)</f>
        <v>0.75666666666666593</v>
      </c>
      <c r="K13" s="70">
        <f t="shared" ref="K13:K19" si="1">IF(OR($C13="",$F13="",$C13=0),"",$F13/$C13-1)</f>
        <v>9.192516400745121E-2</v>
      </c>
    </row>
    <row r="14" spans="2:12" ht="19.5" customHeight="1" x14ac:dyDescent="0.25">
      <c r="B14" s="66" t="s">
        <v>83</v>
      </c>
      <c r="C14" s="71">
        <f>IF(COUNTIFS(Data!$X$2:$X$1201,1,Data!$AJ$2:$AJ$1201,1)=0,"",COUNTIFS(Data!$E$2:$E$1201,"timed",Data!$AJ$2:$AJ$1201,1)/COUNTIFS(Data!$X$2:$X$1201,1,Data!$AJ$2:$AJ$1201,1))</f>
        <v>16.666666666666668</v>
      </c>
      <c r="D14" s="68"/>
      <c r="E14" s="68"/>
      <c r="F14" s="71">
        <f>IF(COUNTIFS(Data!$X$2:$X$1201,1,Data!$AJ$2:$AJ$1201,2)=0,"",COUNTIFS(Data!$E$2:$E$1201,"timed",Data!$AJ$2:$AJ$1201,2)/COUNTIFS(Data!$X$2:$X$1201,1,Data!$AJ$2:$AJ$1201,2))</f>
        <v>16.5</v>
      </c>
      <c r="G14" s="68"/>
      <c r="H14" s="68"/>
      <c r="I14" s="68"/>
      <c r="J14" s="72">
        <f t="shared" si="0"/>
        <v>-0.16666666666666785</v>
      </c>
      <c r="K14" s="70">
        <f t="shared" si="1"/>
        <v>-1.000000000000012E-2</v>
      </c>
    </row>
    <row r="15" spans="2:12" ht="19.5" customHeight="1" x14ac:dyDescent="0.25">
      <c r="B15" s="66" t="s">
        <v>84</v>
      </c>
      <c r="C15" s="73">
        <f>IF(COUNTIFS(Data!$E$2:$E$1201,"timed",Data!$AJ$2:$AJ$1201,1)=0,"",SUMIFS(Data!$N$2:$N$1201,Data!$AJ$2:$AJ$1201,1)/COUNTIFS(Data!$E$2:$E$1201,"timed",Data!$AJ$2:$AJ$1201,1))</f>
        <v>29.632799999999996</v>
      </c>
      <c r="D15" s="68"/>
      <c r="E15" s="68"/>
      <c r="F15" s="73">
        <f>IF(COUNTIFS(Data!$E$2:$E$1201,"timed",Data!$AJ$2:$AJ$1201,2)=0,"",SUMIFS(Data!$N$2:$N$1201,Data!$AJ$2:$AJ$1201,2)/COUNTIFS(Data!$E$2:$E$1201,"timed",Data!$AJ$2:$AJ$1201,2))</f>
        <v>32.68363636363636</v>
      </c>
      <c r="G15" s="68"/>
      <c r="H15" s="68"/>
      <c r="I15" s="68"/>
      <c r="J15" s="74">
        <f t="shared" si="0"/>
        <v>3.050836363636364</v>
      </c>
      <c r="K15" s="70">
        <f t="shared" si="1"/>
        <v>0.10295471111863752</v>
      </c>
    </row>
    <row r="16" spans="2:12" ht="19.5" customHeight="1" x14ac:dyDescent="0.25">
      <c r="B16" s="66" t="s">
        <v>85</v>
      </c>
      <c r="C16" s="71">
        <f>IF(COUNTIFS(Data!$X$2:$X$1201,1,Data!$AJ$2:$AJ$1201,1)=0,"",SUMIFS(Data!$AG$2:$AG$1201,Data!$AJ$2:$AJ$1201,1)/COUNTIFS(Data!$X$2:$X$1201,1,Data!$AJ$2:$AJ$1201,1))</f>
        <v>15.333333333333334</v>
      </c>
      <c r="D16" s="68"/>
      <c r="E16" s="68"/>
      <c r="F16" s="71">
        <f>IF(COUNTIFS(Data!$X$2:$X$1201,1,Data!$AJ$2:$AJ$1201,2)=0,"",SUMIFS(Data!$AG$2:$AG$1201,Data!$AJ$2:$AJ$1201,2)/COUNTIFS(Data!$X$2:$X$1201,1,Data!$AJ$2:$AJ$1201,2))</f>
        <v>13.5</v>
      </c>
      <c r="G16" s="68"/>
      <c r="H16" s="68"/>
      <c r="I16" s="68"/>
      <c r="J16" s="72">
        <f t="shared" si="0"/>
        <v>-1.8333333333333339</v>
      </c>
      <c r="K16" s="70">
        <f t="shared" si="1"/>
        <v>-0.11956521739130443</v>
      </c>
    </row>
    <row r="17" spans="2:12" ht="19.5" customHeight="1" x14ac:dyDescent="0.25">
      <c r="B17" s="66" t="s">
        <v>86</v>
      </c>
      <c r="C17" s="75">
        <f>IF(SUMIFS(Data!$N$2:$N$1201,Data!$AJ$2:$AJ$1201,1)=0,"",SUMIFS(Data!$N$2:$N$1201,Data!$AJ$2:$AJ$1201,1,Data!$AI$2:$AI$1201,1)/SUMIFS(Data!$N$2:$N$1201,Data!$AJ$2:$AJ$1201,1))</f>
        <v>0.6064968548365326</v>
      </c>
      <c r="D17" s="68"/>
      <c r="E17" s="68"/>
      <c r="F17" s="75">
        <f>IF(SUMIFS(Data!$N$2:$N$1201,Data!$AJ$2:$AJ$1201,2)=0,"",SUMIFS(Data!$N$2:$N$1201,Data!$AJ$2:$AJ$1201,2,Data!$AI$2:$AI$1201,1)/SUMIFS(Data!$N$2:$N$1201,Data!$AJ$2:$AJ$1201,2))</f>
        <v>0.5652351283192405</v>
      </c>
      <c r="G17" s="68"/>
      <c r="H17" s="68"/>
      <c r="I17" s="68"/>
      <c r="J17" s="76">
        <f t="shared" si="0"/>
        <v>-4.1261726517292097E-2</v>
      </c>
      <c r="K17" s="70">
        <f t="shared" si="1"/>
        <v>-6.8032877974962047E-2</v>
      </c>
    </row>
    <row r="18" spans="2:12" ht="19.5" customHeight="1" x14ac:dyDescent="0.25">
      <c r="B18" s="66" t="s">
        <v>87</v>
      </c>
      <c r="C18" s="71">
        <f>IF(COUNTIFS(Data!$X$2:$X$1201,1,Data!$AJ$2:$AJ$1201,1)=0,"",SUMIFS(Data!$AB$2:$AB$1201,Data!$AJ$2:$AJ$1201,1)/COUNTIFS(Data!$X$2:$X$1201,1,Data!$AJ$2:$AJ$1201,1))</f>
        <v>4.666666666666667</v>
      </c>
      <c r="D18" s="68"/>
      <c r="E18" s="68"/>
      <c r="F18" s="71">
        <f>IF(COUNTIFS(Data!$X$2:$X$1201,1,Data!$AJ$2:$AJ$1201,2)=0,"",SUMIFS(Data!$AB$2:$AB$1201,Data!$AJ$2:$AJ$1201,2)/COUNTIFS(Data!$X$2:$X$1201,1,Data!$AJ$2:$AJ$1201,2))</f>
        <v>5.5</v>
      </c>
      <c r="G18" s="68"/>
      <c r="H18" s="68"/>
      <c r="I18" s="68"/>
      <c r="J18" s="72">
        <f t="shared" si="0"/>
        <v>0.83333333333333304</v>
      </c>
      <c r="K18" s="70">
        <f t="shared" si="1"/>
        <v>0.1785714285714286</v>
      </c>
    </row>
    <row r="19" spans="2:12" ht="19.5" customHeight="1" x14ac:dyDescent="0.25">
      <c r="B19" s="66" t="s">
        <v>88</v>
      </c>
      <c r="C19" s="77">
        <f>IF(COUNTIFS(Data!$X$2:$X$1201,1,Data!$AJ$2:$AJ$1201,1)=0,"",SUMIFS(Data!$AL$2:$AL$1201,Data!$AJ$2:$AJ$1201,1)/COUNTIFS(Data!$X$2:$X$1201,1,Data!$AJ$2:$AJ$1201,1))</f>
        <v>316.24999999999994</v>
      </c>
      <c r="D19" s="68"/>
      <c r="E19" s="68"/>
      <c r="F19" s="77">
        <f>IF(COUNTIFS(Data!$X$2:$X$1201,1,Data!$AJ$2:$AJ$1201,2)=0,"",SUMIFS(Data!$AL$2:$AL$1201,Data!$AJ$2:$AJ$1201,2)/COUNTIFS(Data!$X$2:$X$1201,1,Data!$AJ$2:$AJ$1201,2))</f>
        <v>345.32499999999999</v>
      </c>
      <c r="G19" s="68"/>
      <c r="H19" s="68"/>
      <c r="I19" s="68"/>
      <c r="J19" s="78">
        <f t="shared" si="0"/>
        <v>29.075000000000045</v>
      </c>
      <c r="K19" s="70">
        <f t="shared" si="1"/>
        <v>9.1936758893280901E-2</v>
      </c>
    </row>
    <row r="22" spans="2:12" x14ac:dyDescent="0.25">
      <c r="B22" s="37" t="s">
        <v>169</v>
      </c>
      <c r="C22" s="38"/>
      <c r="D22" s="38"/>
      <c r="E22" s="38"/>
      <c r="F22" s="38"/>
      <c r="G22" s="38"/>
      <c r="H22" s="38"/>
      <c r="I22" s="38"/>
      <c r="J22" s="38"/>
      <c r="K22" s="38"/>
      <c r="L22" s="38"/>
    </row>
    <row r="23" spans="2:12" x14ac:dyDescent="0.25">
      <c r="B23" s="39" t="s">
        <v>170</v>
      </c>
    </row>
    <row r="25" spans="2:12" x14ac:dyDescent="0.25">
      <c r="B25" s="40" t="s">
        <v>94</v>
      </c>
      <c r="C25" s="41" t="s">
        <v>79</v>
      </c>
      <c r="D25" s="41" t="s">
        <v>171</v>
      </c>
      <c r="E25" s="40"/>
      <c r="F25" s="41" t="s">
        <v>80</v>
      </c>
      <c r="G25" s="41" t="s">
        <v>171</v>
      </c>
      <c r="H25" s="40"/>
      <c r="I25" s="40"/>
      <c r="J25" s="41" t="s">
        <v>172</v>
      </c>
      <c r="K25" s="41"/>
    </row>
    <row r="26" spans="2:12" x14ac:dyDescent="0.25">
      <c r="B26" s="59" t="str">
        <f>IF('Where it goes'!$C$10="","",'Where it goes'!$C$10)</f>
        <v>Zendesk Tickets</v>
      </c>
      <c r="C26" s="53">
        <f>IF($B26="","",SUMIFS(Data!$N$2:$N$1201,Data!$C$2:$C$1201,$B26,Data!$AJ$2:$AJ$1201,1)/60)</f>
        <v>5.2748333333333335</v>
      </c>
      <c r="D26" s="79">
        <f>IF(OR($B26="",COUNTIFS(Data!$X$2:$X$1201,1,Data!$AJ$2:$AJ$1201,1)=0),"",SUMIFS(Data!$N$2:$N$1201,Data!$C$2:$C$1201,$B26,Data!$AJ$2:$AJ$1201,1)/60/COUNTIFS(Data!$X$2:$X$1201,1,Data!$AJ$2:$AJ$1201,1))</f>
        <v>1.7582777777777778</v>
      </c>
      <c r="F26" s="53">
        <f>IF($B26="","",SUMIFS(Data!$N$2:$N$1201,Data!$C$2:$C$1201,$B26,Data!$AJ$2:$AJ$1201,2)/60)</f>
        <v>4.9169999999999998</v>
      </c>
      <c r="G26" s="80">
        <f>IF(OR($B26="",COUNTIFS(Data!$X$2:$X$1201,1,Data!$AJ$2:$AJ$1201,2)=0),"",SUMIFS(Data!$N$2:$N$1201,Data!$C$2:$C$1201,$B26,Data!$AJ$2:$AJ$1201,2)/60/COUNTIFS(Data!$X$2:$X$1201,1,Data!$AJ$2:$AJ$1201,2))</f>
        <v>2.4584999999999999</v>
      </c>
      <c r="J26" s="81">
        <f t="shared" ref="J26:J65" si="2">IF(OR($D26="",$G26=""),"",$G26-$D26)</f>
        <v>0.70022222222222208</v>
      </c>
      <c r="K26" s="82">
        <f t="shared" ref="K26:K65" si="3">IF(OR($D26="",$G26="",$D26=0),"",$G26/$D26-1)</f>
        <v>0.39824323043382082</v>
      </c>
    </row>
    <row r="27" spans="2:12" x14ac:dyDescent="0.25">
      <c r="B27" s="59" t="str">
        <f>IF('Where it goes'!$C$11="","",'Where it goes'!$C$11)</f>
        <v>Project work</v>
      </c>
      <c r="C27" s="53">
        <f>IF($B27="","",SUMIFS(Data!$N$2:$N$1201,Data!$C$2:$C$1201,$B27,Data!$AJ$2:$AJ$1201,1)/60)</f>
        <v>4.7208333333333332</v>
      </c>
      <c r="D27" s="79">
        <f>IF(OR($B27="",COUNTIFS(Data!$X$2:$X$1201,1,Data!$AJ$2:$AJ$1201,1)=0),"",SUMIFS(Data!$N$2:$N$1201,Data!$C$2:$C$1201,$B27,Data!$AJ$2:$AJ$1201,1)/60/COUNTIFS(Data!$X$2:$X$1201,1,Data!$AJ$2:$AJ$1201,1))</f>
        <v>1.5736111111111111</v>
      </c>
      <c r="F27" s="53">
        <f>IF($B27="","",SUMIFS(Data!$N$2:$N$1201,Data!$C$2:$C$1201,$B27,Data!$AJ$2:$AJ$1201,2)/60)</f>
        <v>3.2716666666666669</v>
      </c>
      <c r="G27" s="80">
        <f>IF(OR($B27="",COUNTIFS(Data!$X$2:$X$1201,1,Data!$AJ$2:$AJ$1201,2)=0),"",SUMIFS(Data!$N$2:$N$1201,Data!$C$2:$C$1201,$B27,Data!$AJ$2:$AJ$1201,2)/60/COUNTIFS(Data!$X$2:$X$1201,1,Data!$AJ$2:$AJ$1201,2))</f>
        <v>1.6358333333333335</v>
      </c>
      <c r="J27" s="81">
        <f t="shared" si="2"/>
        <v>6.2222222222222401E-2</v>
      </c>
      <c r="K27" s="82">
        <f t="shared" si="3"/>
        <v>3.9541041482789252E-2</v>
      </c>
    </row>
    <row r="28" spans="2:12" x14ac:dyDescent="0.25">
      <c r="B28" s="59" t="str">
        <f>IF('Where it goes'!$C$12="","",'Where it goes'!$C$12)</f>
        <v>Admin</v>
      </c>
      <c r="C28" s="53">
        <f>IF($B28="","",SUMIFS(Data!$N$2:$N$1201,Data!$C$2:$C$1201,$B28,Data!$AJ$2:$AJ$1201,1)/60)</f>
        <v>4.6085000000000003</v>
      </c>
      <c r="D28" s="79">
        <f>IF(OR($B28="",COUNTIFS(Data!$X$2:$X$1201,1,Data!$AJ$2:$AJ$1201,1)=0),"",SUMIFS(Data!$N$2:$N$1201,Data!$C$2:$C$1201,$B28,Data!$AJ$2:$AJ$1201,1)/60/COUNTIFS(Data!$X$2:$X$1201,1,Data!$AJ$2:$AJ$1201,1))</f>
        <v>1.5361666666666667</v>
      </c>
      <c r="F28" s="53">
        <f>IF($B28="","",SUMIFS(Data!$N$2:$N$1201,Data!$C$2:$C$1201,$B28,Data!$AJ$2:$AJ$1201,2)/60)</f>
        <v>2.9508333333333332</v>
      </c>
      <c r="G28" s="80">
        <f>IF(OR($B28="",COUNTIFS(Data!$X$2:$X$1201,1,Data!$AJ$2:$AJ$1201,2)=0),"",SUMIFS(Data!$N$2:$N$1201,Data!$C$2:$C$1201,$B28,Data!$AJ$2:$AJ$1201,2)/60/COUNTIFS(Data!$X$2:$X$1201,1,Data!$AJ$2:$AJ$1201,2))</f>
        <v>1.4754166666666666</v>
      </c>
      <c r="J28" s="81">
        <f t="shared" si="2"/>
        <v>-6.0750000000000082E-2</v>
      </c>
      <c r="K28" s="82">
        <f t="shared" si="3"/>
        <v>-3.9546490181186944E-2</v>
      </c>
    </row>
    <row r="29" spans="2:12" x14ac:dyDescent="0.25">
      <c r="B29" s="59" t="str">
        <f>IF('Where it goes'!$C$13="","",'Where it goes'!$C$13)</f>
        <v>Email</v>
      </c>
      <c r="C29" s="53">
        <f>IF($B29="","",SUMIFS(Data!$N$2:$N$1201,Data!$C$2:$C$1201,$B29,Data!$AJ$2:$AJ$1201,1)/60)</f>
        <v>3.7051666666666661</v>
      </c>
      <c r="D29" s="79">
        <f>IF(OR($B29="",COUNTIFS(Data!$X$2:$X$1201,1,Data!$AJ$2:$AJ$1201,1)=0),"",SUMIFS(Data!$N$2:$N$1201,Data!$C$2:$C$1201,$B29,Data!$AJ$2:$AJ$1201,1)/60/COUNTIFS(Data!$X$2:$X$1201,1,Data!$AJ$2:$AJ$1201,1))</f>
        <v>1.2350555555555554</v>
      </c>
      <c r="F29" s="53">
        <f>IF($B29="","",SUMIFS(Data!$N$2:$N$1201,Data!$C$2:$C$1201,$B29,Data!$AJ$2:$AJ$1201,2)/60)</f>
        <v>1.5734999999999999</v>
      </c>
      <c r="G29" s="80">
        <f>IF(OR($B29="",COUNTIFS(Data!$X$2:$X$1201,1,Data!$AJ$2:$AJ$1201,2)=0),"",SUMIFS(Data!$N$2:$N$1201,Data!$C$2:$C$1201,$B29,Data!$AJ$2:$AJ$1201,2)/60/COUNTIFS(Data!$X$2:$X$1201,1,Data!$AJ$2:$AJ$1201,2))</f>
        <v>0.78674999999999995</v>
      </c>
      <c r="J29" s="81">
        <f t="shared" si="2"/>
        <v>-0.4483055555555554</v>
      </c>
      <c r="K29" s="82">
        <f t="shared" si="3"/>
        <v>-0.36298412127209745</v>
      </c>
    </row>
    <row r="30" spans="2:12" x14ac:dyDescent="0.25">
      <c r="B30" s="59" t="str">
        <f>IF('Where it goes'!$C$14="","",'Where it goes'!$C$14)</f>
        <v>Dev Tickets - ADO's</v>
      </c>
      <c r="C30" s="53">
        <f>IF($B30="","",SUMIFS(Data!$N$2:$N$1201,Data!$C$2:$C$1201,$B30,Data!$AJ$2:$AJ$1201,1)/60)</f>
        <v>3.5761666666666665</v>
      </c>
      <c r="D30" s="79">
        <f>IF(OR($B30="",COUNTIFS(Data!$X$2:$X$1201,1,Data!$AJ$2:$AJ$1201,1)=0),"",SUMIFS(Data!$N$2:$N$1201,Data!$C$2:$C$1201,$B30,Data!$AJ$2:$AJ$1201,1)/60/COUNTIFS(Data!$X$2:$X$1201,1,Data!$AJ$2:$AJ$1201,1))</f>
        <v>1.1920555555555554</v>
      </c>
      <c r="F30" s="53">
        <f>IF($B30="","",SUMIFS(Data!$N$2:$N$1201,Data!$C$2:$C$1201,$B30,Data!$AJ$2:$AJ$1201,2)/60)</f>
        <v>1.2070000000000001</v>
      </c>
      <c r="G30" s="80">
        <f>IF(OR($B30="",COUNTIFS(Data!$X$2:$X$1201,1,Data!$AJ$2:$AJ$1201,2)=0),"",SUMIFS(Data!$N$2:$N$1201,Data!$C$2:$C$1201,$B30,Data!$AJ$2:$AJ$1201,2)/60/COUNTIFS(Data!$X$2:$X$1201,1,Data!$AJ$2:$AJ$1201,2))</f>
        <v>0.60350000000000004</v>
      </c>
      <c r="J30" s="81">
        <f t="shared" si="2"/>
        <v>-0.58855555555555539</v>
      </c>
      <c r="K30" s="82">
        <f t="shared" si="3"/>
        <v>-0.49373164934520197</v>
      </c>
    </row>
    <row r="31" spans="2:12" x14ac:dyDescent="0.25">
      <c r="B31" s="59" t="str">
        <f>IF('Where it goes'!$C$15="","",'Where it goes'!$C$15)</f>
        <v>Lunch Break</v>
      </c>
      <c r="C31" s="53">
        <f>IF($B31="","",SUMIFS(Data!$N$2:$N$1201,Data!$C$2:$C$1201,$B31,Data!$AJ$2:$AJ$1201,1)/60)</f>
        <v>1.6653333333333333</v>
      </c>
      <c r="D31" s="79">
        <f>IF(OR($B31="",COUNTIFS(Data!$X$2:$X$1201,1,Data!$AJ$2:$AJ$1201,1)=0),"",SUMIFS(Data!$N$2:$N$1201,Data!$C$2:$C$1201,$B31,Data!$AJ$2:$AJ$1201,1)/60/COUNTIFS(Data!$X$2:$X$1201,1,Data!$AJ$2:$AJ$1201,1))</f>
        <v>0.55511111111111111</v>
      </c>
      <c r="F31" s="53">
        <f>IF($B31="","",SUMIFS(Data!$N$2:$N$1201,Data!$C$2:$C$1201,$B31,Data!$AJ$2:$AJ$1201,2)/60)</f>
        <v>1.0993333333333335</v>
      </c>
      <c r="G31" s="80">
        <f>IF(OR($B31="",COUNTIFS(Data!$X$2:$X$1201,1,Data!$AJ$2:$AJ$1201,2)=0),"",SUMIFS(Data!$N$2:$N$1201,Data!$C$2:$C$1201,$B31,Data!$AJ$2:$AJ$1201,2)/60/COUNTIFS(Data!$X$2:$X$1201,1,Data!$AJ$2:$AJ$1201,2))</f>
        <v>0.54966666666666675</v>
      </c>
      <c r="J31" s="81">
        <f t="shared" si="2"/>
        <v>-5.4444444444443629E-3</v>
      </c>
      <c r="K31" s="82">
        <f t="shared" si="3"/>
        <v>-9.8078462770214703E-3</v>
      </c>
    </row>
    <row r="32" spans="2:12" x14ac:dyDescent="0.25">
      <c r="B32" s="59" t="str">
        <f>IF('Where it goes'!$C$16="","",'Where it goes'!$C$16)</f>
        <v>Teams Communications</v>
      </c>
      <c r="C32" s="53">
        <f>IF($B32="","",SUMIFS(Data!$N$2:$N$1201,Data!$C$2:$C$1201,$B32,Data!$AJ$2:$AJ$1201,1)/60)</f>
        <v>0.91416666666666657</v>
      </c>
      <c r="D32" s="79">
        <f>IF(OR($B32="",COUNTIFS(Data!$X$2:$X$1201,1,Data!$AJ$2:$AJ$1201,1)=0),"",SUMIFS(Data!$N$2:$N$1201,Data!$C$2:$C$1201,$B32,Data!$AJ$2:$AJ$1201,1)/60/COUNTIFS(Data!$X$2:$X$1201,1,Data!$AJ$2:$AJ$1201,1))</f>
        <v>0.30472222222222217</v>
      </c>
      <c r="F32" s="53">
        <f>IF($B32="","",SUMIFS(Data!$N$2:$N$1201,Data!$C$2:$C$1201,$B32,Data!$AJ$2:$AJ$1201,2)/60)</f>
        <v>1.4376666666666664</v>
      </c>
      <c r="G32" s="80">
        <f>IF(OR($B32="",COUNTIFS(Data!$X$2:$X$1201,1,Data!$AJ$2:$AJ$1201,2)=0),"",SUMIFS(Data!$N$2:$N$1201,Data!$C$2:$C$1201,$B32,Data!$AJ$2:$AJ$1201,2)/60/COUNTIFS(Data!$X$2:$X$1201,1,Data!$AJ$2:$AJ$1201,2))</f>
        <v>0.71883333333333321</v>
      </c>
      <c r="J32" s="81">
        <f t="shared" si="2"/>
        <v>0.41411111111111104</v>
      </c>
      <c r="K32" s="82">
        <f t="shared" si="3"/>
        <v>1.35897903372835</v>
      </c>
    </row>
    <row r="33" spans="2:11" x14ac:dyDescent="0.25">
      <c r="B33" s="59" t="str">
        <f>IF('Where it goes'!$C$17="","",'Where it goes'!$C$17)</f>
        <v>Support</v>
      </c>
      <c r="C33" s="53">
        <f>IF($B33="","",SUMIFS(Data!$N$2:$N$1201,Data!$C$2:$C$1201,$B33,Data!$AJ$2:$AJ$1201,1)/60)</f>
        <v>0</v>
      </c>
      <c r="D33" s="79">
        <f>IF(OR($B33="",COUNTIFS(Data!$X$2:$X$1201,1,Data!$AJ$2:$AJ$1201,1)=0),"",SUMIFS(Data!$N$2:$N$1201,Data!$C$2:$C$1201,$B33,Data!$AJ$2:$AJ$1201,1)/60/COUNTIFS(Data!$X$2:$X$1201,1,Data!$AJ$2:$AJ$1201,1))</f>
        <v>0</v>
      </c>
      <c r="F33" s="53">
        <f>IF($B33="","",SUMIFS(Data!$N$2:$N$1201,Data!$C$2:$C$1201,$B33,Data!$AJ$2:$AJ$1201,2)/60)</f>
        <v>1.1826666666666665</v>
      </c>
      <c r="G33" s="80">
        <f>IF(OR($B33="",COUNTIFS(Data!$X$2:$X$1201,1,Data!$AJ$2:$AJ$1201,2)=0),"",SUMIFS(Data!$N$2:$N$1201,Data!$C$2:$C$1201,$B33,Data!$AJ$2:$AJ$1201,2)/60/COUNTIFS(Data!$X$2:$X$1201,1,Data!$AJ$2:$AJ$1201,2))</f>
        <v>0.59133333333333327</v>
      </c>
      <c r="J33" s="81">
        <f t="shared" si="2"/>
        <v>0.59133333333333327</v>
      </c>
      <c r="K33" s="82" t="str">
        <f t="shared" si="3"/>
        <v/>
      </c>
    </row>
    <row r="34" spans="2:11" x14ac:dyDescent="0.25">
      <c r="B34" s="59" t="str">
        <f>IF('Where it goes'!$C$18="","",'Where it goes'!$C$18)</f>
        <v>Meetings</v>
      </c>
      <c r="C34" s="53">
        <f>IF($B34="","",SUMIFS(Data!$N$2:$N$1201,Data!$C$2:$C$1201,$B34,Data!$AJ$2:$AJ$1201,1)/60)</f>
        <v>0.22900000000000001</v>
      </c>
      <c r="D34" s="79">
        <f>IF(OR($B34="",COUNTIFS(Data!$X$2:$X$1201,1,Data!$AJ$2:$AJ$1201,1)=0),"",SUMIFS(Data!$N$2:$N$1201,Data!$C$2:$C$1201,$B34,Data!$AJ$2:$AJ$1201,1)/60/COUNTIFS(Data!$X$2:$X$1201,1,Data!$AJ$2:$AJ$1201,1))</f>
        <v>7.6333333333333336E-2</v>
      </c>
      <c r="F34" s="53">
        <f>IF($B34="","",SUMIFS(Data!$N$2:$N$1201,Data!$C$2:$C$1201,$B34,Data!$AJ$2:$AJ$1201,2)/60)</f>
        <v>0.33433333333333337</v>
      </c>
      <c r="G34" s="80">
        <f>IF(OR($B34="",COUNTIFS(Data!$X$2:$X$1201,1,Data!$AJ$2:$AJ$1201,2)=0),"",SUMIFS(Data!$N$2:$N$1201,Data!$C$2:$C$1201,$B34,Data!$AJ$2:$AJ$1201,2)/60/COUNTIFS(Data!$X$2:$X$1201,1,Data!$AJ$2:$AJ$1201,2))</f>
        <v>0.16716666666666669</v>
      </c>
      <c r="J34" s="81">
        <f t="shared" si="2"/>
        <v>9.0833333333333349E-2</v>
      </c>
      <c r="K34" s="82">
        <f t="shared" si="3"/>
        <v>1.1899563318777293</v>
      </c>
    </row>
    <row r="35" spans="2:11" x14ac:dyDescent="0.25">
      <c r="B35" s="59" t="str">
        <f>IF('Where it goes'!$C$19="","",'Where it goes'!$C$19)</f>
        <v>Finish for the Day</v>
      </c>
      <c r="C35" s="53">
        <f>IF($B35="","",SUMIFS(Data!$N$2:$N$1201,Data!$C$2:$C$1201,$B35,Data!$AJ$2:$AJ$1201,1)/60)</f>
        <v>0</v>
      </c>
      <c r="D35" s="79">
        <f>IF(OR($B35="",COUNTIFS(Data!$X$2:$X$1201,1,Data!$AJ$2:$AJ$1201,1)=0),"",SUMIFS(Data!$N$2:$N$1201,Data!$C$2:$C$1201,$B35,Data!$AJ$2:$AJ$1201,1)/60/COUNTIFS(Data!$X$2:$X$1201,1,Data!$AJ$2:$AJ$1201,1))</f>
        <v>0</v>
      </c>
      <c r="F35" s="53">
        <f>IF($B35="","",SUMIFS(Data!$N$2:$N$1201,Data!$C$2:$C$1201,$B35,Data!$AJ$2:$AJ$1201,2)/60)</f>
        <v>2E-3</v>
      </c>
      <c r="G35" s="80">
        <f>IF(OR($B35="",COUNTIFS(Data!$X$2:$X$1201,1,Data!$AJ$2:$AJ$1201,2)=0),"",SUMIFS(Data!$N$2:$N$1201,Data!$C$2:$C$1201,$B35,Data!$AJ$2:$AJ$1201,2)/60/COUNTIFS(Data!$X$2:$X$1201,1,Data!$AJ$2:$AJ$1201,2))</f>
        <v>1E-3</v>
      </c>
      <c r="J35" s="81">
        <f t="shared" si="2"/>
        <v>1E-3</v>
      </c>
      <c r="K35" s="82" t="str">
        <f t="shared" si="3"/>
        <v/>
      </c>
    </row>
    <row r="36" spans="2:11" x14ac:dyDescent="0.25">
      <c r="B36" s="59" t="str">
        <f>IF('Where it goes'!$C$20="","",'Where it goes'!$C$20)</f>
        <v>To-do</v>
      </c>
      <c r="C36" s="53">
        <f>IF($B36="","",SUMIFS(Data!$N$2:$N$1201,Data!$C$2:$C$1201,$B36,Data!$AJ$2:$AJ$1201,1)/60)</f>
        <v>0</v>
      </c>
      <c r="D36" s="79">
        <f>IF(OR($B36="",COUNTIFS(Data!$X$2:$X$1201,1,Data!$AJ$2:$AJ$1201,1)=0),"",SUMIFS(Data!$N$2:$N$1201,Data!$C$2:$C$1201,$B36,Data!$AJ$2:$AJ$1201,1)/60/COUNTIFS(Data!$X$2:$X$1201,1,Data!$AJ$2:$AJ$1201,1))</f>
        <v>0</v>
      </c>
      <c r="F36" s="53">
        <f>IF($B36="","",SUMIFS(Data!$N$2:$N$1201,Data!$C$2:$C$1201,$B36,Data!$AJ$2:$AJ$1201,2)/60)</f>
        <v>0</v>
      </c>
      <c r="G36" s="80">
        <f>IF(OR($B36="",COUNTIFS(Data!$X$2:$X$1201,1,Data!$AJ$2:$AJ$1201,2)=0),"",SUMIFS(Data!$N$2:$N$1201,Data!$C$2:$C$1201,$B36,Data!$AJ$2:$AJ$1201,2)/60/COUNTIFS(Data!$X$2:$X$1201,1,Data!$AJ$2:$AJ$1201,2))</f>
        <v>0</v>
      </c>
      <c r="J36" s="81">
        <f t="shared" si="2"/>
        <v>0</v>
      </c>
      <c r="K36" s="82" t="str">
        <f t="shared" si="3"/>
        <v/>
      </c>
    </row>
    <row r="37" spans="2:11" x14ac:dyDescent="0.25">
      <c r="B37" s="59" t="str">
        <f>IF('Where it goes'!$C$21="","",'Where it goes'!$C$21)</f>
        <v/>
      </c>
      <c r="C37" s="53" t="str">
        <f>IF($B37="","",SUMIFS(Data!$N$2:$N$1201,Data!$C$2:$C$1201,$B37,Data!$AJ$2:$AJ$1201,1)/60)</f>
        <v/>
      </c>
      <c r="D37" s="79" t="str">
        <f>IF(OR($B37="",COUNTIFS(Data!$X$2:$X$1201,1,Data!$AJ$2:$AJ$1201,1)=0),"",SUMIFS(Data!$N$2:$N$1201,Data!$C$2:$C$1201,$B37,Data!$AJ$2:$AJ$1201,1)/60/COUNTIFS(Data!$X$2:$X$1201,1,Data!$AJ$2:$AJ$1201,1))</f>
        <v/>
      </c>
      <c r="F37" s="53" t="str">
        <f>IF($B37="","",SUMIFS(Data!$N$2:$N$1201,Data!$C$2:$C$1201,$B37,Data!$AJ$2:$AJ$1201,2)/60)</f>
        <v/>
      </c>
      <c r="G37" s="80" t="str">
        <f>IF(OR($B37="",COUNTIFS(Data!$X$2:$X$1201,1,Data!$AJ$2:$AJ$1201,2)=0),"",SUMIFS(Data!$N$2:$N$1201,Data!$C$2:$C$1201,$B37,Data!$AJ$2:$AJ$1201,2)/60/COUNTIFS(Data!$X$2:$X$1201,1,Data!$AJ$2:$AJ$1201,2))</f>
        <v/>
      </c>
      <c r="J37" s="81" t="str">
        <f t="shared" si="2"/>
        <v/>
      </c>
      <c r="K37" s="82" t="str">
        <f t="shared" si="3"/>
        <v/>
      </c>
    </row>
    <row r="38" spans="2:11" x14ac:dyDescent="0.25">
      <c r="B38" s="59" t="str">
        <f>IF('Where it goes'!$C$22="","",'Where it goes'!$C$22)</f>
        <v/>
      </c>
      <c r="C38" s="53" t="str">
        <f>IF($B38="","",SUMIFS(Data!$N$2:$N$1201,Data!$C$2:$C$1201,$B38,Data!$AJ$2:$AJ$1201,1)/60)</f>
        <v/>
      </c>
      <c r="D38" s="79" t="str">
        <f>IF(OR($B38="",COUNTIFS(Data!$X$2:$X$1201,1,Data!$AJ$2:$AJ$1201,1)=0),"",SUMIFS(Data!$N$2:$N$1201,Data!$C$2:$C$1201,$B38,Data!$AJ$2:$AJ$1201,1)/60/COUNTIFS(Data!$X$2:$X$1201,1,Data!$AJ$2:$AJ$1201,1))</f>
        <v/>
      </c>
      <c r="F38" s="53" t="str">
        <f>IF($B38="","",SUMIFS(Data!$N$2:$N$1201,Data!$C$2:$C$1201,$B38,Data!$AJ$2:$AJ$1201,2)/60)</f>
        <v/>
      </c>
      <c r="G38" s="80" t="str">
        <f>IF(OR($B38="",COUNTIFS(Data!$X$2:$X$1201,1,Data!$AJ$2:$AJ$1201,2)=0),"",SUMIFS(Data!$N$2:$N$1201,Data!$C$2:$C$1201,$B38,Data!$AJ$2:$AJ$1201,2)/60/COUNTIFS(Data!$X$2:$X$1201,1,Data!$AJ$2:$AJ$1201,2))</f>
        <v/>
      </c>
      <c r="J38" s="81" t="str">
        <f t="shared" si="2"/>
        <v/>
      </c>
      <c r="K38" s="82" t="str">
        <f t="shared" si="3"/>
        <v/>
      </c>
    </row>
    <row r="39" spans="2:11" x14ac:dyDescent="0.25">
      <c r="B39" s="59" t="str">
        <f>IF('Where it goes'!$C$23="","",'Where it goes'!$C$23)</f>
        <v/>
      </c>
      <c r="C39" s="53" t="str">
        <f>IF($B39="","",SUMIFS(Data!$N$2:$N$1201,Data!$C$2:$C$1201,$B39,Data!$AJ$2:$AJ$1201,1)/60)</f>
        <v/>
      </c>
      <c r="D39" s="79" t="str">
        <f>IF(OR($B39="",COUNTIFS(Data!$X$2:$X$1201,1,Data!$AJ$2:$AJ$1201,1)=0),"",SUMIFS(Data!$N$2:$N$1201,Data!$C$2:$C$1201,$B39,Data!$AJ$2:$AJ$1201,1)/60/COUNTIFS(Data!$X$2:$X$1201,1,Data!$AJ$2:$AJ$1201,1))</f>
        <v/>
      </c>
      <c r="F39" s="53" t="str">
        <f>IF($B39="","",SUMIFS(Data!$N$2:$N$1201,Data!$C$2:$C$1201,$B39,Data!$AJ$2:$AJ$1201,2)/60)</f>
        <v/>
      </c>
      <c r="G39" s="80" t="str">
        <f>IF(OR($B39="",COUNTIFS(Data!$X$2:$X$1201,1,Data!$AJ$2:$AJ$1201,2)=0),"",SUMIFS(Data!$N$2:$N$1201,Data!$C$2:$C$1201,$B39,Data!$AJ$2:$AJ$1201,2)/60/COUNTIFS(Data!$X$2:$X$1201,1,Data!$AJ$2:$AJ$1201,2))</f>
        <v/>
      </c>
      <c r="J39" s="81" t="str">
        <f t="shared" si="2"/>
        <v/>
      </c>
      <c r="K39" s="82" t="str">
        <f t="shared" si="3"/>
        <v/>
      </c>
    </row>
    <row r="40" spans="2:11" x14ac:dyDescent="0.25">
      <c r="B40" s="59" t="str">
        <f>IF('Where it goes'!$C$24="","",'Where it goes'!$C$24)</f>
        <v/>
      </c>
      <c r="C40" s="53" t="str">
        <f>IF($B40="","",SUMIFS(Data!$N$2:$N$1201,Data!$C$2:$C$1201,$B40,Data!$AJ$2:$AJ$1201,1)/60)</f>
        <v/>
      </c>
      <c r="D40" s="79" t="str">
        <f>IF(OR($B40="",COUNTIFS(Data!$X$2:$X$1201,1,Data!$AJ$2:$AJ$1201,1)=0),"",SUMIFS(Data!$N$2:$N$1201,Data!$C$2:$C$1201,$B40,Data!$AJ$2:$AJ$1201,1)/60/COUNTIFS(Data!$X$2:$X$1201,1,Data!$AJ$2:$AJ$1201,1))</f>
        <v/>
      </c>
      <c r="F40" s="53" t="str">
        <f>IF($B40="","",SUMIFS(Data!$N$2:$N$1201,Data!$C$2:$C$1201,$B40,Data!$AJ$2:$AJ$1201,2)/60)</f>
        <v/>
      </c>
      <c r="G40" s="80" t="str">
        <f>IF(OR($B40="",COUNTIFS(Data!$X$2:$X$1201,1,Data!$AJ$2:$AJ$1201,2)=0),"",SUMIFS(Data!$N$2:$N$1201,Data!$C$2:$C$1201,$B40,Data!$AJ$2:$AJ$1201,2)/60/COUNTIFS(Data!$X$2:$X$1201,1,Data!$AJ$2:$AJ$1201,2))</f>
        <v/>
      </c>
      <c r="J40" s="81" t="str">
        <f t="shared" si="2"/>
        <v/>
      </c>
      <c r="K40" s="82" t="str">
        <f t="shared" si="3"/>
        <v/>
      </c>
    </row>
    <row r="41" spans="2:11" x14ac:dyDescent="0.25">
      <c r="B41" s="59" t="str">
        <f>IF('Where it goes'!$C$25="","",'Where it goes'!$C$25)</f>
        <v/>
      </c>
      <c r="C41" s="53" t="str">
        <f>IF($B41="","",SUMIFS(Data!$N$2:$N$1201,Data!$C$2:$C$1201,$B41,Data!$AJ$2:$AJ$1201,1)/60)</f>
        <v/>
      </c>
      <c r="D41" s="79" t="str">
        <f>IF(OR($B41="",COUNTIFS(Data!$X$2:$X$1201,1,Data!$AJ$2:$AJ$1201,1)=0),"",SUMIFS(Data!$N$2:$N$1201,Data!$C$2:$C$1201,$B41,Data!$AJ$2:$AJ$1201,1)/60/COUNTIFS(Data!$X$2:$X$1201,1,Data!$AJ$2:$AJ$1201,1))</f>
        <v/>
      </c>
      <c r="F41" s="53" t="str">
        <f>IF($B41="","",SUMIFS(Data!$N$2:$N$1201,Data!$C$2:$C$1201,$B41,Data!$AJ$2:$AJ$1201,2)/60)</f>
        <v/>
      </c>
      <c r="G41" s="80" t="str">
        <f>IF(OR($B41="",COUNTIFS(Data!$X$2:$X$1201,1,Data!$AJ$2:$AJ$1201,2)=0),"",SUMIFS(Data!$N$2:$N$1201,Data!$C$2:$C$1201,$B41,Data!$AJ$2:$AJ$1201,2)/60/COUNTIFS(Data!$X$2:$X$1201,1,Data!$AJ$2:$AJ$1201,2))</f>
        <v/>
      </c>
      <c r="J41" s="81" t="str">
        <f t="shared" si="2"/>
        <v/>
      </c>
      <c r="K41" s="82" t="str">
        <f t="shared" si="3"/>
        <v/>
      </c>
    </row>
    <row r="42" spans="2:11" x14ac:dyDescent="0.25">
      <c r="B42" s="59" t="str">
        <f>IF('Where it goes'!$C$26="","",'Where it goes'!$C$26)</f>
        <v/>
      </c>
      <c r="C42" s="53" t="str">
        <f>IF($B42="","",SUMIFS(Data!$N$2:$N$1201,Data!$C$2:$C$1201,$B42,Data!$AJ$2:$AJ$1201,1)/60)</f>
        <v/>
      </c>
      <c r="D42" s="79" t="str">
        <f>IF(OR($B42="",COUNTIFS(Data!$X$2:$X$1201,1,Data!$AJ$2:$AJ$1201,1)=0),"",SUMIFS(Data!$N$2:$N$1201,Data!$C$2:$C$1201,$B42,Data!$AJ$2:$AJ$1201,1)/60/COUNTIFS(Data!$X$2:$X$1201,1,Data!$AJ$2:$AJ$1201,1))</f>
        <v/>
      </c>
      <c r="F42" s="53" t="str">
        <f>IF($B42="","",SUMIFS(Data!$N$2:$N$1201,Data!$C$2:$C$1201,$B42,Data!$AJ$2:$AJ$1201,2)/60)</f>
        <v/>
      </c>
      <c r="G42" s="80" t="str">
        <f>IF(OR($B42="",COUNTIFS(Data!$X$2:$X$1201,1,Data!$AJ$2:$AJ$1201,2)=0),"",SUMIFS(Data!$N$2:$N$1201,Data!$C$2:$C$1201,$B42,Data!$AJ$2:$AJ$1201,2)/60/COUNTIFS(Data!$X$2:$X$1201,1,Data!$AJ$2:$AJ$1201,2))</f>
        <v/>
      </c>
      <c r="J42" s="81" t="str">
        <f t="shared" si="2"/>
        <v/>
      </c>
      <c r="K42" s="82" t="str">
        <f t="shared" si="3"/>
        <v/>
      </c>
    </row>
    <row r="43" spans="2:11" x14ac:dyDescent="0.25">
      <c r="B43" s="59" t="str">
        <f>IF('Where it goes'!$C$27="","",'Where it goes'!$C$27)</f>
        <v/>
      </c>
      <c r="C43" s="53" t="str">
        <f>IF($B43="","",SUMIFS(Data!$N$2:$N$1201,Data!$C$2:$C$1201,$B43,Data!$AJ$2:$AJ$1201,1)/60)</f>
        <v/>
      </c>
      <c r="D43" s="79" t="str">
        <f>IF(OR($B43="",COUNTIFS(Data!$X$2:$X$1201,1,Data!$AJ$2:$AJ$1201,1)=0),"",SUMIFS(Data!$N$2:$N$1201,Data!$C$2:$C$1201,$B43,Data!$AJ$2:$AJ$1201,1)/60/COUNTIFS(Data!$X$2:$X$1201,1,Data!$AJ$2:$AJ$1201,1))</f>
        <v/>
      </c>
      <c r="F43" s="53" t="str">
        <f>IF($B43="","",SUMIFS(Data!$N$2:$N$1201,Data!$C$2:$C$1201,$B43,Data!$AJ$2:$AJ$1201,2)/60)</f>
        <v/>
      </c>
      <c r="G43" s="80" t="str">
        <f>IF(OR($B43="",COUNTIFS(Data!$X$2:$X$1201,1,Data!$AJ$2:$AJ$1201,2)=0),"",SUMIFS(Data!$N$2:$N$1201,Data!$C$2:$C$1201,$B43,Data!$AJ$2:$AJ$1201,2)/60/COUNTIFS(Data!$X$2:$X$1201,1,Data!$AJ$2:$AJ$1201,2))</f>
        <v/>
      </c>
      <c r="J43" s="81" t="str">
        <f t="shared" si="2"/>
        <v/>
      </c>
      <c r="K43" s="82" t="str">
        <f t="shared" si="3"/>
        <v/>
      </c>
    </row>
    <row r="44" spans="2:11" x14ac:dyDescent="0.25">
      <c r="B44" s="59" t="str">
        <f>IF('Where it goes'!$C$28="","",'Where it goes'!$C$28)</f>
        <v/>
      </c>
      <c r="C44" s="53" t="str">
        <f>IF($B44="","",SUMIFS(Data!$N$2:$N$1201,Data!$C$2:$C$1201,$B44,Data!$AJ$2:$AJ$1201,1)/60)</f>
        <v/>
      </c>
      <c r="D44" s="79" t="str">
        <f>IF(OR($B44="",COUNTIFS(Data!$X$2:$X$1201,1,Data!$AJ$2:$AJ$1201,1)=0),"",SUMIFS(Data!$N$2:$N$1201,Data!$C$2:$C$1201,$B44,Data!$AJ$2:$AJ$1201,1)/60/COUNTIFS(Data!$X$2:$X$1201,1,Data!$AJ$2:$AJ$1201,1))</f>
        <v/>
      </c>
      <c r="F44" s="53" t="str">
        <f>IF($B44="","",SUMIFS(Data!$N$2:$N$1201,Data!$C$2:$C$1201,$B44,Data!$AJ$2:$AJ$1201,2)/60)</f>
        <v/>
      </c>
      <c r="G44" s="80" t="str">
        <f>IF(OR($B44="",COUNTIFS(Data!$X$2:$X$1201,1,Data!$AJ$2:$AJ$1201,2)=0),"",SUMIFS(Data!$N$2:$N$1201,Data!$C$2:$C$1201,$B44,Data!$AJ$2:$AJ$1201,2)/60/COUNTIFS(Data!$X$2:$X$1201,1,Data!$AJ$2:$AJ$1201,2))</f>
        <v/>
      </c>
      <c r="J44" s="81" t="str">
        <f t="shared" si="2"/>
        <v/>
      </c>
      <c r="K44" s="82" t="str">
        <f t="shared" si="3"/>
        <v/>
      </c>
    </row>
    <row r="45" spans="2:11" x14ac:dyDescent="0.25">
      <c r="B45" s="59" t="str">
        <f>IF('Where it goes'!$C$29="","",'Where it goes'!$C$29)</f>
        <v/>
      </c>
      <c r="C45" s="53" t="str">
        <f>IF($B45="","",SUMIFS(Data!$N$2:$N$1201,Data!$C$2:$C$1201,$B45,Data!$AJ$2:$AJ$1201,1)/60)</f>
        <v/>
      </c>
      <c r="D45" s="79" t="str">
        <f>IF(OR($B45="",COUNTIFS(Data!$X$2:$X$1201,1,Data!$AJ$2:$AJ$1201,1)=0),"",SUMIFS(Data!$N$2:$N$1201,Data!$C$2:$C$1201,$B45,Data!$AJ$2:$AJ$1201,1)/60/COUNTIFS(Data!$X$2:$X$1201,1,Data!$AJ$2:$AJ$1201,1))</f>
        <v/>
      </c>
      <c r="F45" s="53" t="str">
        <f>IF($B45="","",SUMIFS(Data!$N$2:$N$1201,Data!$C$2:$C$1201,$B45,Data!$AJ$2:$AJ$1201,2)/60)</f>
        <v/>
      </c>
      <c r="G45" s="80" t="str">
        <f>IF(OR($B45="",COUNTIFS(Data!$X$2:$X$1201,1,Data!$AJ$2:$AJ$1201,2)=0),"",SUMIFS(Data!$N$2:$N$1201,Data!$C$2:$C$1201,$B45,Data!$AJ$2:$AJ$1201,2)/60/COUNTIFS(Data!$X$2:$X$1201,1,Data!$AJ$2:$AJ$1201,2))</f>
        <v/>
      </c>
      <c r="J45" s="81" t="str">
        <f t="shared" si="2"/>
        <v/>
      </c>
      <c r="K45" s="82" t="str">
        <f t="shared" si="3"/>
        <v/>
      </c>
    </row>
    <row r="46" spans="2:11" x14ac:dyDescent="0.25">
      <c r="B46" s="59" t="str">
        <f>IF('Where it goes'!$C$30="","",'Where it goes'!$C$30)</f>
        <v/>
      </c>
      <c r="C46" s="53" t="str">
        <f>IF($B46="","",SUMIFS(Data!$N$2:$N$1201,Data!$C$2:$C$1201,$B46,Data!$AJ$2:$AJ$1201,1)/60)</f>
        <v/>
      </c>
      <c r="D46" s="79" t="str">
        <f>IF(OR($B46="",COUNTIFS(Data!$X$2:$X$1201,1,Data!$AJ$2:$AJ$1201,1)=0),"",SUMIFS(Data!$N$2:$N$1201,Data!$C$2:$C$1201,$B46,Data!$AJ$2:$AJ$1201,1)/60/COUNTIFS(Data!$X$2:$X$1201,1,Data!$AJ$2:$AJ$1201,1))</f>
        <v/>
      </c>
      <c r="F46" s="53" t="str">
        <f>IF($B46="","",SUMIFS(Data!$N$2:$N$1201,Data!$C$2:$C$1201,$B46,Data!$AJ$2:$AJ$1201,2)/60)</f>
        <v/>
      </c>
      <c r="G46" s="80" t="str">
        <f>IF(OR($B46="",COUNTIFS(Data!$X$2:$X$1201,1,Data!$AJ$2:$AJ$1201,2)=0),"",SUMIFS(Data!$N$2:$N$1201,Data!$C$2:$C$1201,$B46,Data!$AJ$2:$AJ$1201,2)/60/COUNTIFS(Data!$X$2:$X$1201,1,Data!$AJ$2:$AJ$1201,2))</f>
        <v/>
      </c>
      <c r="J46" s="81" t="str">
        <f t="shared" si="2"/>
        <v/>
      </c>
      <c r="K46" s="82" t="str">
        <f t="shared" si="3"/>
        <v/>
      </c>
    </row>
    <row r="47" spans="2:11" x14ac:dyDescent="0.25">
      <c r="B47" s="59" t="str">
        <f>IF('Where it goes'!$C$31="","",'Where it goes'!$C$31)</f>
        <v/>
      </c>
      <c r="C47" s="53" t="str">
        <f>IF($B47="","",SUMIFS(Data!$N$2:$N$1201,Data!$C$2:$C$1201,$B47,Data!$AJ$2:$AJ$1201,1)/60)</f>
        <v/>
      </c>
      <c r="D47" s="79" t="str">
        <f>IF(OR($B47="",COUNTIFS(Data!$X$2:$X$1201,1,Data!$AJ$2:$AJ$1201,1)=0),"",SUMIFS(Data!$N$2:$N$1201,Data!$C$2:$C$1201,$B47,Data!$AJ$2:$AJ$1201,1)/60/COUNTIFS(Data!$X$2:$X$1201,1,Data!$AJ$2:$AJ$1201,1))</f>
        <v/>
      </c>
      <c r="F47" s="53" t="str">
        <f>IF($B47="","",SUMIFS(Data!$N$2:$N$1201,Data!$C$2:$C$1201,$B47,Data!$AJ$2:$AJ$1201,2)/60)</f>
        <v/>
      </c>
      <c r="G47" s="80" t="str">
        <f>IF(OR($B47="",COUNTIFS(Data!$X$2:$X$1201,1,Data!$AJ$2:$AJ$1201,2)=0),"",SUMIFS(Data!$N$2:$N$1201,Data!$C$2:$C$1201,$B47,Data!$AJ$2:$AJ$1201,2)/60/COUNTIFS(Data!$X$2:$X$1201,1,Data!$AJ$2:$AJ$1201,2))</f>
        <v/>
      </c>
      <c r="J47" s="81" t="str">
        <f t="shared" si="2"/>
        <v/>
      </c>
      <c r="K47" s="82" t="str">
        <f t="shared" si="3"/>
        <v/>
      </c>
    </row>
    <row r="48" spans="2:11" x14ac:dyDescent="0.25">
      <c r="B48" s="59" t="str">
        <f>IF('Where it goes'!$C$32="","",'Where it goes'!$C$32)</f>
        <v/>
      </c>
      <c r="C48" s="53" t="str">
        <f>IF($B48="","",SUMIFS(Data!$N$2:$N$1201,Data!$C$2:$C$1201,$B48,Data!$AJ$2:$AJ$1201,1)/60)</f>
        <v/>
      </c>
      <c r="D48" s="79" t="str">
        <f>IF(OR($B48="",COUNTIFS(Data!$X$2:$X$1201,1,Data!$AJ$2:$AJ$1201,1)=0),"",SUMIFS(Data!$N$2:$N$1201,Data!$C$2:$C$1201,$B48,Data!$AJ$2:$AJ$1201,1)/60/COUNTIFS(Data!$X$2:$X$1201,1,Data!$AJ$2:$AJ$1201,1))</f>
        <v/>
      </c>
      <c r="F48" s="53" t="str">
        <f>IF($B48="","",SUMIFS(Data!$N$2:$N$1201,Data!$C$2:$C$1201,$B48,Data!$AJ$2:$AJ$1201,2)/60)</f>
        <v/>
      </c>
      <c r="G48" s="80" t="str">
        <f>IF(OR($B48="",COUNTIFS(Data!$X$2:$X$1201,1,Data!$AJ$2:$AJ$1201,2)=0),"",SUMIFS(Data!$N$2:$N$1201,Data!$C$2:$C$1201,$B48,Data!$AJ$2:$AJ$1201,2)/60/COUNTIFS(Data!$X$2:$X$1201,1,Data!$AJ$2:$AJ$1201,2))</f>
        <v/>
      </c>
      <c r="J48" s="81" t="str">
        <f t="shared" si="2"/>
        <v/>
      </c>
      <c r="K48" s="82" t="str">
        <f t="shared" si="3"/>
        <v/>
      </c>
    </row>
    <row r="49" spans="2:11" x14ac:dyDescent="0.25">
      <c r="B49" s="59" t="str">
        <f>IF('Where it goes'!$C$33="","",'Where it goes'!$C$33)</f>
        <v/>
      </c>
      <c r="C49" s="53" t="str">
        <f>IF($B49="","",SUMIFS(Data!$N$2:$N$1201,Data!$C$2:$C$1201,$B49,Data!$AJ$2:$AJ$1201,1)/60)</f>
        <v/>
      </c>
      <c r="D49" s="79" t="str">
        <f>IF(OR($B49="",COUNTIFS(Data!$X$2:$X$1201,1,Data!$AJ$2:$AJ$1201,1)=0),"",SUMIFS(Data!$N$2:$N$1201,Data!$C$2:$C$1201,$B49,Data!$AJ$2:$AJ$1201,1)/60/COUNTIFS(Data!$X$2:$X$1201,1,Data!$AJ$2:$AJ$1201,1))</f>
        <v/>
      </c>
      <c r="F49" s="53" t="str">
        <f>IF($B49="","",SUMIFS(Data!$N$2:$N$1201,Data!$C$2:$C$1201,$B49,Data!$AJ$2:$AJ$1201,2)/60)</f>
        <v/>
      </c>
      <c r="G49" s="80" t="str">
        <f>IF(OR($B49="",COUNTIFS(Data!$X$2:$X$1201,1,Data!$AJ$2:$AJ$1201,2)=0),"",SUMIFS(Data!$N$2:$N$1201,Data!$C$2:$C$1201,$B49,Data!$AJ$2:$AJ$1201,2)/60/COUNTIFS(Data!$X$2:$X$1201,1,Data!$AJ$2:$AJ$1201,2))</f>
        <v/>
      </c>
      <c r="J49" s="81" t="str">
        <f t="shared" si="2"/>
        <v/>
      </c>
      <c r="K49" s="82" t="str">
        <f t="shared" si="3"/>
        <v/>
      </c>
    </row>
    <row r="50" spans="2:11" x14ac:dyDescent="0.25">
      <c r="B50" s="59" t="str">
        <f>IF('Where it goes'!$C$34="","",'Where it goes'!$C$34)</f>
        <v/>
      </c>
      <c r="C50" s="53" t="str">
        <f>IF($B50="","",SUMIFS(Data!$N$2:$N$1201,Data!$C$2:$C$1201,$B50,Data!$AJ$2:$AJ$1201,1)/60)</f>
        <v/>
      </c>
      <c r="D50" s="79" t="str">
        <f>IF(OR($B50="",COUNTIFS(Data!$X$2:$X$1201,1,Data!$AJ$2:$AJ$1201,1)=0),"",SUMIFS(Data!$N$2:$N$1201,Data!$C$2:$C$1201,$B50,Data!$AJ$2:$AJ$1201,1)/60/COUNTIFS(Data!$X$2:$X$1201,1,Data!$AJ$2:$AJ$1201,1))</f>
        <v/>
      </c>
      <c r="F50" s="53" t="str">
        <f>IF($B50="","",SUMIFS(Data!$N$2:$N$1201,Data!$C$2:$C$1201,$B50,Data!$AJ$2:$AJ$1201,2)/60)</f>
        <v/>
      </c>
      <c r="G50" s="80" t="str">
        <f>IF(OR($B50="",COUNTIFS(Data!$X$2:$X$1201,1,Data!$AJ$2:$AJ$1201,2)=0),"",SUMIFS(Data!$N$2:$N$1201,Data!$C$2:$C$1201,$B50,Data!$AJ$2:$AJ$1201,2)/60/COUNTIFS(Data!$X$2:$X$1201,1,Data!$AJ$2:$AJ$1201,2))</f>
        <v/>
      </c>
      <c r="J50" s="81" t="str">
        <f t="shared" si="2"/>
        <v/>
      </c>
      <c r="K50" s="82" t="str">
        <f t="shared" si="3"/>
        <v/>
      </c>
    </row>
    <row r="51" spans="2:11" x14ac:dyDescent="0.25">
      <c r="B51" s="59" t="str">
        <f>IF('Where it goes'!$C$35="","",'Where it goes'!$C$35)</f>
        <v/>
      </c>
      <c r="C51" s="53" t="str">
        <f>IF($B51="","",SUMIFS(Data!$N$2:$N$1201,Data!$C$2:$C$1201,$B51,Data!$AJ$2:$AJ$1201,1)/60)</f>
        <v/>
      </c>
      <c r="D51" s="79" t="str">
        <f>IF(OR($B51="",COUNTIFS(Data!$X$2:$X$1201,1,Data!$AJ$2:$AJ$1201,1)=0),"",SUMIFS(Data!$N$2:$N$1201,Data!$C$2:$C$1201,$B51,Data!$AJ$2:$AJ$1201,1)/60/COUNTIFS(Data!$X$2:$X$1201,1,Data!$AJ$2:$AJ$1201,1))</f>
        <v/>
      </c>
      <c r="F51" s="53" t="str">
        <f>IF($B51="","",SUMIFS(Data!$N$2:$N$1201,Data!$C$2:$C$1201,$B51,Data!$AJ$2:$AJ$1201,2)/60)</f>
        <v/>
      </c>
      <c r="G51" s="80" t="str">
        <f>IF(OR($B51="",COUNTIFS(Data!$X$2:$X$1201,1,Data!$AJ$2:$AJ$1201,2)=0),"",SUMIFS(Data!$N$2:$N$1201,Data!$C$2:$C$1201,$B51,Data!$AJ$2:$AJ$1201,2)/60/COUNTIFS(Data!$X$2:$X$1201,1,Data!$AJ$2:$AJ$1201,2))</f>
        <v/>
      </c>
      <c r="J51" s="81" t="str">
        <f t="shared" si="2"/>
        <v/>
      </c>
      <c r="K51" s="82" t="str">
        <f t="shared" si="3"/>
        <v/>
      </c>
    </row>
    <row r="52" spans="2:11" x14ac:dyDescent="0.25">
      <c r="B52" s="59" t="str">
        <f>IF('Where it goes'!$C$36="","",'Where it goes'!$C$36)</f>
        <v/>
      </c>
      <c r="C52" s="53" t="str">
        <f>IF($B52="","",SUMIFS(Data!$N$2:$N$1201,Data!$C$2:$C$1201,$B52,Data!$AJ$2:$AJ$1201,1)/60)</f>
        <v/>
      </c>
      <c r="D52" s="79" t="str">
        <f>IF(OR($B52="",COUNTIFS(Data!$X$2:$X$1201,1,Data!$AJ$2:$AJ$1201,1)=0),"",SUMIFS(Data!$N$2:$N$1201,Data!$C$2:$C$1201,$B52,Data!$AJ$2:$AJ$1201,1)/60/COUNTIFS(Data!$X$2:$X$1201,1,Data!$AJ$2:$AJ$1201,1))</f>
        <v/>
      </c>
      <c r="F52" s="53" t="str">
        <f>IF($B52="","",SUMIFS(Data!$N$2:$N$1201,Data!$C$2:$C$1201,$B52,Data!$AJ$2:$AJ$1201,2)/60)</f>
        <v/>
      </c>
      <c r="G52" s="80" t="str">
        <f>IF(OR($B52="",COUNTIFS(Data!$X$2:$X$1201,1,Data!$AJ$2:$AJ$1201,2)=0),"",SUMIFS(Data!$N$2:$N$1201,Data!$C$2:$C$1201,$B52,Data!$AJ$2:$AJ$1201,2)/60/COUNTIFS(Data!$X$2:$X$1201,1,Data!$AJ$2:$AJ$1201,2))</f>
        <v/>
      </c>
      <c r="J52" s="81" t="str">
        <f t="shared" si="2"/>
        <v/>
      </c>
      <c r="K52" s="82" t="str">
        <f t="shared" si="3"/>
        <v/>
      </c>
    </row>
    <row r="53" spans="2:11" x14ac:dyDescent="0.25">
      <c r="B53" s="59" t="str">
        <f>IF('Where it goes'!$C$37="","",'Where it goes'!$C$37)</f>
        <v/>
      </c>
      <c r="C53" s="53" t="str">
        <f>IF($B53="","",SUMIFS(Data!$N$2:$N$1201,Data!$C$2:$C$1201,$B53,Data!$AJ$2:$AJ$1201,1)/60)</f>
        <v/>
      </c>
      <c r="D53" s="79" t="str">
        <f>IF(OR($B53="",COUNTIFS(Data!$X$2:$X$1201,1,Data!$AJ$2:$AJ$1201,1)=0),"",SUMIFS(Data!$N$2:$N$1201,Data!$C$2:$C$1201,$B53,Data!$AJ$2:$AJ$1201,1)/60/COUNTIFS(Data!$X$2:$X$1201,1,Data!$AJ$2:$AJ$1201,1))</f>
        <v/>
      </c>
      <c r="F53" s="53" t="str">
        <f>IF($B53="","",SUMIFS(Data!$N$2:$N$1201,Data!$C$2:$C$1201,$B53,Data!$AJ$2:$AJ$1201,2)/60)</f>
        <v/>
      </c>
      <c r="G53" s="80" t="str">
        <f>IF(OR($B53="",COUNTIFS(Data!$X$2:$X$1201,1,Data!$AJ$2:$AJ$1201,2)=0),"",SUMIFS(Data!$N$2:$N$1201,Data!$C$2:$C$1201,$B53,Data!$AJ$2:$AJ$1201,2)/60/COUNTIFS(Data!$X$2:$X$1201,1,Data!$AJ$2:$AJ$1201,2))</f>
        <v/>
      </c>
      <c r="J53" s="81" t="str">
        <f t="shared" si="2"/>
        <v/>
      </c>
      <c r="K53" s="82" t="str">
        <f t="shared" si="3"/>
        <v/>
      </c>
    </row>
    <row r="54" spans="2:11" x14ac:dyDescent="0.25">
      <c r="B54" s="59" t="str">
        <f>IF('Where it goes'!$C$38="","",'Where it goes'!$C$38)</f>
        <v/>
      </c>
      <c r="C54" s="53" t="str">
        <f>IF($B54="","",SUMIFS(Data!$N$2:$N$1201,Data!$C$2:$C$1201,$B54,Data!$AJ$2:$AJ$1201,1)/60)</f>
        <v/>
      </c>
      <c r="D54" s="79" t="str">
        <f>IF(OR($B54="",COUNTIFS(Data!$X$2:$X$1201,1,Data!$AJ$2:$AJ$1201,1)=0),"",SUMIFS(Data!$N$2:$N$1201,Data!$C$2:$C$1201,$B54,Data!$AJ$2:$AJ$1201,1)/60/COUNTIFS(Data!$X$2:$X$1201,1,Data!$AJ$2:$AJ$1201,1))</f>
        <v/>
      </c>
      <c r="F54" s="53" t="str">
        <f>IF($B54="","",SUMIFS(Data!$N$2:$N$1201,Data!$C$2:$C$1201,$B54,Data!$AJ$2:$AJ$1201,2)/60)</f>
        <v/>
      </c>
      <c r="G54" s="80" t="str">
        <f>IF(OR($B54="",COUNTIFS(Data!$X$2:$X$1201,1,Data!$AJ$2:$AJ$1201,2)=0),"",SUMIFS(Data!$N$2:$N$1201,Data!$C$2:$C$1201,$B54,Data!$AJ$2:$AJ$1201,2)/60/COUNTIFS(Data!$X$2:$X$1201,1,Data!$AJ$2:$AJ$1201,2))</f>
        <v/>
      </c>
      <c r="J54" s="81" t="str">
        <f t="shared" si="2"/>
        <v/>
      </c>
      <c r="K54" s="82" t="str">
        <f t="shared" si="3"/>
        <v/>
      </c>
    </row>
    <row r="55" spans="2:11" x14ac:dyDescent="0.25">
      <c r="B55" s="59" t="str">
        <f>IF('Where it goes'!$C$39="","",'Where it goes'!$C$39)</f>
        <v/>
      </c>
      <c r="C55" s="53" t="str">
        <f>IF($B55="","",SUMIFS(Data!$N$2:$N$1201,Data!$C$2:$C$1201,$B55,Data!$AJ$2:$AJ$1201,1)/60)</f>
        <v/>
      </c>
      <c r="D55" s="79" t="str">
        <f>IF(OR($B55="",COUNTIFS(Data!$X$2:$X$1201,1,Data!$AJ$2:$AJ$1201,1)=0),"",SUMIFS(Data!$N$2:$N$1201,Data!$C$2:$C$1201,$B55,Data!$AJ$2:$AJ$1201,1)/60/COUNTIFS(Data!$X$2:$X$1201,1,Data!$AJ$2:$AJ$1201,1))</f>
        <v/>
      </c>
      <c r="F55" s="53" t="str">
        <f>IF($B55="","",SUMIFS(Data!$N$2:$N$1201,Data!$C$2:$C$1201,$B55,Data!$AJ$2:$AJ$1201,2)/60)</f>
        <v/>
      </c>
      <c r="G55" s="80" t="str">
        <f>IF(OR($B55="",COUNTIFS(Data!$X$2:$X$1201,1,Data!$AJ$2:$AJ$1201,2)=0),"",SUMIFS(Data!$N$2:$N$1201,Data!$C$2:$C$1201,$B55,Data!$AJ$2:$AJ$1201,2)/60/COUNTIFS(Data!$X$2:$X$1201,1,Data!$AJ$2:$AJ$1201,2))</f>
        <v/>
      </c>
      <c r="J55" s="81" t="str">
        <f t="shared" si="2"/>
        <v/>
      </c>
      <c r="K55" s="82" t="str">
        <f t="shared" si="3"/>
        <v/>
      </c>
    </row>
    <row r="56" spans="2:11" x14ac:dyDescent="0.25">
      <c r="B56" s="59" t="str">
        <f>IF('Where it goes'!$C$40="","",'Where it goes'!$C$40)</f>
        <v/>
      </c>
      <c r="C56" s="53" t="str">
        <f>IF($B56="","",SUMIFS(Data!$N$2:$N$1201,Data!$C$2:$C$1201,$B56,Data!$AJ$2:$AJ$1201,1)/60)</f>
        <v/>
      </c>
      <c r="D56" s="79" t="str">
        <f>IF(OR($B56="",COUNTIFS(Data!$X$2:$X$1201,1,Data!$AJ$2:$AJ$1201,1)=0),"",SUMIFS(Data!$N$2:$N$1201,Data!$C$2:$C$1201,$B56,Data!$AJ$2:$AJ$1201,1)/60/COUNTIFS(Data!$X$2:$X$1201,1,Data!$AJ$2:$AJ$1201,1))</f>
        <v/>
      </c>
      <c r="F56" s="53" t="str">
        <f>IF($B56="","",SUMIFS(Data!$N$2:$N$1201,Data!$C$2:$C$1201,$B56,Data!$AJ$2:$AJ$1201,2)/60)</f>
        <v/>
      </c>
      <c r="G56" s="80" t="str">
        <f>IF(OR($B56="",COUNTIFS(Data!$X$2:$X$1201,1,Data!$AJ$2:$AJ$1201,2)=0),"",SUMIFS(Data!$N$2:$N$1201,Data!$C$2:$C$1201,$B56,Data!$AJ$2:$AJ$1201,2)/60/COUNTIFS(Data!$X$2:$X$1201,1,Data!$AJ$2:$AJ$1201,2))</f>
        <v/>
      </c>
      <c r="J56" s="81" t="str">
        <f t="shared" si="2"/>
        <v/>
      </c>
      <c r="K56" s="82" t="str">
        <f t="shared" si="3"/>
        <v/>
      </c>
    </row>
    <row r="57" spans="2:11" x14ac:dyDescent="0.25">
      <c r="B57" s="59" t="str">
        <f>IF('Where it goes'!$C$41="","",'Where it goes'!$C$41)</f>
        <v/>
      </c>
      <c r="C57" s="53" t="str">
        <f>IF($B57="","",SUMIFS(Data!$N$2:$N$1201,Data!$C$2:$C$1201,$B57,Data!$AJ$2:$AJ$1201,1)/60)</f>
        <v/>
      </c>
      <c r="D57" s="79" t="str">
        <f>IF(OR($B57="",COUNTIFS(Data!$X$2:$X$1201,1,Data!$AJ$2:$AJ$1201,1)=0),"",SUMIFS(Data!$N$2:$N$1201,Data!$C$2:$C$1201,$B57,Data!$AJ$2:$AJ$1201,1)/60/COUNTIFS(Data!$X$2:$X$1201,1,Data!$AJ$2:$AJ$1201,1))</f>
        <v/>
      </c>
      <c r="F57" s="53" t="str">
        <f>IF($B57="","",SUMIFS(Data!$N$2:$N$1201,Data!$C$2:$C$1201,$B57,Data!$AJ$2:$AJ$1201,2)/60)</f>
        <v/>
      </c>
      <c r="G57" s="80" t="str">
        <f>IF(OR($B57="",COUNTIFS(Data!$X$2:$X$1201,1,Data!$AJ$2:$AJ$1201,2)=0),"",SUMIFS(Data!$N$2:$N$1201,Data!$C$2:$C$1201,$B57,Data!$AJ$2:$AJ$1201,2)/60/COUNTIFS(Data!$X$2:$X$1201,1,Data!$AJ$2:$AJ$1201,2))</f>
        <v/>
      </c>
      <c r="J57" s="81" t="str">
        <f t="shared" si="2"/>
        <v/>
      </c>
      <c r="K57" s="82" t="str">
        <f t="shared" si="3"/>
        <v/>
      </c>
    </row>
    <row r="58" spans="2:11" x14ac:dyDescent="0.25">
      <c r="B58" s="59" t="str">
        <f>IF('Where it goes'!$C$42="","",'Where it goes'!$C$42)</f>
        <v/>
      </c>
      <c r="C58" s="53" t="str">
        <f>IF($B58="","",SUMIFS(Data!$N$2:$N$1201,Data!$C$2:$C$1201,$B58,Data!$AJ$2:$AJ$1201,1)/60)</f>
        <v/>
      </c>
      <c r="D58" s="79" t="str">
        <f>IF(OR($B58="",COUNTIFS(Data!$X$2:$X$1201,1,Data!$AJ$2:$AJ$1201,1)=0),"",SUMIFS(Data!$N$2:$N$1201,Data!$C$2:$C$1201,$B58,Data!$AJ$2:$AJ$1201,1)/60/COUNTIFS(Data!$X$2:$X$1201,1,Data!$AJ$2:$AJ$1201,1))</f>
        <v/>
      </c>
      <c r="F58" s="53" t="str">
        <f>IF($B58="","",SUMIFS(Data!$N$2:$N$1201,Data!$C$2:$C$1201,$B58,Data!$AJ$2:$AJ$1201,2)/60)</f>
        <v/>
      </c>
      <c r="G58" s="80" t="str">
        <f>IF(OR($B58="",COUNTIFS(Data!$X$2:$X$1201,1,Data!$AJ$2:$AJ$1201,2)=0),"",SUMIFS(Data!$N$2:$N$1201,Data!$C$2:$C$1201,$B58,Data!$AJ$2:$AJ$1201,2)/60/COUNTIFS(Data!$X$2:$X$1201,1,Data!$AJ$2:$AJ$1201,2))</f>
        <v/>
      </c>
      <c r="J58" s="81" t="str">
        <f t="shared" si="2"/>
        <v/>
      </c>
      <c r="K58" s="82" t="str">
        <f t="shared" si="3"/>
        <v/>
      </c>
    </row>
    <row r="59" spans="2:11" x14ac:dyDescent="0.25">
      <c r="B59" s="59" t="str">
        <f>IF('Where it goes'!$C$43="","",'Where it goes'!$C$43)</f>
        <v/>
      </c>
      <c r="C59" s="53" t="str">
        <f>IF($B59="","",SUMIFS(Data!$N$2:$N$1201,Data!$C$2:$C$1201,$B59,Data!$AJ$2:$AJ$1201,1)/60)</f>
        <v/>
      </c>
      <c r="D59" s="79" t="str">
        <f>IF(OR($B59="",COUNTIFS(Data!$X$2:$X$1201,1,Data!$AJ$2:$AJ$1201,1)=0),"",SUMIFS(Data!$N$2:$N$1201,Data!$C$2:$C$1201,$B59,Data!$AJ$2:$AJ$1201,1)/60/COUNTIFS(Data!$X$2:$X$1201,1,Data!$AJ$2:$AJ$1201,1))</f>
        <v/>
      </c>
      <c r="F59" s="53" t="str">
        <f>IF($B59="","",SUMIFS(Data!$N$2:$N$1201,Data!$C$2:$C$1201,$B59,Data!$AJ$2:$AJ$1201,2)/60)</f>
        <v/>
      </c>
      <c r="G59" s="80" t="str">
        <f>IF(OR($B59="",COUNTIFS(Data!$X$2:$X$1201,1,Data!$AJ$2:$AJ$1201,2)=0),"",SUMIFS(Data!$N$2:$N$1201,Data!$C$2:$C$1201,$B59,Data!$AJ$2:$AJ$1201,2)/60/COUNTIFS(Data!$X$2:$X$1201,1,Data!$AJ$2:$AJ$1201,2))</f>
        <v/>
      </c>
      <c r="J59" s="81" t="str">
        <f t="shared" si="2"/>
        <v/>
      </c>
      <c r="K59" s="82" t="str">
        <f t="shared" si="3"/>
        <v/>
      </c>
    </row>
    <row r="60" spans="2:11" x14ac:dyDescent="0.25">
      <c r="B60" s="59" t="str">
        <f>IF('Where it goes'!$C$44="","",'Where it goes'!$C$44)</f>
        <v/>
      </c>
      <c r="C60" s="53" t="str">
        <f>IF($B60="","",SUMIFS(Data!$N$2:$N$1201,Data!$C$2:$C$1201,$B60,Data!$AJ$2:$AJ$1201,1)/60)</f>
        <v/>
      </c>
      <c r="D60" s="79" t="str">
        <f>IF(OR($B60="",COUNTIFS(Data!$X$2:$X$1201,1,Data!$AJ$2:$AJ$1201,1)=0),"",SUMIFS(Data!$N$2:$N$1201,Data!$C$2:$C$1201,$B60,Data!$AJ$2:$AJ$1201,1)/60/COUNTIFS(Data!$X$2:$X$1201,1,Data!$AJ$2:$AJ$1201,1))</f>
        <v/>
      </c>
      <c r="F60" s="53" t="str">
        <f>IF($B60="","",SUMIFS(Data!$N$2:$N$1201,Data!$C$2:$C$1201,$B60,Data!$AJ$2:$AJ$1201,2)/60)</f>
        <v/>
      </c>
      <c r="G60" s="80" t="str">
        <f>IF(OR($B60="",COUNTIFS(Data!$X$2:$X$1201,1,Data!$AJ$2:$AJ$1201,2)=0),"",SUMIFS(Data!$N$2:$N$1201,Data!$C$2:$C$1201,$B60,Data!$AJ$2:$AJ$1201,2)/60/COUNTIFS(Data!$X$2:$X$1201,1,Data!$AJ$2:$AJ$1201,2))</f>
        <v/>
      </c>
      <c r="J60" s="81" t="str">
        <f t="shared" si="2"/>
        <v/>
      </c>
      <c r="K60" s="82" t="str">
        <f t="shared" si="3"/>
        <v/>
      </c>
    </row>
    <row r="61" spans="2:11" x14ac:dyDescent="0.25">
      <c r="B61" s="59" t="str">
        <f>IF('Where it goes'!$C$45="","",'Where it goes'!$C$45)</f>
        <v/>
      </c>
      <c r="C61" s="53" t="str">
        <f>IF($B61="","",SUMIFS(Data!$N$2:$N$1201,Data!$C$2:$C$1201,$B61,Data!$AJ$2:$AJ$1201,1)/60)</f>
        <v/>
      </c>
      <c r="D61" s="79" t="str">
        <f>IF(OR($B61="",COUNTIFS(Data!$X$2:$X$1201,1,Data!$AJ$2:$AJ$1201,1)=0),"",SUMIFS(Data!$N$2:$N$1201,Data!$C$2:$C$1201,$B61,Data!$AJ$2:$AJ$1201,1)/60/COUNTIFS(Data!$X$2:$X$1201,1,Data!$AJ$2:$AJ$1201,1))</f>
        <v/>
      </c>
      <c r="F61" s="53" t="str">
        <f>IF($B61="","",SUMIFS(Data!$N$2:$N$1201,Data!$C$2:$C$1201,$B61,Data!$AJ$2:$AJ$1201,2)/60)</f>
        <v/>
      </c>
      <c r="G61" s="80" t="str">
        <f>IF(OR($B61="",COUNTIFS(Data!$X$2:$X$1201,1,Data!$AJ$2:$AJ$1201,2)=0),"",SUMIFS(Data!$N$2:$N$1201,Data!$C$2:$C$1201,$B61,Data!$AJ$2:$AJ$1201,2)/60/COUNTIFS(Data!$X$2:$X$1201,1,Data!$AJ$2:$AJ$1201,2))</f>
        <v/>
      </c>
      <c r="J61" s="81" t="str">
        <f t="shared" si="2"/>
        <v/>
      </c>
      <c r="K61" s="82" t="str">
        <f t="shared" si="3"/>
        <v/>
      </c>
    </row>
    <row r="62" spans="2:11" x14ac:dyDescent="0.25">
      <c r="B62" s="59" t="str">
        <f>IF('Where it goes'!$C$46="","",'Where it goes'!$C$46)</f>
        <v/>
      </c>
      <c r="C62" s="53" t="str">
        <f>IF($B62="","",SUMIFS(Data!$N$2:$N$1201,Data!$C$2:$C$1201,$B62,Data!$AJ$2:$AJ$1201,1)/60)</f>
        <v/>
      </c>
      <c r="D62" s="79" t="str">
        <f>IF(OR($B62="",COUNTIFS(Data!$X$2:$X$1201,1,Data!$AJ$2:$AJ$1201,1)=0),"",SUMIFS(Data!$N$2:$N$1201,Data!$C$2:$C$1201,$B62,Data!$AJ$2:$AJ$1201,1)/60/COUNTIFS(Data!$X$2:$X$1201,1,Data!$AJ$2:$AJ$1201,1))</f>
        <v/>
      </c>
      <c r="F62" s="53" t="str">
        <f>IF($B62="","",SUMIFS(Data!$N$2:$N$1201,Data!$C$2:$C$1201,$B62,Data!$AJ$2:$AJ$1201,2)/60)</f>
        <v/>
      </c>
      <c r="G62" s="80" t="str">
        <f>IF(OR($B62="",COUNTIFS(Data!$X$2:$X$1201,1,Data!$AJ$2:$AJ$1201,2)=0),"",SUMIFS(Data!$N$2:$N$1201,Data!$C$2:$C$1201,$B62,Data!$AJ$2:$AJ$1201,2)/60/COUNTIFS(Data!$X$2:$X$1201,1,Data!$AJ$2:$AJ$1201,2))</f>
        <v/>
      </c>
      <c r="J62" s="81" t="str">
        <f t="shared" si="2"/>
        <v/>
      </c>
      <c r="K62" s="82" t="str">
        <f t="shared" si="3"/>
        <v/>
      </c>
    </row>
    <row r="63" spans="2:11" x14ac:dyDescent="0.25">
      <c r="B63" s="59" t="str">
        <f>IF('Where it goes'!$C$47="","",'Where it goes'!$C$47)</f>
        <v/>
      </c>
      <c r="C63" s="53" t="str">
        <f>IF($B63="","",SUMIFS(Data!$N$2:$N$1201,Data!$C$2:$C$1201,$B63,Data!$AJ$2:$AJ$1201,1)/60)</f>
        <v/>
      </c>
      <c r="D63" s="79" t="str">
        <f>IF(OR($B63="",COUNTIFS(Data!$X$2:$X$1201,1,Data!$AJ$2:$AJ$1201,1)=0),"",SUMIFS(Data!$N$2:$N$1201,Data!$C$2:$C$1201,$B63,Data!$AJ$2:$AJ$1201,1)/60/COUNTIFS(Data!$X$2:$X$1201,1,Data!$AJ$2:$AJ$1201,1))</f>
        <v/>
      </c>
      <c r="F63" s="53" t="str">
        <f>IF($B63="","",SUMIFS(Data!$N$2:$N$1201,Data!$C$2:$C$1201,$B63,Data!$AJ$2:$AJ$1201,2)/60)</f>
        <v/>
      </c>
      <c r="G63" s="80" t="str">
        <f>IF(OR($B63="",COUNTIFS(Data!$X$2:$X$1201,1,Data!$AJ$2:$AJ$1201,2)=0),"",SUMIFS(Data!$N$2:$N$1201,Data!$C$2:$C$1201,$B63,Data!$AJ$2:$AJ$1201,2)/60/COUNTIFS(Data!$X$2:$X$1201,1,Data!$AJ$2:$AJ$1201,2))</f>
        <v/>
      </c>
      <c r="J63" s="81" t="str">
        <f t="shared" si="2"/>
        <v/>
      </c>
      <c r="K63" s="82" t="str">
        <f t="shared" si="3"/>
        <v/>
      </c>
    </row>
    <row r="64" spans="2:11" x14ac:dyDescent="0.25">
      <c r="B64" s="59" t="str">
        <f>IF('Where it goes'!$C$48="","",'Where it goes'!$C$48)</f>
        <v/>
      </c>
      <c r="C64" s="53" t="str">
        <f>IF($B64="","",SUMIFS(Data!$N$2:$N$1201,Data!$C$2:$C$1201,$B64,Data!$AJ$2:$AJ$1201,1)/60)</f>
        <v/>
      </c>
      <c r="D64" s="79" t="str">
        <f>IF(OR($B64="",COUNTIFS(Data!$X$2:$X$1201,1,Data!$AJ$2:$AJ$1201,1)=0),"",SUMIFS(Data!$N$2:$N$1201,Data!$C$2:$C$1201,$B64,Data!$AJ$2:$AJ$1201,1)/60/COUNTIFS(Data!$X$2:$X$1201,1,Data!$AJ$2:$AJ$1201,1))</f>
        <v/>
      </c>
      <c r="F64" s="53" t="str">
        <f>IF($B64="","",SUMIFS(Data!$N$2:$N$1201,Data!$C$2:$C$1201,$B64,Data!$AJ$2:$AJ$1201,2)/60)</f>
        <v/>
      </c>
      <c r="G64" s="80" t="str">
        <f>IF(OR($B64="",COUNTIFS(Data!$X$2:$X$1201,1,Data!$AJ$2:$AJ$1201,2)=0),"",SUMIFS(Data!$N$2:$N$1201,Data!$C$2:$C$1201,$B64,Data!$AJ$2:$AJ$1201,2)/60/COUNTIFS(Data!$X$2:$X$1201,1,Data!$AJ$2:$AJ$1201,2))</f>
        <v/>
      </c>
      <c r="J64" s="81" t="str">
        <f t="shared" si="2"/>
        <v/>
      </c>
      <c r="K64" s="82" t="str">
        <f t="shared" si="3"/>
        <v/>
      </c>
    </row>
    <row r="65" spans="2:11" x14ac:dyDescent="0.25">
      <c r="B65" s="59" t="str">
        <f>IF('Where it goes'!$C$49="","",'Where it goes'!$C$49)</f>
        <v/>
      </c>
      <c r="C65" s="53" t="str">
        <f>IF($B65="","",SUMIFS(Data!$N$2:$N$1201,Data!$C$2:$C$1201,$B65,Data!$AJ$2:$AJ$1201,1)/60)</f>
        <v/>
      </c>
      <c r="D65" s="79" t="str">
        <f>IF(OR($B65="",COUNTIFS(Data!$X$2:$X$1201,1,Data!$AJ$2:$AJ$1201,1)=0),"",SUMIFS(Data!$N$2:$N$1201,Data!$C$2:$C$1201,$B65,Data!$AJ$2:$AJ$1201,1)/60/COUNTIFS(Data!$X$2:$X$1201,1,Data!$AJ$2:$AJ$1201,1))</f>
        <v/>
      </c>
      <c r="F65" s="53" t="str">
        <f>IF($B65="","",SUMIFS(Data!$N$2:$N$1201,Data!$C$2:$C$1201,$B65,Data!$AJ$2:$AJ$1201,2)/60)</f>
        <v/>
      </c>
      <c r="G65" s="80" t="str">
        <f>IF(OR($B65="",COUNTIFS(Data!$X$2:$X$1201,1,Data!$AJ$2:$AJ$1201,2)=0),"",SUMIFS(Data!$N$2:$N$1201,Data!$C$2:$C$1201,$B65,Data!$AJ$2:$AJ$1201,2)/60/COUNTIFS(Data!$X$2:$X$1201,1,Data!$AJ$2:$AJ$1201,2))</f>
        <v/>
      </c>
      <c r="J65" s="81" t="str">
        <f t="shared" si="2"/>
        <v/>
      </c>
      <c r="K65" s="82" t="str">
        <f t="shared" si="3"/>
        <v/>
      </c>
    </row>
  </sheetData>
  <mergeCells count="1">
    <mergeCell ref="B3:L3"/>
  </mergeCells>
  <conditionalFormatting sqref="B26:K65">
    <cfRule type="expression" dxfId="17" priority="16">
      <formula>$B26&lt;&gt;""</formula>
    </cfRule>
  </conditionalFormatting>
  <conditionalFormatting sqref="J26:J65">
    <cfRule type="dataBar" priority="17">
      <dataBar>
        <cfvo type="num" val="-8"/>
        <cfvo type="num" val="8"/>
        <color rgb="FFFBD9C8"/>
      </dataBar>
      <extLst>
        <ext xmlns:x14="http://schemas.microsoft.com/office/spreadsheetml/2009/9/main" uri="{B025F937-C7B1-47D3-B67F-A62EFF666E3E}">
          <x14:id>{454A26BF-EF8B-4C36-8A18-FF92337DC16C}</x14:id>
        </ext>
      </extLst>
    </cfRule>
  </conditionalFormatting>
  <conditionalFormatting sqref="K13">
    <cfRule type="expression" dxfId="16" priority="2">
      <formula>AND($K13&lt;&gt;"",$K13&gt;0.02)</formula>
    </cfRule>
    <cfRule type="expression" dxfId="15" priority="3">
      <formula>AND($K13&lt;&gt;"",$K13&lt;-0.02)</formula>
    </cfRule>
  </conditionalFormatting>
  <conditionalFormatting sqref="K14">
    <cfRule type="expression" dxfId="14" priority="4">
      <formula>AND($K14&lt;&gt;"",$K14&lt;-0.02)</formula>
    </cfRule>
    <cfRule type="expression" dxfId="13" priority="5">
      <formula>AND($K14&lt;&gt;"",$K14&gt;0.02)</formula>
    </cfRule>
  </conditionalFormatting>
  <conditionalFormatting sqref="K15">
    <cfRule type="expression" dxfId="12" priority="6">
      <formula>AND($K15&lt;&gt;"",$K15&gt;0.02)</formula>
    </cfRule>
    <cfRule type="expression" dxfId="11" priority="7">
      <formula>AND($K15&lt;&gt;"",$K15&lt;-0.02)</formula>
    </cfRule>
  </conditionalFormatting>
  <conditionalFormatting sqref="K16">
    <cfRule type="expression" dxfId="10" priority="8">
      <formula>AND($K16&lt;&gt;"",$K16&lt;-0.02)</formula>
    </cfRule>
    <cfRule type="expression" dxfId="9" priority="9">
      <formula>AND($K16&lt;&gt;"",$K16&gt;0.02)</formula>
    </cfRule>
  </conditionalFormatting>
  <conditionalFormatting sqref="K17">
    <cfRule type="expression" dxfId="8" priority="10">
      <formula>AND($K17&lt;&gt;"",$K17&gt;0.02)</formula>
    </cfRule>
    <cfRule type="expression" dxfId="7" priority="11">
      <formula>AND($K17&lt;&gt;"",$K17&lt;-0.02)</formula>
    </cfRule>
  </conditionalFormatting>
  <conditionalFormatting sqref="K18">
    <cfRule type="expression" dxfId="6" priority="12">
      <formula>AND($K18&lt;&gt;"",$K18&lt;-0.02)</formula>
    </cfRule>
    <cfRule type="expression" dxfId="5" priority="13">
      <formula>AND($K18&lt;&gt;"",$K18&gt;0.02)</formula>
    </cfRule>
  </conditionalFormatting>
  <conditionalFormatting sqref="K19">
    <cfRule type="expression" dxfId="4" priority="14">
      <formula>AND($K19&lt;&gt;"",$K19&gt;0.02)</formula>
    </cfRule>
    <cfRule type="expression" dxfId="3" priority="15">
      <formula>AND($K19&lt;&gt;"",$K19&lt;-0.02)</formula>
    </cfRule>
  </conditionalFormatting>
  <pageMargins left="0.75" right="0.75" top="1" bottom="1" header="0.511811023622047" footer="0.511811023622047"/>
  <pageSetup paperSize="9" orientation="portrait" horizontalDpi="300" verticalDpi="300"/>
  <extLst>
    <ext xmlns:x14="http://schemas.microsoft.com/office/spreadsheetml/2009/9/main" uri="{78C0D931-6437-407d-A8EE-F0AAD7539E65}">
      <x14:conditionalFormattings>
        <x14:conditionalFormatting xmlns:xm="http://schemas.microsoft.com/office/excel/2006/main">
          <x14:cfRule type="dataBar" id="{454A26BF-EF8B-4C36-8A18-FF92337DC16C}">
            <x14:dataBar minLength="0" maxLength="100" gradient="0" axisPosition="none">
              <x14:cfvo type="num">
                <xm:f>-8</xm:f>
              </x14:cfvo>
              <x14:cfvo type="num">
                <xm:f>8</xm:f>
              </x14:cfvo>
              <x14:negativeFillColor rgb="FFFBD9C8"/>
            </x14:dataBar>
          </x14:cfRule>
          <xm:sqref>J26:J65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I67"/>
  <sheetViews>
    <sheetView showGridLines="0" topLeftCell="A6" zoomScaleNormal="100" workbookViewId="0">
      <selection activeCell="D31" sqref="D31"/>
    </sheetView>
  </sheetViews>
  <sheetFormatPr defaultColWidth="8.7109375" defaultRowHeight="15" x14ac:dyDescent="0.25"/>
  <cols>
    <col min="1" max="1" width="3" customWidth="1"/>
    <col min="2" max="2" width="30" customWidth="1"/>
    <col min="3" max="3" width="13" customWidth="1"/>
    <col min="4" max="4" width="12" customWidth="1"/>
    <col min="5" max="6" width="13" customWidth="1"/>
    <col min="7" max="8" width="12" customWidth="1"/>
    <col min="9" max="9" width="60" customWidth="1"/>
  </cols>
  <sheetData>
    <row r="2" spans="2:9" ht="25.5" customHeight="1" x14ac:dyDescent="0.35">
      <c r="B2" s="35" t="s">
        <v>173</v>
      </c>
    </row>
    <row r="3" spans="2:9" ht="15.75" customHeight="1" x14ac:dyDescent="0.25">
      <c r="B3" s="157" t="s">
        <v>174</v>
      </c>
      <c r="C3" s="157"/>
      <c r="D3" s="157"/>
      <c r="E3" s="157"/>
      <c r="F3" s="157"/>
      <c r="G3" s="157"/>
      <c r="H3" s="157"/>
      <c r="I3" s="157"/>
    </row>
    <row r="6" spans="2:9" x14ac:dyDescent="0.25">
      <c r="B6" s="37" t="s">
        <v>175</v>
      </c>
      <c r="C6" s="38"/>
      <c r="D6" s="38"/>
      <c r="E6" s="38"/>
      <c r="F6" s="38"/>
      <c r="G6" s="38"/>
      <c r="H6" s="38"/>
    </row>
    <row r="8" spans="2:9" ht="21.75" customHeight="1" x14ac:dyDescent="0.25">
      <c r="B8" s="59" t="s">
        <v>176</v>
      </c>
      <c r="C8" s="83">
        <f>SUM(Data!$AL$2:$AL$1201)</f>
        <v>1639.3999999999992</v>
      </c>
      <c r="I8" s="42" t="s">
        <v>177</v>
      </c>
    </row>
    <row r="9" spans="2:9" x14ac:dyDescent="0.25">
      <c r="B9" s="68"/>
      <c r="C9" s="68"/>
      <c r="D9" s="68"/>
      <c r="E9" s="68"/>
      <c r="F9" s="68"/>
      <c r="G9" s="68"/>
      <c r="H9" s="68"/>
    </row>
    <row r="10" spans="2:9" ht="21.75" customHeight="1" x14ac:dyDescent="0.25">
      <c r="B10" s="59" t="s">
        <v>178</v>
      </c>
      <c r="C10" s="84">
        <f>IF(SUMIFS(Data!$N$2:$N$1201,Data!$E$2:$E$1201,"timed")=0,"",SUM(Data!$AL$2:$AL$1201)/(SUMIFS(Data!$N$2:$N$1201,Data!$E$2:$E$1201,"timed")/60))</f>
        <v>38.420435903445018</v>
      </c>
      <c r="I10" s="42" t="s">
        <v>179</v>
      </c>
    </row>
    <row r="11" spans="2:9" x14ac:dyDescent="0.25">
      <c r="B11" s="68"/>
      <c r="C11" s="68"/>
      <c r="D11" s="68"/>
      <c r="E11" s="68"/>
      <c r="F11" s="68"/>
      <c r="G11" s="68"/>
      <c r="H11" s="68"/>
    </row>
    <row r="12" spans="2:9" ht="21.75" customHeight="1" x14ac:dyDescent="0.25">
      <c r="B12" s="59" t="s">
        <v>88</v>
      </c>
      <c r="C12" s="83">
        <f>IF(COUNTIF(Data!$X$2:$X$1201,1)=0,"",SUM(Data!$AL$2:$AL$1201)/COUNTIF(Data!$X$2:$X$1201,1))</f>
        <v>327.87999999999982</v>
      </c>
      <c r="I12" s="42" t="s">
        <v>180</v>
      </c>
    </row>
    <row r="13" spans="2:9" x14ac:dyDescent="0.25">
      <c r="B13" s="68"/>
      <c r="C13" s="68"/>
      <c r="D13" s="68"/>
      <c r="E13" s="68"/>
      <c r="F13" s="68"/>
      <c r="G13" s="68"/>
      <c r="H13" s="68"/>
    </row>
    <row r="14" spans="2:9" ht="21.75" customHeight="1" x14ac:dyDescent="0.25">
      <c r="B14" s="59" t="s">
        <v>181</v>
      </c>
      <c r="C14" s="85">
        <f>SUM(Rhythm!$H$10:$H$209)</f>
        <v>3.0808333331788917</v>
      </c>
      <c r="I14" s="42" t="s">
        <v>182</v>
      </c>
    </row>
    <row r="15" spans="2:9" x14ac:dyDescent="0.25">
      <c r="B15" s="68"/>
      <c r="C15" s="68"/>
      <c r="D15" s="68"/>
      <c r="E15" s="68"/>
      <c r="F15" s="68"/>
      <c r="G15" s="68"/>
      <c r="H15" s="68"/>
    </row>
    <row r="16" spans="2:9" ht="21.75" customHeight="1" x14ac:dyDescent="0.25">
      <c r="B16" s="59" t="s">
        <v>183</v>
      </c>
      <c r="C16" s="86">
        <f>SUM(Rhythm!$H$10:$H$209)*Settings!$C$10</f>
        <v>118.36561666073302</v>
      </c>
      <c r="I16" s="42" t="s">
        <v>184</v>
      </c>
    </row>
    <row r="17" spans="2:9" x14ac:dyDescent="0.25">
      <c r="B17" s="68"/>
      <c r="C17" s="68"/>
      <c r="D17" s="68"/>
      <c r="E17" s="68"/>
      <c r="F17" s="68"/>
      <c r="G17" s="68"/>
      <c r="H17" s="68"/>
    </row>
    <row r="18" spans="2:9" ht="21.75" customHeight="1" x14ac:dyDescent="0.25">
      <c r="B18" s="59" t="s">
        <v>185</v>
      </c>
      <c r="C18" s="86">
        <f>SUMIFS(Data!$AL$2:$AL$1201,Data!$Z$2:$Z$1201,1)</f>
        <v>0</v>
      </c>
      <c r="I18" s="42" t="s">
        <v>186</v>
      </c>
    </row>
    <row r="19" spans="2:9" x14ac:dyDescent="0.25">
      <c r="B19" s="68"/>
      <c r="C19" s="68"/>
      <c r="D19" s="68"/>
      <c r="E19" s="68"/>
      <c r="F19" s="68"/>
      <c r="G19" s="68"/>
      <c r="H19" s="68"/>
    </row>
    <row r="22" spans="2:9" x14ac:dyDescent="0.25">
      <c r="B22" s="37" t="s">
        <v>187</v>
      </c>
      <c r="C22" s="38"/>
      <c r="D22" s="38"/>
      <c r="E22" s="38"/>
      <c r="F22" s="38"/>
      <c r="G22" s="38"/>
      <c r="H22" s="38"/>
    </row>
    <row r="23" spans="2:9" x14ac:dyDescent="0.25">
      <c r="B23" s="39" t="s">
        <v>188</v>
      </c>
    </row>
    <row r="25" spans="2:9" x14ac:dyDescent="0.25">
      <c r="B25" s="40" t="s">
        <v>94</v>
      </c>
      <c r="C25" s="41" t="s">
        <v>95</v>
      </c>
      <c r="D25" s="41" t="s">
        <v>189</v>
      </c>
      <c r="E25" s="41" t="s">
        <v>100</v>
      </c>
      <c r="F25" s="40"/>
      <c r="G25" s="41" t="s">
        <v>190</v>
      </c>
      <c r="H25" s="41" t="s">
        <v>191</v>
      </c>
    </row>
    <row r="26" spans="2:9" x14ac:dyDescent="0.25">
      <c r="B26" s="59" t="str">
        <f>IF('Where it goes'!$C$10="","",'Where it goes'!$C$10)</f>
        <v>Zendesk Tickets</v>
      </c>
      <c r="C26" s="53">
        <f>IF($B26="","",SUMIFS(Data!$N$2:$N$1201,Data!$C$2:$C$1201,$B26)/60)</f>
        <v>10.191833333333335</v>
      </c>
      <c r="D26" s="87">
        <f t="shared" ref="D26:D65" si="0">IF(OR($B26="",$C26=0),"",$E26/$C26)</f>
        <v>38.420957956533819</v>
      </c>
      <c r="E26" s="88">
        <f>IF($B26="","",SUMIFS(Data!$AL$2:$AL$1201,Data!$C$2:$C$1201,$B26))</f>
        <v>391.58</v>
      </c>
      <c r="F26" s="89">
        <f t="shared" ref="F26:F65" si="1">IF($B26="","",$E26)</f>
        <v>391.58</v>
      </c>
      <c r="G26" s="45">
        <f>IF(OR($B26="",SUM(Data!$AL$2:$AL$1201)=0),"",$E26/SUM(Data!$AL$2:$AL$1201))</f>
        <v>0.23885567890691728</v>
      </c>
      <c r="H26" s="90">
        <f>IF(OR($B26="",SUMIFS(Data!$N$2:$N$1201,Data!$E$2:$E$1201,"timed")=0),"",SUMIFS(Data!$N$2:$N$1201,Data!$C$2:$C$1201,$B26)/SUMIFS(Data!$N$2:$N$1201,Data!$E$2:$E$1201,"timed"))</f>
        <v>0.23885243340364032</v>
      </c>
    </row>
    <row r="27" spans="2:9" x14ac:dyDescent="0.25">
      <c r="B27" s="59" t="str">
        <f>IF('Where it goes'!$C$11="","",'Where it goes'!$C$11)</f>
        <v>Project work</v>
      </c>
      <c r="C27" s="53">
        <f>IF($B27="","",SUMIFS(Data!$N$2:$N$1201,Data!$C$2:$C$1201,$B27)/60)</f>
        <v>7.9924999999999988</v>
      </c>
      <c r="D27" s="87">
        <f t="shared" si="0"/>
        <v>38.41976853299969</v>
      </c>
      <c r="E27" s="88">
        <f>IF($B27="","",SUMIFS(Data!$AL$2:$AL$1201,Data!$C$2:$C$1201,$B27))</f>
        <v>307.07</v>
      </c>
      <c r="F27" s="89">
        <f t="shared" si="1"/>
        <v>307.07</v>
      </c>
      <c r="G27" s="45">
        <f>IF(OR($B27="",SUM(Data!$AL$2:$AL$1201)=0),"",$E27/SUM(Data!$AL$2:$AL$1201))</f>
        <v>0.1873063315847262</v>
      </c>
      <c r="H27" s="90">
        <f>IF(OR($B27="",SUMIFS(Data!$N$2:$N$1201,Data!$E$2:$E$1201,"timed")=0),"",SUMIFS(Data!$N$2:$N$1201,Data!$C$2:$C$1201,$B27)/SUMIFS(Data!$N$2:$N$1201,Data!$E$2:$E$1201,"timed"))</f>
        <v>0.18730958518865706</v>
      </c>
    </row>
    <row r="28" spans="2:9" x14ac:dyDescent="0.25">
      <c r="B28" s="59" t="str">
        <f>IF('Where it goes'!$C$12="","",'Where it goes'!$C$12)</f>
        <v>Admin</v>
      </c>
      <c r="C28" s="53">
        <f>IF($B28="","",SUMIFS(Data!$N$2:$N$1201,Data!$C$2:$C$1201,$B28)/60)</f>
        <v>7.559333333333333</v>
      </c>
      <c r="D28" s="87">
        <f t="shared" si="0"/>
        <v>38.421377546520858</v>
      </c>
      <c r="E28" s="88">
        <f>IF($B28="","",SUMIFS(Data!$AL$2:$AL$1201,Data!$C$2:$C$1201,$B28))</f>
        <v>290.44</v>
      </c>
      <c r="F28" s="89">
        <f t="shared" si="1"/>
        <v>290.44</v>
      </c>
      <c r="G28" s="45">
        <f>IF(OR($B28="",SUM(Data!$AL$2:$AL$1201)=0),"",$E28/SUM(Data!$AL$2:$AL$1201))</f>
        <v>0.1771623764791998</v>
      </c>
      <c r="H28" s="90">
        <f>IF(OR($B28="",SUMIFS(Data!$N$2:$N$1201,Data!$E$2:$E$1201,"timed")=0),"",SUMIFS(Data!$N$2:$N$1201,Data!$C$2:$C$1201,$B28)/SUMIFS(Data!$N$2:$N$1201,Data!$E$2:$E$1201,"timed"))</f>
        <v>0.17715803452855242</v>
      </c>
    </row>
    <row r="29" spans="2:9" x14ac:dyDescent="0.25">
      <c r="B29" s="59" t="str">
        <f>IF('Where it goes'!$C$13="","",'Where it goes'!$C$13)</f>
        <v>Email</v>
      </c>
      <c r="C29" s="53">
        <f>IF($B29="","",SUMIFS(Data!$N$2:$N$1201,Data!$C$2:$C$1201,$B29)/60)</f>
        <v>5.2786666666666653</v>
      </c>
      <c r="D29" s="87">
        <f t="shared" si="0"/>
        <v>38.418792624400112</v>
      </c>
      <c r="E29" s="88">
        <f>IF($B29="","",SUMIFS(Data!$AL$2:$AL$1201,Data!$C$2:$C$1201,$B29))</f>
        <v>202.8</v>
      </c>
      <c r="F29" s="89">
        <f t="shared" si="1"/>
        <v>202.8</v>
      </c>
      <c r="G29" s="45">
        <f>IF(OR($B29="",SUM(Data!$AL$2:$AL$1201)=0),"",$E29/SUM(Data!$AL$2:$AL$1201))</f>
        <v>0.12370379407100165</v>
      </c>
      <c r="H29" s="90">
        <f>IF(OR($B29="",SUMIFS(Data!$N$2:$N$1201,Data!$E$2:$E$1201,"timed")=0),"",SUMIFS(Data!$N$2:$N$1201,Data!$C$2:$C$1201,$B29)/SUMIFS(Data!$N$2:$N$1201,Data!$E$2:$E$1201,"timed"))</f>
        <v>0.12370908522771652</v>
      </c>
    </row>
    <row r="30" spans="2:9" x14ac:dyDescent="0.25">
      <c r="B30" s="59" t="str">
        <f>IF('Where it goes'!$C$14="","",'Where it goes'!$C$14)</f>
        <v>Dev Tickets - ADO's</v>
      </c>
      <c r="C30" s="53">
        <f>IF($B30="","",SUMIFS(Data!$N$2:$N$1201,Data!$C$2:$C$1201,$B30)/60)</f>
        <v>4.7831666666666672</v>
      </c>
      <c r="D30" s="87">
        <f t="shared" si="0"/>
        <v>38.418063347154948</v>
      </c>
      <c r="E30" s="88">
        <f>IF($B30="","",SUMIFS(Data!$AL$2:$AL$1201,Data!$C$2:$C$1201,$B30))</f>
        <v>183.76</v>
      </c>
      <c r="F30" s="89">
        <f t="shared" si="1"/>
        <v>183.76</v>
      </c>
      <c r="G30" s="45">
        <f>IF(OR($B30="",SUM(Data!$AL$2:$AL$1201)=0),"",$E30/SUM(Data!$AL$2:$AL$1201))</f>
        <v>0.11208978894717585</v>
      </c>
      <c r="H30" s="90">
        <f>IF(OR($B30="",SUMIFS(Data!$N$2:$N$1201,Data!$E$2:$E$1201,"timed")=0),"",SUMIFS(Data!$N$2:$N$1201,Data!$C$2:$C$1201,$B30)/SUMIFS(Data!$N$2:$N$1201,Data!$E$2:$E$1201,"timed"))</f>
        <v>0.11209671119443791</v>
      </c>
    </row>
    <row r="31" spans="2:9" x14ac:dyDescent="0.25">
      <c r="B31" s="59" t="str">
        <f>IF('Where it goes'!$C$15="","",'Where it goes'!$C$15)</f>
        <v>Lunch Break</v>
      </c>
      <c r="C31" s="53">
        <f>IF($B31="","",SUMIFS(Data!$N$2:$N$1201,Data!$C$2:$C$1201,$B31)/60)</f>
        <v>2.7646666666666673</v>
      </c>
      <c r="D31" s="87">
        <f t="shared" si="0"/>
        <v>38.420544972269099</v>
      </c>
      <c r="E31" s="88">
        <f>IF($B31="","",SUMIFS(Data!$AL$2:$AL$1201,Data!$C$2:$C$1201,$B31))</f>
        <v>106.22</v>
      </c>
      <c r="F31" s="89">
        <f t="shared" si="1"/>
        <v>106.22</v>
      </c>
      <c r="G31" s="45">
        <f>IF(OR($B31="",SUM(Data!$AL$2:$AL$1201)=0),"",$E31/SUM(Data!$AL$2:$AL$1201))</f>
        <v>6.479199707209958E-2</v>
      </c>
      <c r="H31" s="90">
        <f>IF(OR($B31="",SUMIFS(Data!$N$2:$N$1201,Data!$E$2:$E$1201,"timed")=0),"",SUMIFS(Data!$N$2:$N$1201,Data!$C$2:$C$1201,$B31)/SUMIFS(Data!$N$2:$N$1201,Data!$E$2:$E$1201,"timed"))</f>
        <v>6.4791813139598461E-2</v>
      </c>
    </row>
    <row r="32" spans="2:9" x14ac:dyDescent="0.25">
      <c r="B32" s="59" t="str">
        <f>IF('Where it goes'!$C$16="","",'Where it goes'!$C$16)</f>
        <v>Teams Communications</v>
      </c>
      <c r="C32" s="53">
        <f>IF($B32="","",SUMIFS(Data!$N$2:$N$1201,Data!$C$2:$C$1201,$B32)/60)</f>
        <v>2.351833333333333</v>
      </c>
      <c r="D32" s="87">
        <f t="shared" si="0"/>
        <v>38.425341931826239</v>
      </c>
      <c r="E32" s="88">
        <f>IF($B32="","",SUMIFS(Data!$AL$2:$AL$1201,Data!$C$2:$C$1201,$B32))</f>
        <v>90.36999999999999</v>
      </c>
      <c r="F32" s="89">
        <f t="shared" si="1"/>
        <v>90.36999999999999</v>
      </c>
      <c r="G32" s="45">
        <f>IF(OR($B32="",SUM(Data!$AL$2:$AL$1201)=0),"",$E32/SUM(Data!$AL$2:$AL$1201))</f>
        <v>5.5123825789923163E-2</v>
      </c>
      <c r="H32" s="90">
        <f>IF(OR($B32="",SUMIFS(Data!$N$2:$N$1201,Data!$E$2:$E$1201,"timed")=0),"",SUMIFS(Data!$N$2:$N$1201,Data!$C$2:$C$1201,$B32)/SUMIFS(Data!$N$2:$N$1201,Data!$E$2:$E$1201,"timed"))</f>
        <v>5.5116787750956936E-2</v>
      </c>
    </row>
    <row r="33" spans="2:8" x14ac:dyDescent="0.25">
      <c r="B33" s="59" t="str">
        <f>IF('Where it goes'!$C$17="","",'Where it goes'!$C$17)</f>
        <v>Support</v>
      </c>
      <c r="C33" s="53">
        <f>IF($B33="","",SUMIFS(Data!$N$2:$N$1201,Data!$C$2:$C$1201,$B33)/60)</f>
        <v>1.1826666666666665</v>
      </c>
      <c r="D33" s="87">
        <f t="shared" si="0"/>
        <v>38.421645997745209</v>
      </c>
      <c r="E33" s="88">
        <f>IF($B33="","",SUMIFS(Data!$AL$2:$AL$1201,Data!$C$2:$C$1201,$B33))</f>
        <v>45.44</v>
      </c>
      <c r="F33" s="89">
        <f t="shared" si="1"/>
        <v>45.44</v>
      </c>
      <c r="G33" s="45">
        <f>IF(OR($B33="",SUM(Data!$AL$2:$AL$1201)=0),"",$E33/SUM(Data!$AL$2:$AL$1201))</f>
        <v>2.7717457606441395E-2</v>
      </c>
      <c r="H33" s="90">
        <f>IF(OR($B33="",SUMIFS(Data!$N$2:$N$1201,Data!$E$2:$E$1201,"timed")=0),"",SUMIFS(Data!$N$2:$N$1201,Data!$C$2:$C$1201,$B33)/SUMIFS(Data!$N$2:$N$1201,Data!$E$2:$E$1201,"timed"))</f>
        <v>2.7716584641824846E-2</v>
      </c>
    </row>
    <row r="34" spans="2:8" x14ac:dyDescent="0.25">
      <c r="B34" s="59" t="str">
        <f>IF('Where it goes'!$C$18="","",'Where it goes'!$C$18)</f>
        <v>Meetings</v>
      </c>
      <c r="C34" s="53">
        <f>IF($B34="","",SUMIFS(Data!$N$2:$N$1201,Data!$C$2:$C$1201,$B34)/60)</f>
        <v>0.56333333333333335</v>
      </c>
      <c r="D34" s="87">
        <f t="shared" si="0"/>
        <v>38.414201183431949</v>
      </c>
      <c r="E34" s="88">
        <f>IF($B34="","",SUMIFS(Data!$AL$2:$AL$1201,Data!$C$2:$C$1201,$B34))</f>
        <v>21.64</v>
      </c>
      <c r="F34" s="89">
        <f t="shared" si="1"/>
        <v>21.64</v>
      </c>
      <c r="G34" s="45">
        <f>IF(OR($B34="",SUM(Data!$AL$2:$AL$1201)=0),"",$E34/SUM(Data!$AL$2:$AL$1201))</f>
        <v>1.3199951201659151E-2</v>
      </c>
      <c r="H34" s="90">
        <f>IF(OR($B34="",SUMIFS(Data!$N$2:$N$1201,Data!$E$2:$E$1201,"timed")=0),"",SUMIFS(Data!$N$2:$N$1201,Data!$C$2:$C$1201,$B34)/SUMIFS(Data!$N$2:$N$1201,Data!$E$2:$E$1201,"timed"))</f>
        <v>1.3202093586438557E-2</v>
      </c>
    </row>
    <row r="35" spans="2:8" x14ac:dyDescent="0.25">
      <c r="B35" s="59" t="str">
        <f>IF('Where it goes'!$C$19="","",'Where it goes'!$C$19)</f>
        <v>Finish for the Day</v>
      </c>
      <c r="C35" s="53">
        <f>IF($B35="","",SUMIFS(Data!$N$2:$N$1201,Data!$C$2:$C$1201,$B35)/60)</f>
        <v>2E-3</v>
      </c>
      <c r="D35" s="87">
        <f t="shared" si="0"/>
        <v>40</v>
      </c>
      <c r="E35" s="88">
        <f>IF($B35="","",SUMIFS(Data!$AL$2:$AL$1201,Data!$C$2:$C$1201,$B35))</f>
        <v>0.08</v>
      </c>
      <c r="F35" s="89">
        <f t="shared" si="1"/>
        <v>0.08</v>
      </c>
      <c r="G35" s="45">
        <f>IF(OR($B35="",SUM(Data!$AL$2:$AL$1201)=0),"",$E35/SUM(Data!$AL$2:$AL$1201))</f>
        <v>4.8798340856410909E-5</v>
      </c>
      <c r="H35" s="90">
        <f>IF(OR($B35="",SUMIFS(Data!$N$2:$N$1201,Data!$E$2:$E$1201,"timed")=0),"",SUMIFS(Data!$N$2:$N$1201,Data!$C$2:$C$1201,$B35)/SUMIFS(Data!$N$2:$N$1201,Data!$E$2:$E$1201,"timed"))</f>
        <v>4.6871338176704927E-5</v>
      </c>
    </row>
    <row r="36" spans="2:8" x14ac:dyDescent="0.25">
      <c r="B36" s="59" t="str">
        <f>IF('Where it goes'!$C$20="","",'Where it goes'!$C$20)</f>
        <v>To-do</v>
      </c>
      <c r="C36" s="53">
        <f>IF($B36="","",SUMIFS(Data!$N$2:$N$1201,Data!$C$2:$C$1201,$B36)/60)</f>
        <v>0</v>
      </c>
      <c r="D36" s="87" t="str">
        <f t="shared" si="0"/>
        <v/>
      </c>
      <c r="E36" s="88">
        <f>IF($B36="","",SUMIFS(Data!$AL$2:$AL$1201,Data!$C$2:$C$1201,$B36))</f>
        <v>0</v>
      </c>
      <c r="F36" s="89">
        <f t="shared" si="1"/>
        <v>0</v>
      </c>
      <c r="G36" s="45">
        <f>IF(OR($B36="",SUM(Data!$AL$2:$AL$1201)=0),"",$E36/SUM(Data!$AL$2:$AL$1201))</f>
        <v>0</v>
      </c>
      <c r="H36" s="90">
        <f>IF(OR($B36="",SUMIFS(Data!$N$2:$N$1201,Data!$E$2:$E$1201,"timed")=0),"",SUMIFS(Data!$N$2:$N$1201,Data!$C$2:$C$1201,$B36)/SUMIFS(Data!$N$2:$N$1201,Data!$E$2:$E$1201,"timed"))</f>
        <v>0</v>
      </c>
    </row>
    <row r="37" spans="2:8" x14ac:dyDescent="0.25">
      <c r="B37" s="59" t="str">
        <f>IF('Where it goes'!$C$21="","",'Where it goes'!$C$21)</f>
        <v/>
      </c>
      <c r="C37" s="53" t="str">
        <f>IF($B37="","",SUMIFS(Data!$N$2:$N$1201,Data!$C$2:$C$1201,$B37)/60)</f>
        <v/>
      </c>
      <c r="D37" s="87" t="str">
        <f t="shared" si="0"/>
        <v/>
      </c>
      <c r="E37" s="88" t="str">
        <f>IF($B37="","",SUMIFS(Data!$AL$2:$AL$1201,Data!$C$2:$C$1201,$B37))</f>
        <v/>
      </c>
      <c r="F37" s="89" t="str">
        <f t="shared" si="1"/>
        <v/>
      </c>
      <c r="G37" s="45" t="str">
        <f>IF(OR($B37="",SUM(Data!$AL$2:$AL$1201)=0),"",$E37/SUM(Data!$AL$2:$AL$1201))</f>
        <v/>
      </c>
      <c r="H37" s="90" t="str">
        <f>IF(OR($B37="",SUMIFS(Data!$N$2:$N$1201,Data!$E$2:$E$1201,"timed")=0),"",SUMIFS(Data!$N$2:$N$1201,Data!$C$2:$C$1201,$B37)/SUMIFS(Data!$N$2:$N$1201,Data!$E$2:$E$1201,"timed"))</f>
        <v/>
      </c>
    </row>
    <row r="38" spans="2:8" x14ac:dyDescent="0.25">
      <c r="B38" s="59" t="str">
        <f>IF('Where it goes'!$C$22="","",'Where it goes'!$C$22)</f>
        <v/>
      </c>
      <c r="C38" s="53" t="str">
        <f>IF($B38="","",SUMIFS(Data!$N$2:$N$1201,Data!$C$2:$C$1201,$B38)/60)</f>
        <v/>
      </c>
      <c r="D38" s="87" t="str">
        <f t="shared" si="0"/>
        <v/>
      </c>
      <c r="E38" s="88" t="str">
        <f>IF($B38="","",SUMIFS(Data!$AL$2:$AL$1201,Data!$C$2:$C$1201,$B38))</f>
        <v/>
      </c>
      <c r="F38" s="89" t="str">
        <f t="shared" si="1"/>
        <v/>
      </c>
      <c r="G38" s="45" t="str">
        <f>IF(OR($B38="",SUM(Data!$AL$2:$AL$1201)=0),"",$E38/SUM(Data!$AL$2:$AL$1201))</f>
        <v/>
      </c>
      <c r="H38" s="90" t="str">
        <f>IF(OR($B38="",SUMIFS(Data!$N$2:$N$1201,Data!$E$2:$E$1201,"timed")=0),"",SUMIFS(Data!$N$2:$N$1201,Data!$C$2:$C$1201,$B38)/SUMIFS(Data!$N$2:$N$1201,Data!$E$2:$E$1201,"timed"))</f>
        <v/>
      </c>
    </row>
    <row r="39" spans="2:8" x14ac:dyDescent="0.25">
      <c r="B39" s="59" t="str">
        <f>IF('Where it goes'!$C$23="","",'Where it goes'!$C$23)</f>
        <v/>
      </c>
      <c r="C39" s="53" t="str">
        <f>IF($B39="","",SUMIFS(Data!$N$2:$N$1201,Data!$C$2:$C$1201,$B39)/60)</f>
        <v/>
      </c>
      <c r="D39" s="87" t="str">
        <f t="shared" si="0"/>
        <v/>
      </c>
      <c r="E39" s="88" t="str">
        <f>IF($B39="","",SUMIFS(Data!$AL$2:$AL$1201,Data!$C$2:$C$1201,$B39))</f>
        <v/>
      </c>
      <c r="F39" s="89" t="str">
        <f t="shared" si="1"/>
        <v/>
      </c>
      <c r="G39" s="45" t="str">
        <f>IF(OR($B39="",SUM(Data!$AL$2:$AL$1201)=0),"",$E39/SUM(Data!$AL$2:$AL$1201))</f>
        <v/>
      </c>
      <c r="H39" s="90" t="str">
        <f>IF(OR($B39="",SUMIFS(Data!$N$2:$N$1201,Data!$E$2:$E$1201,"timed")=0),"",SUMIFS(Data!$N$2:$N$1201,Data!$C$2:$C$1201,$B39)/SUMIFS(Data!$N$2:$N$1201,Data!$E$2:$E$1201,"timed"))</f>
        <v/>
      </c>
    </row>
    <row r="40" spans="2:8" x14ac:dyDescent="0.25">
      <c r="B40" s="59" t="str">
        <f>IF('Where it goes'!$C$24="","",'Where it goes'!$C$24)</f>
        <v/>
      </c>
      <c r="C40" s="53" t="str">
        <f>IF($B40="","",SUMIFS(Data!$N$2:$N$1201,Data!$C$2:$C$1201,$B40)/60)</f>
        <v/>
      </c>
      <c r="D40" s="87" t="str">
        <f t="shared" si="0"/>
        <v/>
      </c>
      <c r="E40" s="88" t="str">
        <f>IF($B40="","",SUMIFS(Data!$AL$2:$AL$1201,Data!$C$2:$C$1201,$B40))</f>
        <v/>
      </c>
      <c r="F40" s="89" t="str">
        <f t="shared" si="1"/>
        <v/>
      </c>
      <c r="G40" s="45" t="str">
        <f>IF(OR($B40="",SUM(Data!$AL$2:$AL$1201)=0),"",$E40/SUM(Data!$AL$2:$AL$1201))</f>
        <v/>
      </c>
      <c r="H40" s="90" t="str">
        <f>IF(OR($B40="",SUMIFS(Data!$N$2:$N$1201,Data!$E$2:$E$1201,"timed")=0),"",SUMIFS(Data!$N$2:$N$1201,Data!$C$2:$C$1201,$B40)/SUMIFS(Data!$N$2:$N$1201,Data!$E$2:$E$1201,"timed"))</f>
        <v/>
      </c>
    </row>
    <row r="41" spans="2:8" x14ac:dyDescent="0.25">
      <c r="B41" s="59" t="str">
        <f>IF('Where it goes'!$C$25="","",'Where it goes'!$C$25)</f>
        <v/>
      </c>
      <c r="C41" s="53" t="str">
        <f>IF($B41="","",SUMIFS(Data!$N$2:$N$1201,Data!$C$2:$C$1201,$B41)/60)</f>
        <v/>
      </c>
      <c r="D41" s="87" t="str">
        <f t="shared" si="0"/>
        <v/>
      </c>
      <c r="E41" s="88" t="str">
        <f>IF($B41="","",SUMIFS(Data!$AL$2:$AL$1201,Data!$C$2:$C$1201,$B41))</f>
        <v/>
      </c>
      <c r="F41" s="89" t="str">
        <f t="shared" si="1"/>
        <v/>
      </c>
      <c r="G41" s="45" t="str">
        <f>IF(OR($B41="",SUM(Data!$AL$2:$AL$1201)=0),"",$E41/SUM(Data!$AL$2:$AL$1201))</f>
        <v/>
      </c>
      <c r="H41" s="90" t="str">
        <f>IF(OR($B41="",SUMIFS(Data!$N$2:$N$1201,Data!$E$2:$E$1201,"timed")=0),"",SUMIFS(Data!$N$2:$N$1201,Data!$C$2:$C$1201,$B41)/SUMIFS(Data!$N$2:$N$1201,Data!$E$2:$E$1201,"timed"))</f>
        <v/>
      </c>
    </row>
    <row r="42" spans="2:8" x14ac:dyDescent="0.25">
      <c r="B42" s="59" t="str">
        <f>IF('Where it goes'!$C$26="","",'Where it goes'!$C$26)</f>
        <v/>
      </c>
      <c r="C42" s="53" t="str">
        <f>IF($B42="","",SUMIFS(Data!$N$2:$N$1201,Data!$C$2:$C$1201,$B42)/60)</f>
        <v/>
      </c>
      <c r="D42" s="87" t="str">
        <f t="shared" si="0"/>
        <v/>
      </c>
      <c r="E42" s="88" t="str">
        <f>IF($B42="","",SUMIFS(Data!$AL$2:$AL$1201,Data!$C$2:$C$1201,$B42))</f>
        <v/>
      </c>
      <c r="F42" s="89" t="str">
        <f t="shared" si="1"/>
        <v/>
      </c>
      <c r="G42" s="45" t="str">
        <f>IF(OR($B42="",SUM(Data!$AL$2:$AL$1201)=0),"",$E42/SUM(Data!$AL$2:$AL$1201))</f>
        <v/>
      </c>
      <c r="H42" s="90" t="str">
        <f>IF(OR($B42="",SUMIFS(Data!$N$2:$N$1201,Data!$E$2:$E$1201,"timed")=0),"",SUMIFS(Data!$N$2:$N$1201,Data!$C$2:$C$1201,$B42)/SUMIFS(Data!$N$2:$N$1201,Data!$E$2:$E$1201,"timed"))</f>
        <v/>
      </c>
    </row>
    <row r="43" spans="2:8" x14ac:dyDescent="0.25">
      <c r="B43" s="59" t="str">
        <f>IF('Where it goes'!$C$27="","",'Where it goes'!$C$27)</f>
        <v/>
      </c>
      <c r="C43" s="53" t="str">
        <f>IF($B43="","",SUMIFS(Data!$N$2:$N$1201,Data!$C$2:$C$1201,$B43)/60)</f>
        <v/>
      </c>
      <c r="D43" s="87" t="str">
        <f t="shared" si="0"/>
        <v/>
      </c>
      <c r="E43" s="88" t="str">
        <f>IF($B43="","",SUMIFS(Data!$AL$2:$AL$1201,Data!$C$2:$C$1201,$B43))</f>
        <v/>
      </c>
      <c r="F43" s="89" t="str">
        <f t="shared" si="1"/>
        <v/>
      </c>
      <c r="G43" s="45" t="str">
        <f>IF(OR($B43="",SUM(Data!$AL$2:$AL$1201)=0),"",$E43/SUM(Data!$AL$2:$AL$1201))</f>
        <v/>
      </c>
      <c r="H43" s="90" t="str">
        <f>IF(OR($B43="",SUMIFS(Data!$N$2:$N$1201,Data!$E$2:$E$1201,"timed")=0),"",SUMIFS(Data!$N$2:$N$1201,Data!$C$2:$C$1201,$B43)/SUMIFS(Data!$N$2:$N$1201,Data!$E$2:$E$1201,"timed"))</f>
        <v/>
      </c>
    </row>
    <row r="44" spans="2:8" x14ac:dyDescent="0.25">
      <c r="B44" s="59" t="str">
        <f>IF('Where it goes'!$C$28="","",'Where it goes'!$C$28)</f>
        <v/>
      </c>
      <c r="C44" s="53" t="str">
        <f>IF($B44="","",SUMIFS(Data!$N$2:$N$1201,Data!$C$2:$C$1201,$B44)/60)</f>
        <v/>
      </c>
      <c r="D44" s="87" t="str">
        <f t="shared" si="0"/>
        <v/>
      </c>
      <c r="E44" s="88" t="str">
        <f>IF($B44="","",SUMIFS(Data!$AL$2:$AL$1201,Data!$C$2:$C$1201,$B44))</f>
        <v/>
      </c>
      <c r="F44" s="89" t="str">
        <f t="shared" si="1"/>
        <v/>
      </c>
      <c r="G44" s="45" t="str">
        <f>IF(OR($B44="",SUM(Data!$AL$2:$AL$1201)=0),"",$E44/SUM(Data!$AL$2:$AL$1201))</f>
        <v/>
      </c>
      <c r="H44" s="90" t="str">
        <f>IF(OR($B44="",SUMIFS(Data!$N$2:$N$1201,Data!$E$2:$E$1201,"timed")=0),"",SUMIFS(Data!$N$2:$N$1201,Data!$C$2:$C$1201,$B44)/SUMIFS(Data!$N$2:$N$1201,Data!$E$2:$E$1201,"timed"))</f>
        <v/>
      </c>
    </row>
    <row r="45" spans="2:8" x14ac:dyDescent="0.25">
      <c r="B45" s="59" t="str">
        <f>IF('Where it goes'!$C$29="","",'Where it goes'!$C$29)</f>
        <v/>
      </c>
      <c r="C45" s="53" t="str">
        <f>IF($B45="","",SUMIFS(Data!$N$2:$N$1201,Data!$C$2:$C$1201,$B45)/60)</f>
        <v/>
      </c>
      <c r="D45" s="87" t="str">
        <f t="shared" si="0"/>
        <v/>
      </c>
      <c r="E45" s="88" t="str">
        <f>IF($B45="","",SUMIFS(Data!$AL$2:$AL$1201,Data!$C$2:$C$1201,$B45))</f>
        <v/>
      </c>
      <c r="F45" s="89" t="str">
        <f t="shared" si="1"/>
        <v/>
      </c>
      <c r="G45" s="45" t="str">
        <f>IF(OR($B45="",SUM(Data!$AL$2:$AL$1201)=0),"",$E45/SUM(Data!$AL$2:$AL$1201))</f>
        <v/>
      </c>
      <c r="H45" s="90" t="str">
        <f>IF(OR($B45="",SUMIFS(Data!$N$2:$N$1201,Data!$E$2:$E$1201,"timed")=0),"",SUMIFS(Data!$N$2:$N$1201,Data!$C$2:$C$1201,$B45)/SUMIFS(Data!$N$2:$N$1201,Data!$E$2:$E$1201,"timed"))</f>
        <v/>
      </c>
    </row>
    <row r="46" spans="2:8" x14ac:dyDescent="0.25">
      <c r="B46" s="59" t="str">
        <f>IF('Where it goes'!$C$30="","",'Where it goes'!$C$30)</f>
        <v/>
      </c>
      <c r="C46" s="53" t="str">
        <f>IF($B46="","",SUMIFS(Data!$N$2:$N$1201,Data!$C$2:$C$1201,$B46)/60)</f>
        <v/>
      </c>
      <c r="D46" s="87" t="str">
        <f t="shared" si="0"/>
        <v/>
      </c>
      <c r="E46" s="88" t="str">
        <f>IF($B46="","",SUMIFS(Data!$AL$2:$AL$1201,Data!$C$2:$C$1201,$B46))</f>
        <v/>
      </c>
      <c r="F46" s="89" t="str">
        <f t="shared" si="1"/>
        <v/>
      </c>
      <c r="G46" s="45" t="str">
        <f>IF(OR($B46="",SUM(Data!$AL$2:$AL$1201)=0),"",$E46/SUM(Data!$AL$2:$AL$1201))</f>
        <v/>
      </c>
      <c r="H46" s="90" t="str">
        <f>IF(OR($B46="",SUMIFS(Data!$N$2:$N$1201,Data!$E$2:$E$1201,"timed")=0),"",SUMIFS(Data!$N$2:$N$1201,Data!$C$2:$C$1201,$B46)/SUMIFS(Data!$N$2:$N$1201,Data!$E$2:$E$1201,"timed"))</f>
        <v/>
      </c>
    </row>
    <row r="47" spans="2:8" x14ac:dyDescent="0.25">
      <c r="B47" s="59" t="str">
        <f>IF('Where it goes'!$C$31="","",'Where it goes'!$C$31)</f>
        <v/>
      </c>
      <c r="C47" s="53" t="str">
        <f>IF($B47="","",SUMIFS(Data!$N$2:$N$1201,Data!$C$2:$C$1201,$B47)/60)</f>
        <v/>
      </c>
      <c r="D47" s="87" t="str">
        <f t="shared" si="0"/>
        <v/>
      </c>
      <c r="E47" s="88" t="str">
        <f>IF($B47="","",SUMIFS(Data!$AL$2:$AL$1201,Data!$C$2:$C$1201,$B47))</f>
        <v/>
      </c>
      <c r="F47" s="89" t="str">
        <f t="shared" si="1"/>
        <v/>
      </c>
      <c r="G47" s="45" t="str">
        <f>IF(OR($B47="",SUM(Data!$AL$2:$AL$1201)=0),"",$E47/SUM(Data!$AL$2:$AL$1201))</f>
        <v/>
      </c>
      <c r="H47" s="90" t="str">
        <f>IF(OR($B47="",SUMIFS(Data!$N$2:$N$1201,Data!$E$2:$E$1201,"timed")=0),"",SUMIFS(Data!$N$2:$N$1201,Data!$C$2:$C$1201,$B47)/SUMIFS(Data!$N$2:$N$1201,Data!$E$2:$E$1201,"timed"))</f>
        <v/>
      </c>
    </row>
    <row r="48" spans="2:8" x14ac:dyDescent="0.25">
      <c r="B48" s="59" t="str">
        <f>IF('Where it goes'!$C$32="","",'Where it goes'!$C$32)</f>
        <v/>
      </c>
      <c r="C48" s="53" t="str">
        <f>IF($B48="","",SUMIFS(Data!$N$2:$N$1201,Data!$C$2:$C$1201,$B48)/60)</f>
        <v/>
      </c>
      <c r="D48" s="87" t="str">
        <f t="shared" si="0"/>
        <v/>
      </c>
      <c r="E48" s="88" t="str">
        <f>IF($B48="","",SUMIFS(Data!$AL$2:$AL$1201,Data!$C$2:$C$1201,$B48))</f>
        <v/>
      </c>
      <c r="F48" s="89" t="str">
        <f t="shared" si="1"/>
        <v/>
      </c>
      <c r="G48" s="45" t="str">
        <f>IF(OR($B48="",SUM(Data!$AL$2:$AL$1201)=0),"",$E48/SUM(Data!$AL$2:$AL$1201))</f>
        <v/>
      </c>
      <c r="H48" s="90" t="str">
        <f>IF(OR($B48="",SUMIFS(Data!$N$2:$N$1201,Data!$E$2:$E$1201,"timed")=0),"",SUMIFS(Data!$N$2:$N$1201,Data!$C$2:$C$1201,$B48)/SUMIFS(Data!$N$2:$N$1201,Data!$E$2:$E$1201,"timed"))</f>
        <v/>
      </c>
    </row>
    <row r="49" spans="2:8" x14ac:dyDescent="0.25">
      <c r="B49" s="59" t="str">
        <f>IF('Where it goes'!$C$33="","",'Where it goes'!$C$33)</f>
        <v/>
      </c>
      <c r="C49" s="53" t="str">
        <f>IF($B49="","",SUMIFS(Data!$N$2:$N$1201,Data!$C$2:$C$1201,$B49)/60)</f>
        <v/>
      </c>
      <c r="D49" s="87" t="str">
        <f t="shared" si="0"/>
        <v/>
      </c>
      <c r="E49" s="88" t="str">
        <f>IF($B49="","",SUMIFS(Data!$AL$2:$AL$1201,Data!$C$2:$C$1201,$B49))</f>
        <v/>
      </c>
      <c r="F49" s="89" t="str">
        <f t="shared" si="1"/>
        <v/>
      </c>
      <c r="G49" s="45" t="str">
        <f>IF(OR($B49="",SUM(Data!$AL$2:$AL$1201)=0),"",$E49/SUM(Data!$AL$2:$AL$1201))</f>
        <v/>
      </c>
      <c r="H49" s="90" t="str">
        <f>IF(OR($B49="",SUMIFS(Data!$N$2:$N$1201,Data!$E$2:$E$1201,"timed")=0),"",SUMIFS(Data!$N$2:$N$1201,Data!$C$2:$C$1201,$B49)/SUMIFS(Data!$N$2:$N$1201,Data!$E$2:$E$1201,"timed"))</f>
        <v/>
      </c>
    </row>
    <row r="50" spans="2:8" x14ac:dyDescent="0.25">
      <c r="B50" s="59" t="str">
        <f>IF('Where it goes'!$C$34="","",'Where it goes'!$C$34)</f>
        <v/>
      </c>
      <c r="C50" s="53" t="str">
        <f>IF($B50="","",SUMIFS(Data!$N$2:$N$1201,Data!$C$2:$C$1201,$B50)/60)</f>
        <v/>
      </c>
      <c r="D50" s="87" t="str">
        <f t="shared" si="0"/>
        <v/>
      </c>
      <c r="E50" s="88" t="str">
        <f>IF($B50="","",SUMIFS(Data!$AL$2:$AL$1201,Data!$C$2:$C$1201,$B50))</f>
        <v/>
      </c>
      <c r="F50" s="89" t="str">
        <f t="shared" si="1"/>
        <v/>
      </c>
      <c r="G50" s="45" t="str">
        <f>IF(OR($B50="",SUM(Data!$AL$2:$AL$1201)=0),"",$E50/SUM(Data!$AL$2:$AL$1201))</f>
        <v/>
      </c>
      <c r="H50" s="90" t="str">
        <f>IF(OR($B50="",SUMIFS(Data!$N$2:$N$1201,Data!$E$2:$E$1201,"timed")=0),"",SUMIFS(Data!$N$2:$N$1201,Data!$C$2:$C$1201,$B50)/SUMIFS(Data!$N$2:$N$1201,Data!$E$2:$E$1201,"timed"))</f>
        <v/>
      </c>
    </row>
    <row r="51" spans="2:8" x14ac:dyDescent="0.25">
      <c r="B51" s="59" t="str">
        <f>IF('Where it goes'!$C$35="","",'Where it goes'!$C$35)</f>
        <v/>
      </c>
      <c r="C51" s="53" t="str">
        <f>IF($B51="","",SUMIFS(Data!$N$2:$N$1201,Data!$C$2:$C$1201,$B51)/60)</f>
        <v/>
      </c>
      <c r="D51" s="87" t="str">
        <f t="shared" si="0"/>
        <v/>
      </c>
      <c r="E51" s="88" t="str">
        <f>IF($B51="","",SUMIFS(Data!$AL$2:$AL$1201,Data!$C$2:$C$1201,$B51))</f>
        <v/>
      </c>
      <c r="F51" s="89" t="str">
        <f t="shared" si="1"/>
        <v/>
      </c>
      <c r="G51" s="45" t="str">
        <f>IF(OR($B51="",SUM(Data!$AL$2:$AL$1201)=0),"",$E51/SUM(Data!$AL$2:$AL$1201))</f>
        <v/>
      </c>
      <c r="H51" s="90" t="str">
        <f>IF(OR($B51="",SUMIFS(Data!$N$2:$N$1201,Data!$E$2:$E$1201,"timed")=0),"",SUMIFS(Data!$N$2:$N$1201,Data!$C$2:$C$1201,$B51)/SUMIFS(Data!$N$2:$N$1201,Data!$E$2:$E$1201,"timed"))</f>
        <v/>
      </c>
    </row>
    <row r="52" spans="2:8" x14ac:dyDescent="0.25">
      <c r="B52" s="59" t="str">
        <f>IF('Where it goes'!$C$36="","",'Where it goes'!$C$36)</f>
        <v/>
      </c>
      <c r="C52" s="53" t="str">
        <f>IF($B52="","",SUMIFS(Data!$N$2:$N$1201,Data!$C$2:$C$1201,$B52)/60)</f>
        <v/>
      </c>
      <c r="D52" s="87" t="str">
        <f t="shared" si="0"/>
        <v/>
      </c>
      <c r="E52" s="88" t="str">
        <f>IF($B52="","",SUMIFS(Data!$AL$2:$AL$1201,Data!$C$2:$C$1201,$B52))</f>
        <v/>
      </c>
      <c r="F52" s="89" t="str">
        <f t="shared" si="1"/>
        <v/>
      </c>
      <c r="G52" s="45" t="str">
        <f>IF(OR($B52="",SUM(Data!$AL$2:$AL$1201)=0),"",$E52/SUM(Data!$AL$2:$AL$1201))</f>
        <v/>
      </c>
      <c r="H52" s="90" t="str">
        <f>IF(OR($B52="",SUMIFS(Data!$N$2:$N$1201,Data!$E$2:$E$1201,"timed")=0),"",SUMIFS(Data!$N$2:$N$1201,Data!$C$2:$C$1201,$B52)/SUMIFS(Data!$N$2:$N$1201,Data!$E$2:$E$1201,"timed"))</f>
        <v/>
      </c>
    </row>
    <row r="53" spans="2:8" x14ac:dyDescent="0.25">
      <c r="B53" s="59" t="str">
        <f>IF('Where it goes'!$C$37="","",'Where it goes'!$C$37)</f>
        <v/>
      </c>
      <c r="C53" s="53" t="str">
        <f>IF($B53="","",SUMIFS(Data!$N$2:$N$1201,Data!$C$2:$C$1201,$B53)/60)</f>
        <v/>
      </c>
      <c r="D53" s="87" t="str">
        <f t="shared" si="0"/>
        <v/>
      </c>
      <c r="E53" s="88" t="str">
        <f>IF($B53="","",SUMIFS(Data!$AL$2:$AL$1201,Data!$C$2:$C$1201,$B53))</f>
        <v/>
      </c>
      <c r="F53" s="89" t="str">
        <f t="shared" si="1"/>
        <v/>
      </c>
      <c r="G53" s="45" t="str">
        <f>IF(OR($B53="",SUM(Data!$AL$2:$AL$1201)=0),"",$E53/SUM(Data!$AL$2:$AL$1201))</f>
        <v/>
      </c>
      <c r="H53" s="90" t="str">
        <f>IF(OR($B53="",SUMIFS(Data!$N$2:$N$1201,Data!$E$2:$E$1201,"timed")=0),"",SUMIFS(Data!$N$2:$N$1201,Data!$C$2:$C$1201,$B53)/SUMIFS(Data!$N$2:$N$1201,Data!$E$2:$E$1201,"timed"))</f>
        <v/>
      </c>
    </row>
    <row r="54" spans="2:8" x14ac:dyDescent="0.25">
      <c r="B54" s="59" t="str">
        <f>IF('Where it goes'!$C$38="","",'Where it goes'!$C$38)</f>
        <v/>
      </c>
      <c r="C54" s="53" t="str">
        <f>IF($B54="","",SUMIFS(Data!$N$2:$N$1201,Data!$C$2:$C$1201,$B54)/60)</f>
        <v/>
      </c>
      <c r="D54" s="87" t="str">
        <f t="shared" si="0"/>
        <v/>
      </c>
      <c r="E54" s="88" t="str">
        <f>IF($B54="","",SUMIFS(Data!$AL$2:$AL$1201,Data!$C$2:$C$1201,$B54))</f>
        <v/>
      </c>
      <c r="F54" s="89" t="str">
        <f t="shared" si="1"/>
        <v/>
      </c>
      <c r="G54" s="45" t="str">
        <f>IF(OR($B54="",SUM(Data!$AL$2:$AL$1201)=0),"",$E54/SUM(Data!$AL$2:$AL$1201))</f>
        <v/>
      </c>
      <c r="H54" s="90" t="str">
        <f>IF(OR($B54="",SUMIFS(Data!$N$2:$N$1201,Data!$E$2:$E$1201,"timed")=0),"",SUMIFS(Data!$N$2:$N$1201,Data!$C$2:$C$1201,$B54)/SUMIFS(Data!$N$2:$N$1201,Data!$E$2:$E$1201,"timed"))</f>
        <v/>
      </c>
    </row>
    <row r="55" spans="2:8" x14ac:dyDescent="0.25">
      <c r="B55" s="59" t="str">
        <f>IF('Where it goes'!$C$39="","",'Where it goes'!$C$39)</f>
        <v/>
      </c>
      <c r="C55" s="53" t="str">
        <f>IF($B55="","",SUMIFS(Data!$N$2:$N$1201,Data!$C$2:$C$1201,$B55)/60)</f>
        <v/>
      </c>
      <c r="D55" s="87" t="str">
        <f t="shared" si="0"/>
        <v/>
      </c>
      <c r="E55" s="88" t="str">
        <f>IF($B55="","",SUMIFS(Data!$AL$2:$AL$1201,Data!$C$2:$C$1201,$B55))</f>
        <v/>
      </c>
      <c r="F55" s="89" t="str">
        <f t="shared" si="1"/>
        <v/>
      </c>
      <c r="G55" s="45" t="str">
        <f>IF(OR($B55="",SUM(Data!$AL$2:$AL$1201)=0),"",$E55/SUM(Data!$AL$2:$AL$1201))</f>
        <v/>
      </c>
      <c r="H55" s="90" t="str">
        <f>IF(OR($B55="",SUMIFS(Data!$N$2:$N$1201,Data!$E$2:$E$1201,"timed")=0),"",SUMIFS(Data!$N$2:$N$1201,Data!$C$2:$C$1201,$B55)/SUMIFS(Data!$N$2:$N$1201,Data!$E$2:$E$1201,"timed"))</f>
        <v/>
      </c>
    </row>
    <row r="56" spans="2:8" x14ac:dyDescent="0.25">
      <c r="B56" s="59" t="str">
        <f>IF('Where it goes'!$C$40="","",'Where it goes'!$C$40)</f>
        <v/>
      </c>
      <c r="C56" s="53" t="str">
        <f>IF($B56="","",SUMIFS(Data!$N$2:$N$1201,Data!$C$2:$C$1201,$B56)/60)</f>
        <v/>
      </c>
      <c r="D56" s="87" t="str">
        <f t="shared" si="0"/>
        <v/>
      </c>
      <c r="E56" s="88" t="str">
        <f>IF($B56="","",SUMIFS(Data!$AL$2:$AL$1201,Data!$C$2:$C$1201,$B56))</f>
        <v/>
      </c>
      <c r="F56" s="89" t="str">
        <f t="shared" si="1"/>
        <v/>
      </c>
      <c r="G56" s="45" t="str">
        <f>IF(OR($B56="",SUM(Data!$AL$2:$AL$1201)=0),"",$E56/SUM(Data!$AL$2:$AL$1201))</f>
        <v/>
      </c>
      <c r="H56" s="90" t="str">
        <f>IF(OR($B56="",SUMIFS(Data!$N$2:$N$1201,Data!$E$2:$E$1201,"timed")=0),"",SUMIFS(Data!$N$2:$N$1201,Data!$C$2:$C$1201,$B56)/SUMIFS(Data!$N$2:$N$1201,Data!$E$2:$E$1201,"timed"))</f>
        <v/>
      </c>
    </row>
    <row r="57" spans="2:8" x14ac:dyDescent="0.25">
      <c r="B57" s="59" t="str">
        <f>IF('Where it goes'!$C$41="","",'Where it goes'!$C$41)</f>
        <v/>
      </c>
      <c r="C57" s="53" t="str">
        <f>IF($B57="","",SUMIFS(Data!$N$2:$N$1201,Data!$C$2:$C$1201,$B57)/60)</f>
        <v/>
      </c>
      <c r="D57" s="87" t="str">
        <f t="shared" si="0"/>
        <v/>
      </c>
      <c r="E57" s="88" t="str">
        <f>IF($B57="","",SUMIFS(Data!$AL$2:$AL$1201,Data!$C$2:$C$1201,$B57))</f>
        <v/>
      </c>
      <c r="F57" s="89" t="str">
        <f t="shared" si="1"/>
        <v/>
      </c>
      <c r="G57" s="45" t="str">
        <f>IF(OR($B57="",SUM(Data!$AL$2:$AL$1201)=0),"",$E57/SUM(Data!$AL$2:$AL$1201))</f>
        <v/>
      </c>
      <c r="H57" s="90" t="str">
        <f>IF(OR($B57="",SUMIFS(Data!$N$2:$N$1201,Data!$E$2:$E$1201,"timed")=0),"",SUMIFS(Data!$N$2:$N$1201,Data!$C$2:$C$1201,$B57)/SUMIFS(Data!$N$2:$N$1201,Data!$E$2:$E$1201,"timed"))</f>
        <v/>
      </c>
    </row>
    <row r="58" spans="2:8" x14ac:dyDescent="0.25">
      <c r="B58" s="59" t="str">
        <f>IF('Where it goes'!$C$42="","",'Where it goes'!$C$42)</f>
        <v/>
      </c>
      <c r="C58" s="53" t="str">
        <f>IF($B58="","",SUMIFS(Data!$N$2:$N$1201,Data!$C$2:$C$1201,$B58)/60)</f>
        <v/>
      </c>
      <c r="D58" s="87" t="str">
        <f t="shared" si="0"/>
        <v/>
      </c>
      <c r="E58" s="88" t="str">
        <f>IF($B58="","",SUMIFS(Data!$AL$2:$AL$1201,Data!$C$2:$C$1201,$B58))</f>
        <v/>
      </c>
      <c r="F58" s="89" t="str">
        <f t="shared" si="1"/>
        <v/>
      </c>
      <c r="G58" s="45" t="str">
        <f>IF(OR($B58="",SUM(Data!$AL$2:$AL$1201)=0),"",$E58/SUM(Data!$AL$2:$AL$1201))</f>
        <v/>
      </c>
      <c r="H58" s="90" t="str">
        <f>IF(OR($B58="",SUMIFS(Data!$N$2:$N$1201,Data!$E$2:$E$1201,"timed")=0),"",SUMIFS(Data!$N$2:$N$1201,Data!$C$2:$C$1201,$B58)/SUMIFS(Data!$N$2:$N$1201,Data!$E$2:$E$1201,"timed"))</f>
        <v/>
      </c>
    </row>
    <row r="59" spans="2:8" x14ac:dyDescent="0.25">
      <c r="B59" s="59" t="str">
        <f>IF('Where it goes'!$C$43="","",'Where it goes'!$C$43)</f>
        <v/>
      </c>
      <c r="C59" s="53" t="str">
        <f>IF($B59="","",SUMIFS(Data!$N$2:$N$1201,Data!$C$2:$C$1201,$B59)/60)</f>
        <v/>
      </c>
      <c r="D59" s="87" t="str">
        <f t="shared" si="0"/>
        <v/>
      </c>
      <c r="E59" s="88" t="str">
        <f>IF($B59="","",SUMIFS(Data!$AL$2:$AL$1201,Data!$C$2:$C$1201,$B59))</f>
        <v/>
      </c>
      <c r="F59" s="89" t="str">
        <f t="shared" si="1"/>
        <v/>
      </c>
      <c r="G59" s="45" t="str">
        <f>IF(OR($B59="",SUM(Data!$AL$2:$AL$1201)=0),"",$E59/SUM(Data!$AL$2:$AL$1201))</f>
        <v/>
      </c>
      <c r="H59" s="90" t="str">
        <f>IF(OR($B59="",SUMIFS(Data!$N$2:$N$1201,Data!$E$2:$E$1201,"timed")=0),"",SUMIFS(Data!$N$2:$N$1201,Data!$C$2:$C$1201,$B59)/SUMIFS(Data!$N$2:$N$1201,Data!$E$2:$E$1201,"timed"))</f>
        <v/>
      </c>
    </row>
    <row r="60" spans="2:8" x14ac:dyDescent="0.25">
      <c r="B60" s="59" t="str">
        <f>IF('Where it goes'!$C$44="","",'Where it goes'!$C$44)</f>
        <v/>
      </c>
      <c r="C60" s="53" t="str">
        <f>IF($B60="","",SUMIFS(Data!$N$2:$N$1201,Data!$C$2:$C$1201,$B60)/60)</f>
        <v/>
      </c>
      <c r="D60" s="87" t="str">
        <f t="shared" si="0"/>
        <v/>
      </c>
      <c r="E60" s="88" t="str">
        <f>IF($B60="","",SUMIFS(Data!$AL$2:$AL$1201,Data!$C$2:$C$1201,$B60))</f>
        <v/>
      </c>
      <c r="F60" s="89" t="str">
        <f t="shared" si="1"/>
        <v/>
      </c>
      <c r="G60" s="45" t="str">
        <f>IF(OR($B60="",SUM(Data!$AL$2:$AL$1201)=0),"",$E60/SUM(Data!$AL$2:$AL$1201))</f>
        <v/>
      </c>
      <c r="H60" s="90" t="str">
        <f>IF(OR($B60="",SUMIFS(Data!$N$2:$N$1201,Data!$E$2:$E$1201,"timed")=0),"",SUMIFS(Data!$N$2:$N$1201,Data!$C$2:$C$1201,$B60)/SUMIFS(Data!$N$2:$N$1201,Data!$E$2:$E$1201,"timed"))</f>
        <v/>
      </c>
    </row>
    <row r="61" spans="2:8" x14ac:dyDescent="0.25">
      <c r="B61" s="59" t="str">
        <f>IF('Where it goes'!$C$45="","",'Where it goes'!$C$45)</f>
        <v/>
      </c>
      <c r="C61" s="53" t="str">
        <f>IF($B61="","",SUMIFS(Data!$N$2:$N$1201,Data!$C$2:$C$1201,$B61)/60)</f>
        <v/>
      </c>
      <c r="D61" s="87" t="str">
        <f t="shared" si="0"/>
        <v/>
      </c>
      <c r="E61" s="88" t="str">
        <f>IF($B61="","",SUMIFS(Data!$AL$2:$AL$1201,Data!$C$2:$C$1201,$B61))</f>
        <v/>
      </c>
      <c r="F61" s="89" t="str">
        <f t="shared" si="1"/>
        <v/>
      </c>
      <c r="G61" s="45" t="str">
        <f>IF(OR($B61="",SUM(Data!$AL$2:$AL$1201)=0),"",$E61/SUM(Data!$AL$2:$AL$1201))</f>
        <v/>
      </c>
      <c r="H61" s="90" t="str">
        <f>IF(OR($B61="",SUMIFS(Data!$N$2:$N$1201,Data!$E$2:$E$1201,"timed")=0),"",SUMIFS(Data!$N$2:$N$1201,Data!$C$2:$C$1201,$B61)/SUMIFS(Data!$N$2:$N$1201,Data!$E$2:$E$1201,"timed"))</f>
        <v/>
      </c>
    </row>
    <row r="62" spans="2:8" x14ac:dyDescent="0.25">
      <c r="B62" s="59" t="str">
        <f>IF('Where it goes'!$C$46="","",'Where it goes'!$C$46)</f>
        <v/>
      </c>
      <c r="C62" s="53" t="str">
        <f>IF($B62="","",SUMIFS(Data!$N$2:$N$1201,Data!$C$2:$C$1201,$B62)/60)</f>
        <v/>
      </c>
      <c r="D62" s="87" t="str">
        <f t="shared" si="0"/>
        <v/>
      </c>
      <c r="E62" s="88" t="str">
        <f>IF($B62="","",SUMIFS(Data!$AL$2:$AL$1201,Data!$C$2:$C$1201,$B62))</f>
        <v/>
      </c>
      <c r="F62" s="89" t="str">
        <f t="shared" si="1"/>
        <v/>
      </c>
      <c r="G62" s="45" t="str">
        <f>IF(OR($B62="",SUM(Data!$AL$2:$AL$1201)=0),"",$E62/SUM(Data!$AL$2:$AL$1201))</f>
        <v/>
      </c>
      <c r="H62" s="90" t="str">
        <f>IF(OR($B62="",SUMIFS(Data!$N$2:$N$1201,Data!$E$2:$E$1201,"timed")=0),"",SUMIFS(Data!$N$2:$N$1201,Data!$C$2:$C$1201,$B62)/SUMIFS(Data!$N$2:$N$1201,Data!$E$2:$E$1201,"timed"))</f>
        <v/>
      </c>
    </row>
    <row r="63" spans="2:8" x14ac:dyDescent="0.25">
      <c r="B63" s="59" t="str">
        <f>IF('Where it goes'!$C$47="","",'Where it goes'!$C$47)</f>
        <v/>
      </c>
      <c r="C63" s="53" t="str">
        <f>IF($B63="","",SUMIFS(Data!$N$2:$N$1201,Data!$C$2:$C$1201,$B63)/60)</f>
        <v/>
      </c>
      <c r="D63" s="87" t="str">
        <f t="shared" si="0"/>
        <v/>
      </c>
      <c r="E63" s="88" t="str">
        <f>IF($B63="","",SUMIFS(Data!$AL$2:$AL$1201,Data!$C$2:$C$1201,$B63))</f>
        <v/>
      </c>
      <c r="F63" s="89" t="str">
        <f t="shared" si="1"/>
        <v/>
      </c>
      <c r="G63" s="45" t="str">
        <f>IF(OR($B63="",SUM(Data!$AL$2:$AL$1201)=0),"",$E63/SUM(Data!$AL$2:$AL$1201))</f>
        <v/>
      </c>
      <c r="H63" s="90" t="str">
        <f>IF(OR($B63="",SUMIFS(Data!$N$2:$N$1201,Data!$E$2:$E$1201,"timed")=0),"",SUMIFS(Data!$N$2:$N$1201,Data!$C$2:$C$1201,$B63)/SUMIFS(Data!$N$2:$N$1201,Data!$E$2:$E$1201,"timed"))</f>
        <v/>
      </c>
    </row>
    <row r="64" spans="2:8" x14ac:dyDescent="0.25">
      <c r="B64" s="59" t="str">
        <f>IF('Where it goes'!$C$48="","",'Where it goes'!$C$48)</f>
        <v/>
      </c>
      <c r="C64" s="53" t="str">
        <f>IF($B64="","",SUMIFS(Data!$N$2:$N$1201,Data!$C$2:$C$1201,$B64)/60)</f>
        <v/>
      </c>
      <c r="D64" s="87" t="str">
        <f t="shared" si="0"/>
        <v/>
      </c>
      <c r="E64" s="88" t="str">
        <f>IF($B64="","",SUMIFS(Data!$AL$2:$AL$1201,Data!$C$2:$C$1201,$B64))</f>
        <v/>
      </c>
      <c r="F64" s="89" t="str">
        <f t="shared" si="1"/>
        <v/>
      </c>
      <c r="G64" s="45" t="str">
        <f>IF(OR($B64="",SUM(Data!$AL$2:$AL$1201)=0),"",$E64/SUM(Data!$AL$2:$AL$1201))</f>
        <v/>
      </c>
      <c r="H64" s="90" t="str">
        <f>IF(OR($B64="",SUMIFS(Data!$N$2:$N$1201,Data!$E$2:$E$1201,"timed")=0),"",SUMIFS(Data!$N$2:$N$1201,Data!$C$2:$C$1201,$B64)/SUMIFS(Data!$N$2:$N$1201,Data!$E$2:$E$1201,"timed"))</f>
        <v/>
      </c>
    </row>
    <row r="65" spans="2:8" x14ac:dyDescent="0.25">
      <c r="B65" s="59" t="str">
        <f>IF('Where it goes'!$C$49="","",'Where it goes'!$C$49)</f>
        <v/>
      </c>
      <c r="C65" s="53" t="str">
        <f>IF($B65="","",SUMIFS(Data!$N$2:$N$1201,Data!$C$2:$C$1201,$B65)/60)</f>
        <v/>
      </c>
      <c r="D65" s="87" t="str">
        <f t="shared" si="0"/>
        <v/>
      </c>
      <c r="E65" s="88" t="str">
        <f>IF($B65="","",SUMIFS(Data!$AL$2:$AL$1201,Data!$C$2:$C$1201,$B65))</f>
        <v/>
      </c>
      <c r="F65" s="89" t="str">
        <f t="shared" si="1"/>
        <v/>
      </c>
      <c r="G65" s="45" t="str">
        <f>IF(OR($B65="",SUM(Data!$AL$2:$AL$1201)=0),"",$E65/SUM(Data!$AL$2:$AL$1201))</f>
        <v/>
      </c>
      <c r="H65" s="90" t="str">
        <f>IF(OR($B65="",SUMIFS(Data!$N$2:$N$1201,Data!$E$2:$E$1201,"timed")=0),"",SUMIFS(Data!$N$2:$N$1201,Data!$C$2:$C$1201,$B65)/SUMIFS(Data!$N$2:$N$1201,Data!$E$2:$E$1201,"timed"))</f>
        <v/>
      </c>
    </row>
    <row r="67" spans="2:8" x14ac:dyDescent="0.25">
      <c r="B67" s="160" t="s">
        <v>192</v>
      </c>
      <c r="C67" s="160"/>
      <c r="D67" s="160"/>
      <c r="E67" s="160"/>
      <c r="F67" s="160"/>
      <c r="G67" s="160"/>
      <c r="H67" s="160"/>
    </row>
  </sheetData>
  <mergeCells count="2">
    <mergeCell ref="B3:I3"/>
    <mergeCell ref="B67:H67"/>
  </mergeCells>
  <conditionalFormatting sqref="B26:H65">
    <cfRule type="expression" dxfId="2" priority="3">
      <formula>$B26&lt;&gt;""</formula>
    </cfRule>
  </conditionalFormatting>
  <conditionalFormatting sqref="F26:F65">
    <cfRule type="dataBar" priority="2">
      <dataBar showValue="0">
        <cfvo type="num" val="0"/>
        <cfvo type="max"/>
        <color rgb="FF1BAF7A"/>
      </dataBar>
      <extLst>
        <ext xmlns:x14="http://schemas.microsoft.com/office/spreadsheetml/2009/9/main" uri="{B025F937-C7B1-47D3-B67F-A62EFF666E3E}">
          <x14:id>{15C7AFFD-80F8-4DFB-AD14-5916C9C511FF}</x14:id>
        </ext>
      </extLst>
    </cfRule>
  </conditionalFormatting>
  <pageMargins left="0.75" right="0.75" top="1" bottom="1" header="0.511811023622047" footer="0.511811023622047"/>
  <pageSetup paperSize="9" orientation="portrait" horizontalDpi="300" verticalDpi="300"/>
  <extLst>
    <ext xmlns:x14="http://schemas.microsoft.com/office/spreadsheetml/2009/9/main" uri="{78C0D931-6437-407d-A8EE-F0AAD7539E65}">
      <x14:conditionalFormattings>
        <x14:conditionalFormatting xmlns:xm="http://schemas.microsoft.com/office/excel/2006/main">
          <x14:cfRule type="dataBar" id="{15C7AFFD-80F8-4DFB-AD14-5916C9C511FF}">
            <x14:dataBar minLength="0" maxLength="100" gradient="0" axisPosition="none">
              <x14:cfvo type="num">
                <xm:f>0</xm:f>
              </x14:cfvo>
              <x14:cfvo type="max"/>
              <x14:negativeFillColor rgb="FF1BAF7A"/>
            </x14:dataBar>
          </x14:cfRule>
          <xm:sqref>F26:F65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03B3B"/>
  </sheetPr>
  <dimension ref="B2:E41"/>
  <sheetViews>
    <sheetView showGridLines="0" zoomScaleNormal="100" workbookViewId="0">
      <selection activeCell="D18" sqref="D18"/>
    </sheetView>
  </sheetViews>
  <sheetFormatPr defaultColWidth="8.7109375" defaultRowHeight="15" x14ac:dyDescent="0.25"/>
  <cols>
    <col min="1" max="1" width="3" customWidth="1"/>
    <col min="2" max="2" width="34" customWidth="1"/>
    <col min="3" max="4" width="13" customWidth="1"/>
    <col min="5" max="5" width="14" customWidth="1"/>
  </cols>
  <sheetData>
    <row r="2" spans="2:5" ht="25.5" customHeight="1" x14ac:dyDescent="0.35">
      <c r="B2" s="35" t="s">
        <v>193</v>
      </c>
    </row>
    <row r="3" spans="2:5" ht="15.75" customHeight="1" x14ac:dyDescent="0.25">
      <c r="B3" s="157" t="s">
        <v>194</v>
      </c>
      <c r="C3" s="157"/>
      <c r="D3" s="157"/>
      <c r="E3" s="157"/>
    </row>
    <row r="6" spans="2:5" x14ac:dyDescent="0.25">
      <c r="B6" s="37" t="s">
        <v>195</v>
      </c>
      <c r="C6" s="38"/>
      <c r="D6" s="38"/>
      <c r="E6" s="38"/>
    </row>
    <row r="8" spans="2:5" ht="18.75" customHeight="1" x14ac:dyDescent="0.25">
      <c r="B8" s="66" t="s">
        <v>196</v>
      </c>
      <c r="C8" s="91">
        <f>COUNTA(Data!$A$2:$A$1201)</f>
        <v>94</v>
      </c>
      <c r="D8" s="68"/>
      <c r="E8" s="92" t="s">
        <v>197</v>
      </c>
    </row>
    <row r="9" spans="2:5" ht="18.75" customHeight="1" x14ac:dyDescent="0.25">
      <c r="B9" s="66" t="s">
        <v>198</v>
      </c>
      <c r="C9" s="91">
        <f>COUNTIF(Data!$E$2:$E$1201,"timed")</f>
        <v>83</v>
      </c>
      <c r="D9" s="68"/>
      <c r="E9" s="92" t="s">
        <v>199</v>
      </c>
    </row>
    <row r="10" spans="2:5" ht="18.75" customHeight="1" x14ac:dyDescent="0.25">
      <c r="B10" s="66" t="s">
        <v>200</v>
      </c>
      <c r="C10" s="91">
        <f>COUNTIF(Data!$X$2:$X$1201,1)</f>
        <v>5</v>
      </c>
      <c r="D10" s="68"/>
      <c r="E10" s="92" t="s">
        <v>201</v>
      </c>
    </row>
    <row r="11" spans="2:5" ht="18.75" customHeight="1" x14ac:dyDescent="0.25">
      <c r="B11" s="66" t="s">
        <v>202</v>
      </c>
      <c r="C11" s="91">
        <f>SUM(Data!$Z$2:$Z$1201)</f>
        <v>0</v>
      </c>
      <c r="D11" s="68"/>
      <c r="E11" s="92" t="s">
        <v>203</v>
      </c>
    </row>
    <row r="12" spans="2:5" ht="18.75" customHeight="1" x14ac:dyDescent="0.25">
      <c r="B12" s="66" t="s">
        <v>204</v>
      </c>
      <c r="C12" s="67">
        <f>SUMIFS(Data!$N$2:$N$1201,Data!$Z$2:$Z$1201,1)/60</f>
        <v>0</v>
      </c>
      <c r="D12" s="68"/>
      <c r="E12" s="92" t="s">
        <v>205</v>
      </c>
    </row>
    <row r="13" spans="2:5" ht="18.75" customHeight="1" x14ac:dyDescent="0.25">
      <c r="B13" s="66" t="s">
        <v>206</v>
      </c>
      <c r="C13" s="91">
        <f>SUM(Data!$AA$2:$AA$1201)</f>
        <v>0</v>
      </c>
      <c r="D13" s="68"/>
      <c r="E13" s="92" t="s">
        <v>207</v>
      </c>
    </row>
    <row r="14" spans="2:5" ht="18.75" customHeight="1" x14ac:dyDescent="0.25">
      <c r="B14" s="66" t="s">
        <v>208</v>
      </c>
      <c r="C14" s="91">
        <f>(COUNTA(Data!$A$2:$A$1201)-COUNT(Data!$S$2:$S$1201))</f>
        <v>0</v>
      </c>
      <c r="D14" s="68"/>
      <c r="E14" s="92" t="s">
        <v>209</v>
      </c>
    </row>
    <row r="15" spans="2:5" ht="18.75" customHeight="1" x14ac:dyDescent="0.25">
      <c r="B15" s="66" t="s">
        <v>210</v>
      </c>
      <c r="C15" s="91">
        <f>COUNTIFS(Data!$E$2:$E$1201,"timed",Data!$C$2:$C$1201,"")</f>
        <v>0</v>
      </c>
      <c r="D15" s="68"/>
      <c r="E15" s="92" t="s">
        <v>211</v>
      </c>
    </row>
    <row r="16" spans="2:5" ht="18.75" customHeight="1" x14ac:dyDescent="0.25">
      <c r="B16" s="66" t="s">
        <v>212</v>
      </c>
      <c r="C16" s="91">
        <f>COUNTIFS(Rhythm!$D$10:$D$209,"&gt;0",Rhythm!$D$10:$D$209,"&lt;1")</f>
        <v>0</v>
      </c>
      <c r="D16" s="68"/>
      <c r="E16" s="92" t="s">
        <v>213</v>
      </c>
    </row>
    <row r="17" spans="2:5" ht="18.75" customHeight="1" x14ac:dyDescent="0.25">
      <c r="B17" s="66" t="s">
        <v>214</v>
      </c>
      <c r="C17" s="91">
        <f>COUNTIFS(Data!$AH$2:$AH$1201,"&gt;60")</f>
        <v>1</v>
      </c>
      <c r="D17" s="68"/>
      <c r="E17" s="92" t="s">
        <v>215</v>
      </c>
    </row>
    <row r="18" spans="2:5" ht="18.75" customHeight="1" x14ac:dyDescent="0.25">
      <c r="B18" s="66" t="s">
        <v>216</v>
      </c>
      <c r="C18" s="73">
        <f>MAX(Data!$N$2:$N$1201)</f>
        <v>172.41</v>
      </c>
      <c r="D18" s="68"/>
      <c r="E18" s="92" t="s">
        <v>217</v>
      </c>
    </row>
    <row r="21" spans="2:5" x14ac:dyDescent="0.25">
      <c r="B21" s="37" t="s">
        <v>218</v>
      </c>
      <c r="C21" s="38"/>
      <c r="D21" s="38"/>
      <c r="E21" s="38"/>
    </row>
    <row r="22" spans="2:5" x14ac:dyDescent="0.25">
      <c r="B22" s="39" t="s">
        <v>219</v>
      </c>
    </row>
    <row r="24" spans="2:5" x14ac:dyDescent="0.25">
      <c r="B24" s="40" t="s">
        <v>103</v>
      </c>
      <c r="C24" s="40" t="s">
        <v>94</v>
      </c>
      <c r="D24" s="40" t="s">
        <v>220</v>
      </c>
      <c r="E24" s="41" t="s">
        <v>221</v>
      </c>
    </row>
    <row r="25" spans="2:5" x14ac:dyDescent="0.25">
      <c r="B25" s="59" t="str">
        <f>IFERROR(INDEX(Data!$B$2:$B$1201,MATCH(LARGE(Data!$AN$2:$AN$1201,1),Data!$AN$2:$AN$1201,0)),"")</f>
        <v/>
      </c>
      <c r="C25" s="50" t="str">
        <f>IF($B25="","",IFERROR(INDEX(Data!$C$2:$C$1201,MATCH(LARGE(Data!$AN$2:$AN$1201,1),Data!$AN$2:$AN$1201,0)),""))</f>
        <v/>
      </c>
      <c r="D25" s="51" t="str">
        <f>IF($B25="","",IFERROR(INDEX(Data!$S$2:$S$1201,MATCH(LARGE(Data!$AN$2:$AN$1201,1),Data!$AN$2:$AN$1201,0)),""))</f>
        <v/>
      </c>
      <c r="E25" s="93" t="str">
        <f>IF($B25="","",IFERROR(INDEX(Data!$N$2:$N$1201,MATCH(LARGE(Data!$AN$2:$AN$1201,1),Data!$AN$2:$AN$1201,0))/60,""))</f>
        <v/>
      </c>
    </row>
    <row r="26" spans="2:5" x14ac:dyDescent="0.25">
      <c r="B26" s="59" t="str">
        <f>IFERROR(INDEX(Data!$B$2:$B$1201,MATCH(LARGE(Data!$AN$2:$AN$1201,2),Data!$AN$2:$AN$1201,0)),"")</f>
        <v/>
      </c>
      <c r="C26" s="50" t="str">
        <f>IF($B26="","",IFERROR(INDEX(Data!$C$2:$C$1201,MATCH(LARGE(Data!$AN$2:$AN$1201,2),Data!$AN$2:$AN$1201,0)),""))</f>
        <v/>
      </c>
      <c r="D26" s="51" t="str">
        <f>IF($B26="","",IFERROR(INDEX(Data!$S$2:$S$1201,MATCH(LARGE(Data!$AN$2:$AN$1201,2),Data!$AN$2:$AN$1201,0)),""))</f>
        <v/>
      </c>
      <c r="E26" s="93" t="str">
        <f>IF($B26="","",IFERROR(INDEX(Data!$N$2:$N$1201,MATCH(LARGE(Data!$AN$2:$AN$1201,2),Data!$AN$2:$AN$1201,0))/60,""))</f>
        <v/>
      </c>
    </row>
    <row r="27" spans="2:5" x14ac:dyDescent="0.25">
      <c r="B27" s="59" t="str">
        <f>IFERROR(INDEX(Data!$B$2:$B$1201,MATCH(LARGE(Data!$AN$2:$AN$1201,3),Data!$AN$2:$AN$1201,0)),"")</f>
        <v/>
      </c>
      <c r="C27" s="50" t="str">
        <f>IF($B27="","",IFERROR(INDEX(Data!$C$2:$C$1201,MATCH(LARGE(Data!$AN$2:$AN$1201,3),Data!$AN$2:$AN$1201,0)),""))</f>
        <v/>
      </c>
      <c r="D27" s="51" t="str">
        <f>IF($B27="","",IFERROR(INDEX(Data!$S$2:$S$1201,MATCH(LARGE(Data!$AN$2:$AN$1201,3),Data!$AN$2:$AN$1201,0)),""))</f>
        <v/>
      </c>
      <c r="E27" s="93" t="str">
        <f>IF($B27="","",IFERROR(INDEX(Data!$N$2:$N$1201,MATCH(LARGE(Data!$AN$2:$AN$1201,3),Data!$AN$2:$AN$1201,0))/60,""))</f>
        <v/>
      </c>
    </row>
    <row r="28" spans="2:5" x14ac:dyDescent="0.25">
      <c r="B28" s="59" t="str">
        <f>IFERROR(INDEX(Data!$B$2:$B$1201,MATCH(LARGE(Data!$AN$2:$AN$1201,4),Data!$AN$2:$AN$1201,0)),"")</f>
        <v/>
      </c>
      <c r="C28" s="50" t="str">
        <f>IF($B28="","",IFERROR(INDEX(Data!$C$2:$C$1201,MATCH(LARGE(Data!$AN$2:$AN$1201,4),Data!$AN$2:$AN$1201,0)),""))</f>
        <v/>
      </c>
      <c r="D28" s="51" t="str">
        <f>IF($B28="","",IFERROR(INDEX(Data!$S$2:$S$1201,MATCH(LARGE(Data!$AN$2:$AN$1201,4),Data!$AN$2:$AN$1201,0)),""))</f>
        <v/>
      </c>
      <c r="E28" s="93" t="str">
        <f>IF($B28="","",IFERROR(INDEX(Data!$N$2:$N$1201,MATCH(LARGE(Data!$AN$2:$AN$1201,4),Data!$AN$2:$AN$1201,0))/60,""))</f>
        <v/>
      </c>
    </row>
    <row r="29" spans="2:5" x14ac:dyDescent="0.25">
      <c r="B29" s="59" t="str">
        <f>IFERROR(INDEX(Data!$B$2:$B$1201,MATCH(LARGE(Data!$AN$2:$AN$1201,5),Data!$AN$2:$AN$1201,0)),"")</f>
        <v/>
      </c>
      <c r="C29" s="50" t="str">
        <f>IF($B29="","",IFERROR(INDEX(Data!$C$2:$C$1201,MATCH(LARGE(Data!$AN$2:$AN$1201,5),Data!$AN$2:$AN$1201,0)),""))</f>
        <v/>
      </c>
      <c r="D29" s="51" t="str">
        <f>IF($B29="","",IFERROR(INDEX(Data!$S$2:$S$1201,MATCH(LARGE(Data!$AN$2:$AN$1201,5),Data!$AN$2:$AN$1201,0)),""))</f>
        <v/>
      </c>
      <c r="E29" s="93" t="str">
        <f>IF($B29="","",IFERROR(INDEX(Data!$N$2:$N$1201,MATCH(LARGE(Data!$AN$2:$AN$1201,5),Data!$AN$2:$AN$1201,0))/60,""))</f>
        <v/>
      </c>
    </row>
    <row r="30" spans="2:5" x14ac:dyDescent="0.25">
      <c r="B30" s="59" t="str">
        <f>IFERROR(INDEX(Data!$B$2:$B$1201,MATCH(LARGE(Data!$AN$2:$AN$1201,6),Data!$AN$2:$AN$1201,0)),"")</f>
        <v/>
      </c>
      <c r="C30" s="50" t="str">
        <f>IF($B30="","",IFERROR(INDEX(Data!$C$2:$C$1201,MATCH(LARGE(Data!$AN$2:$AN$1201,6),Data!$AN$2:$AN$1201,0)),""))</f>
        <v/>
      </c>
      <c r="D30" s="51" t="str">
        <f>IF($B30="","",IFERROR(INDEX(Data!$S$2:$S$1201,MATCH(LARGE(Data!$AN$2:$AN$1201,6),Data!$AN$2:$AN$1201,0)),""))</f>
        <v/>
      </c>
      <c r="E30" s="93" t="str">
        <f>IF($B30="","",IFERROR(INDEX(Data!$N$2:$N$1201,MATCH(LARGE(Data!$AN$2:$AN$1201,6),Data!$AN$2:$AN$1201,0))/60,""))</f>
        <v/>
      </c>
    </row>
    <row r="31" spans="2:5" x14ac:dyDescent="0.25">
      <c r="B31" s="59" t="str">
        <f>IFERROR(INDEX(Data!$B$2:$B$1201,MATCH(LARGE(Data!$AN$2:$AN$1201,7),Data!$AN$2:$AN$1201,0)),"")</f>
        <v/>
      </c>
      <c r="C31" s="50" t="str">
        <f>IF($B31="","",IFERROR(INDEX(Data!$C$2:$C$1201,MATCH(LARGE(Data!$AN$2:$AN$1201,7),Data!$AN$2:$AN$1201,0)),""))</f>
        <v/>
      </c>
      <c r="D31" s="51" t="str">
        <f>IF($B31="","",IFERROR(INDEX(Data!$S$2:$S$1201,MATCH(LARGE(Data!$AN$2:$AN$1201,7),Data!$AN$2:$AN$1201,0)),""))</f>
        <v/>
      </c>
      <c r="E31" s="93" t="str">
        <f>IF($B31="","",IFERROR(INDEX(Data!$N$2:$N$1201,MATCH(LARGE(Data!$AN$2:$AN$1201,7),Data!$AN$2:$AN$1201,0))/60,""))</f>
        <v/>
      </c>
    </row>
    <row r="32" spans="2:5" x14ac:dyDescent="0.25">
      <c r="B32" s="59" t="str">
        <f>IFERROR(INDEX(Data!$B$2:$B$1201,MATCH(LARGE(Data!$AN$2:$AN$1201,8),Data!$AN$2:$AN$1201,0)),"")</f>
        <v/>
      </c>
      <c r="C32" s="50" t="str">
        <f>IF($B32="","",IFERROR(INDEX(Data!$C$2:$C$1201,MATCH(LARGE(Data!$AN$2:$AN$1201,8),Data!$AN$2:$AN$1201,0)),""))</f>
        <v/>
      </c>
      <c r="D32" s="51" t="str">
        <f>IF($B32="","",IFERROR(INDEX(Data!$S$2:$S$1201,MATCH(LARGE(Data!$AN$2:$AN$1201,8),Data!$AN$2:$AN$1201,0)),""))</f>
        <v/>
      </c>
      <c r="E32" s="93" t="str">
        <f>IF($B32="","",IFERROR(INDEX(Data!$N$2:$N$1201,MATCH(LARGE(Data!$AN$2:$AN$1201,8),Data!$AN$2:$AN$1201,0))/60,""))</f>
        <v/>
      </c>
    </row>
    <row r="33" spans="2:5" x14ac:dyDescent="0.25">
      <c r="B33" s="59" t="str">
        <f>IFERROR(INDEX(Data!$B$2:$B$1201,MATCH(LARGE(Data!$AN$2:$AN$1201,9),Data!$AN$2:$AN$1201,0)),"")</f>
        <v/>
      </c>
      <c r="C33" s="50" t="str">
        <f>IF($B33="","",IFERROR(INDEX(Data!$C$2:$C$1201,MATCH(LARGE(Data!$AN$2:$AN$1201,9),Data!$AN$2:$AN$1201,0)),""))</f>
        <v/>
      </c>
      <c r="D33" s="51" t="str">
        <f>IF($B33="","",IFERROR(INDEX(Data!$S$2:$S$1201,MATCH(LARGE(Data!$AN$2:$AN$1201,9),Data!$AN$2:$AN$1201,0)),""))</f>
        <v/>
      </c>
      <c r="E33" s="93" t="str">
        <f>IF($B33="","",IFERROR(INDEX(Data!$N$2:$N$1201,MATCH(LARGE(Data!$AN$2:$AN$1201,9),Data!$AN$2:$AN$1201,0))/60,""))</f>
        <v/>
      </c>
    </row>
    <row r="34" spans="2:5" x14ac:dyDescent="0.25">
      <c r="B34" s="59" t="str">
        <f>IFERROR(INDEX(Data!$B$2:$B$1201,MATCH(LARGE(Data!$AN$2:$AN$1201,10),Data!$AN$2:$AN$1201,0)),"")</f>
        <v/>
      </c>
      <c r="C34" s="50" t="str">
        <f>IF($B34="","",IFERROR(INDEX(Data!$C$2:$C$1201,MATCH(LARGE(Data!$AN$2:$AN$1201,10),Data!$AN$2:$AN$1201,0)),""))</f>
        <v/>
      </c>
      <c r="D34" s="51" t="str">
        <f>IF($B34="","",IFERROR(INDEX(Data!$S$2:$S$1201,MATCH(LARGE(Data!$AN$2:$AN$1201,10),Data!$AN$2:$AN$1201,0)),""))</f>
        <v/>
      </c>
      <c r="E34" s="93" t="str">
        <f>IF($B34="","",IFERROR(INDEX(Data!$N$2:$N$1201,MATCH(LARGE(Data!$AN$2:$AN$1201,10),Data!$AN$2:$AN$1201,0))/60,""))</f>
        <v/>
      </c>
    </row>
    <row r="35" spans="2:5" x14ac:dyDescent="0.25">
      <c r="B35" s="59" t="str">
        <f>IFERROR(INDEX(Data!$B$2:$B$1201,MATCH(LARGE(Data!$AN$2:$AN$1201,11),Data!$AN$2:$AN$1201,0)),"")</f>
        <v/>
      </c>
      <c r="C35" s="50" t="str">
        <f>IF($B35="","",IFERROR(INDEX(Data!$C$2:$C$1201,MATCH(LARGE(Data!$AN$2:$AN$1201,11),Data!$AN$2:$AN$1201,0)),""))</f>
        <v/>
      </c>
      <c r="D35" s="51" t="str">
        <f>IF($B35="","",IFERROR(INDEX(Data!$S$2:$S$1201,MATCH(LARGE(Data!$AN$2:$AN$1201,11),Data!$AN$2:$AN$1201,0)),""))</f>
        <v/>
      </c>
      <c r="E35" s="93" t="str">
        <f>IF($B35="","",IFERROR(INDEX(Data!$N$2:$N$1201,MATCH(LARGE(Data!$AN$2:$AN$1201,11),Data!$AN$2:$AN$1201,0))/60,""))</f>
        <v/>
      </c>
    </row>
    <row r="36" spans="2:5" x14ac:dyDescent="0.25">
      <c r="B36" s="59" t="str">
        <f>IFERROR(INDEX(Data!$B$2:$B$1201,MATCH(LARGE(Data!$AN$2:$AN$1201,12),Data!$AN$2:$AN$1201,0)),"")</f>
        <v/>
      </c>
      <c r="C36" s="50" t="str">
        <f>IF($B36="","",IFERROR(INDEX(Data!$C$2:$C$1201,MATCH(LARGE(Data!$AN$2:$AN$1201,12),Data!$AN$2:$AN$1201,0)),""))</f>
        <v/>
      </c>
      <c r="D36" s="51" t="str">
        <f>IF($B36="","",IFERROR(INDEX(Data!$S$2:$S$1201,MATCH(LARGE(Data!$AN$2:$AN$1201,12),Data!$AN$2:$AN$1201,0)),""))</f>
        <v/>
      </c>
      <c r="E36" s="93" t="str">
        <f>IF($B36="","",IFERROR(INDEX(Data!$N$2:$N$1201,MATCH(LARGE(Data!$AN$2:$AN$1201,12),Data!$AN$2:$AN$1201,0))/60,""))</f>
        <v/>
      </c>
    </row>
    <row r="37" spans="2:5" x14ac:dyDescent="0.25">
      <c r="B37" s="59" t="str">
        <f>IFERROR(INDEX(Data!$B$2:$B$1201,MATCH(LARGE(Data!$AN$2:$AN$1201,13),Data!$AN$2:$AN$1201,0)),"")</f>
        <v/>
      </c>
      <c r="C37" s="50" t="str">
        <f>IF($B37="","",IFERROR(INDEX(Data!$C$2:$C$1201,MATCH(LARGE(Data!$AN$2:$AN$1201,13),Data!$AN$2:$AN$1201,0)),""))</f>
        <v/>
      </c>
      <c r="D37" s="51" t="str">
        <f>IF($B37="","",IFERROR(INDEX(Data!$S$2:$S$1201,MATCH(LARGE(Data!$AN$2:$AN$1201,13),Data!$AN$2:$AN$1201,0)),""))</f>
        <v/>
      </c>
      <c r="E37" s="93" t="str">
        <f>IF($B37="","",IFERROR(INDEX(Data!$N$2:$N$1201,MATCH(LARGE(Data!$AN$2:$AN$1201,13),Data!$AN$2:$AN$1201,0))/60,""))</f>
        <v/>
      </c>
    </row>
    <row r="38" spans="2:5" x14ac:dyDescent="0.25">
      <c r="B38" s="59" t="str">
        <f>IFERROR(INDEX(Data!$B$2:$B$1201,MATCH(LARGE(Data!$AN$2:$AN$1201,14),Data!$AN$2:$AN$1201,0)),"")</f>
        <v/>
      </c>
      <c r="C38" s="50" t="str">
        <f>IF($B38="","",IFERROR(INDEX(Data!$C$2:$C$1201,MATCH(LARGE(Data!$AN$2:$AN$1201,14),Data!$AN$2:$AN$1201,0)),""))</f>
        <v/>
      </c>
      <c r="D38" s="51" t="str">
        <f>IF($B38="","",IFERROR(INDEX(Data!$S$2:$S$1201,MATCH(LARGE(Data!$AN$2:$AN$1201,14),Data!$AN$2:$AN$1201,0)),""))</f>
        <v/>
      </c>
      <c r="E38" s="93" t="str">
        <f>IF($B38="","",IFERROR(INDEX(Data!$N$2:$N$1201,MATCH(LARGE(Data!$AN$2:$AN$1201,14),Data!$AN$2:$AN$1201,0))/60,""))</f>
        <v/>
      </c>
    </row>
    <row r="39" spans="2:5" x14ac:dyDescent="0.25">
      <c r="B39" s="59" t="str">
        <f>IFERROR(INDEX(Data!$B$2:$B$1201,MATCH(LARGE(Data!$AN$2:$AN$1201,15),Data!$AN$2:$AN$1201,0)),"")</f>
        <v/>
      </c>
      <c r="C39" s="50" t="str">
        <f>IF($B39="","",IFERROR(INDEX(Data!$C$2:$C$1201,MATCH(LARGE(Data!$AN$2:$AN$1201,15),Data!$AN$2:$AN$1201,0)),""))</f>
        <v/>
      </c>
      <c r="D39" s="51" t="str">
        <f>IF($B39="","",IFERROR(INDEX(Data!$S$2:$S$1201,MATCH(LARGE(Data!$AN$2:$AN$1201,15),Data!$AN$2:$AN$1201,0)),""))</f>
        <v/>
      </c>
      <c r="E39" s="93" t="str">
        <f>IF($B39="","",IFERROR(INDEX(Data!$N$2:$N$1201,MATCH(LARGE(Data!$AN$2:$AN$1201,15),Data!$AN$2:$AN$1201,0))/60,""))</f>
        <v/>
      </c>
    </row>
    <row r="41" spans="2:5" x14ac:dyDescent="0.25">
      <c r="B41" s="160" t="s">
        <v>222</v>
      </c>
      <c r="C41" s="160"/>
      <c r="D41" s="160"/>
      <c r="E41" s="160"/>
    </row>
  </sheetData>
  <mergeCells count="2">
    <mergeCell ref="B3:E3"/>
    <mergeCell ref="B41:E41"/>
  </mergeCells>
  <conditionalFormatting sqref="B25:E39">
    <cfRule type="expression" dxfId="1" priority="7">
      <formula>$B25&lt;&gt;""</formula>
    </cfRule>
  </conditionalFormatting>
  <conditionalFormatting sqref="C11:C15">
    <cfRule type="expression" dxfId="0" priority="2">
      <formula>$C11&gt;0</formula>
    </cfRule>
  </conditionalFormatting>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D8798"/>
  </sheetPr>
  <dimension ref="B2:D61"/>
  <sheetViews>
    <sheetView showGridLines="0" zoomScaleNormal="100" workbookViewId="0">
      <selection activeCell="C10" sqref="C10"/>
    </sheetView>
  </sheetViews>
  <sheetFormatPr defaultColWidth="8.7109375" defaultRowHeight="15" x14ac:dyDescent="0.25"/>
  <cols>
    <col min="1" max="1" width="3" customWidth="1"/>
    <col min="2" max="2" width="36" customWidth="1"/>
    <col min="3" max="3" width="15" customWidth="1"/>
    <col min="4" max="4" width="66" customWidth="1"/>
  </cols>
  <sheetData>
    <row r="2" spans="2:4" ht="26.25" x14ac:dyDescent="0.4">
      <c r="B2" s="94" t="s">
        <v>33</v>
      </c>
    </row>
    <row r="3" spans="2:4" x14ac:dyDescent="0.25">
      <c r="B3" s="36" t="s">
        <v>223</v>
      </c>
    </row>
    <row r="5" spans="2:4" x14ac:dyDescent="0.25">
      <c r="B5" s="95" t="s">
        <v>224</v>
      </c>
      <c r="C5" s="38"/>
      <c r="D5" s="38"/>
    </row>
    <row r="7" spans="2:4" ht="30" customHeight="1" x14ac:dyDescent="0.25">
      <c r="B7" s="43" t="s">
        <v>225</v>
      </c>
      <c r="C7" s="96">
        <v>12</v>
      </c>
      <c r="D7" s="97" t="s">
        <v>226</v>
      </c>
    </row>
    <row r="8" spans="2:4" ht="30" customHeight="1" x14ac:dyDescent="0.25">
      <c r="B8" s="43" t="s">
        <v>227</v>
      </c>
      <c r="C8" s="96">
        <v>240</v>
      </c>
      <c r="D8" s="97" t="s">
        <v>228</v>
      </c>
    </row>
    <row r="9" spans="2:4" ht="30" customHeight="1" x14ac:dyDescent="0.25">
      <c r="B9" s="43" t="s">
        <v>229</v>
      </c>
      <c r="C9" s="96">
        <v>45</v>
      </c>
      <c r="D9" s="97" t="s">
        <v>230</v>
      </c>
    </row>
    <row r="10" spans="2:4" ht="30" customHeight="1" x14ac:dyDescent="0.25">
      <c r="B10" s="43" t="s">
        <v>231</v>
      </c>
      <c r="C10" s="96">
        <v>38.42</v>
      </c>
      <c r="D10" s="97" t="s">
        <v>232</v>
      </c>
    </row>
    <row r="11" spans="2:4" ht="30" customHeight="1" x14ac:dyDescent="0.25">
      <c r="B11" s="43" t="s">
        <v>233</v>
      </c>
      <c r="C11" s="96">
        <v>6</v>
      </c>
      <c r="D11" s="97" t="s">
        <v>234</v>
      </c>
    </row>
    <row r="13" spans="2:4" x14ac:dyDescent="0.25">
      <c r="B13" s="95" t="s">
        <v>235</v>
      </c>
      <c r="C13" s="38"/>
      <c r="D13" s="38"/>
    </row>
    <row r="14" spans="2:4" x14ac:dyDescent="0.25">
      <c r="B14" s="43" t="s">
        <v>236</v>
      </c>
      <c r="C14" s="98">
        <f>IF(COUNT(Data!$S$2:$S$1201)=0,"",MIN(Data!$S$2:$S$1201))</f>
        <v>46265</v>
      </c>
    </row>
    <row r="15" spans="2:4" x14ac:dyDescent="0.25">
      <c r="B15" s="43" t="s">
        <v>237</v>
      </c>
      <c r="C15" s="98">
        <f>IF(COUNT(Data!$S$2:$S$1201)=0,"",MAX(Data!$S$2:$S$1201))</f>
        <v>46269</v>
      </c>
    </row>
    <row r="16" spans="2:4" x14ac:dyDescent="0.25">
      <c r="B16" s="43" t="s">
        <v>238</v>
      </c>
      <c r="C16" s="98">
        <f>IF($C$14="","",INT(($C$14+$C$15)/2))</f>
        <v>46267</v>
      </c>
    </row>
    <row r="17" spans="2:4" x14ac:dyDescent="0.25">
      <c r="B17" s="43" t="s">
        <v>239</v>
      </c>
      <c r="C17" s="99">
        <f>IF($C$14="","",$C$15-$C$14+1)</f>
        <v>5</v>
      </c>
    </row>
    <row r="19" spans="2:4" x14ac:dyDescent="0.25">
      <c r="B19" s="95" t="s">
        <v>240</v>
      </c>
      <c r="C19" s="100" t="s">
        <v>241</v>
      </c>
      <c r="D19" s="95" t="s">
        <v>242</v>
      </c>
    </row>
    <row r="20" spans="2:4" x14ac:dyDescent="0.25">
      <c r="B20" s="43" t="str">
        <f>IFERROR(INDEX(Data!$C$2:$C$1201,MATCH(1,Data!$U$2:$U$1201,0)),"")</f>
        <v>Email</v>
      </c>
      <c r="C20" s="101"/>
      <c r="D20" s="102">
        <f>IF($B20="","",SUMIFS(Data!$N$2:$N$1201,Data!$C$2:$C$1201,$B20)/60)</f>
        <v>5.2786666666666653</v>
      </c>
    </row>
    <row r="21" spans="2:4" x14ac:dyDescent="0.25">
      <c r="B21" s="43" t="str">
        <f>IFERROR(INDEX(Data!$C$2:$C$1201,MATCH(2,Data!$U$2:$U$1201,0)),"")</f>
        <v>Zendesk Tickets</v>
      </c>
      <c r="C21" s="101"/>
      <c r="D21" s="102">
        <f>IF($B21="","",SUMIFS(Data!$N$2:$N$1201,Data!$C$2:$C$1201,$B21)/60)</f>
        <v>10.191833333333335</v>
      </c>
    </row>
    <row r="22" spans="2:4" x14ac:dyDescent="0.25">
      <c r="B22" s="43" t="str">
        <f>IFERROR(INDEX(Data!$C$2:$C$1201,MATCH(3,Data!$U$2:$U$1201,0)),"")</f>
        <v>Teams Communications</v>
      </c>
      <c r="C22" s="101"/>
      <c r="D22" s="102">
        <f>IF($B22="","",SUMIFS(Data!$N$2:$N$1201,Data!$C$2:$C$1201,$B22)/60)</f>
        <v>2.351833333333333</v>
      </c>
    </row>
    <row r="23" spans="2:4" x14ac:dyDescent="0.25">
      <c r="B23" s="43" t="str">
        <f>IFERROR(INDEX(Data!$C$2:$C$1201,MATCH(4,Data!$U$2:$U$1201,0)),"")</f>
        <v>Dev Tickets - ADO's</v>
      </c>
      <c r="C23" s="101"/>
      <c r="D23" s="102">
        <f>IF($B23="","",SUMIFS(Data!$N$2:$N$1201,Data!$C$2:$C$1201,$B23)/60)</f>
        <v>4.7831666666666672</v>
      </c>
    </row>
    <row r="24" spans="2:4" x14ac:dyDescent="0.25">
      <c r="B24" s="43" t="str">
        <f>IFERROR(INDEX(Data!$C$2:$C$1201,MATCH(5,Data!$U$2:$U$1201,0)),"")</f>
        <v>Lunch Break</v>
      </c>
      <c r="C24" s="101"/>
      <c r="D24" s="102">
        <f>IF($B24="","",SUMIFS(Data!$N$2:$N$1201,Data!$C$2:$C$1201,$B24)/60)</f>
        <v>2.7646666666666673</v>
      </c>
    </row>
    <row r="25" spans="2:4" x14ac:dyDescent="0.25">
      <c r="B25" s="43" t="str">
        <f>IFERROR(INDEX(Data!$C$2:$C$1201,MATCH(6,Data!$U$2:$U$1201,0)),"")</f>
        <v>Admin</v>
      </c>
      <c r="C25" s="101"/>
      <c r="D25" s="102">
        <f>IF($B25="","",SUMIFS(Data!$N$2:$N$1201,Data!$C$2:$C$1201,$B25)/60)</f>
        <v>7.559333333333333</v>
      </c>
    </row>
    <row r="26" spans="2:4" x14ac:dyDescent="0.25">
      <c r="B26" s="43" t="str">
        <f>IFERROR(INDEX(Data!$C$2:$C$1201,MATCH(7,Data!$U$2:$U$1201,0)),"")</f>
        <v>Project work</v>
      </c>
      <c r="C26" s="101"/>
      <c r="D26" s="102">
        <f>IF($B26="","",SUMIFS(Data!$N$2:$N$1201,Data!$C$2:$C$1201,$B26)/60)</f>
        <v>7.9924999999999988</v>
      </c>
    </row>
    <row r="27" spans="2:4" x14ac:dyDescent="0.25">
      <c r="B27" s="43" t="str">
        <f>IFERROR(INDEX(Data!$C$2:$C$1201,MATCH(8,Data!$U$2:$U$1201,0)),"")</f>
        <v>Meetings</v>
      </c>
      <c r="C27" s="101"/>
      <c r="D27" s="102">
        <f>IF($B27="","",SUMIFS(Data!$N$2:$N$1201,Data!$C$2:$C$1201,$B27)/60)</f>
        <v>0.56333333333333335</v>
      </c>
    </row>
    <row r="28" spans="2:4" x14ac:dyDescent="0.25">
      <c r="B28" s="43" t="str">
        <f>IFERROR(INDEX(Data!$C$2:$C$1201,MATCH(9,Data!$U$2:$U$1201,0)),"")</f>
        <v>Support</v>
      </c>
      <c r="C28" s="101"/>
      <c r="D28" s="102">
        <f>IF($B28="","",SUMIFS(Data!$N$2:$N$1201,Data!$C$2:$C$1201,$B28)/60)</f>
        <v>1.1826666666666665</v>
      </c>
    </row>
    <row r="29" spans="2:4" x14ac:dyDescent="0.25">
      <c r="B29" s="43" t="str">
        <f>IFERROR(INDEX(Data!$C$2:$C$1201,MATCH(10,Data!$U$2:$U$1201,0)),"")</f>
        <v>Finish for the Day</v>
      </c>
      <c r="C29" s="101"/>
      <c r="D29" s="102">
        <f>IF($B29="","",SUMIFS(Data!$N$2:$N$1201,Data!$C$2:$C$1201,$B29)/60)</f>
        <v>2E-3</v>
      </c>
    </row>
    <row r="30" spans="2:4" x14ac:dyDescent="0.25">
      <c r="B30" s="43" t="str">
        <f>IFERROR(INDEX(Data!$C$2:$C$1201,MATCH(11,Data!$U$2:$U$1201,0)),"")</f>
        <v>To-do</v>
      </c>
      <c r="C30" s="101"/>
      <c r="D30" s="102">
        <f>IF($B30="","",SUMIFS(Data!$N$2:$N$1201,Data!$C$2:$C$1201,$B30)/60)</f>
        <v>0</v>
      </c>
    </row>
    <row r="31" spans="2:4" x14ac:dyDescent="0.25">
      <c r="B31" s="43" t="str">
        <f>IFERROR(INDEX(Data!$C$2:$C$1201,MATCH(12,Data!$U$2:$U$1201,0)),"")</f>
        <v/>
      </c>
      <c r="C31" s="101"/>
      <c r="D31" s="102" t="str">
        <f>IF($B31="","",SUMIFS(Data!$N$2:$N$1201,Data!$C$2:$C$1201,$B31)/60)</f>
        <v/>
      </c>
    </row>
    <row r="32" spans="2:4" x14ac:dyDescent="0.25">
      <c r="B32" s="43" t="str">
        <f>IFERROR(INDEX(Data!$C$2:$C$1201,MATCH(13,Data!$U$2:$U$1201,0)),"")</f>
        <v/>
      </c>
      <c r="C32" s="101"/>
      <c r="D32" s="102" t="str">
        <f>IF($B32="","",SUMIFS(Data!$N$2:$N$1201,Data!$C$2:$C$1201,$B32)/60)</f>
        <v/>
      </c>
    </row>
    <row r="33" spans="2:4" x14ac:dyDescent="0.25">
      <c r="B33" s="43" t="str">
        <f>IFERROR(INDEX(Data!$C$2:$C$1201,MATCH(14,Data!$U$2:$U$1201,0)),"")</f>
        <v/>
      </c>
      <c r="C33" s="101"/>
      <c r="D33" s="102" t="str">
        <f>IF($B33="","",SUMIFS(Data!$N$2:$N$1201,Data!$C$2:$C$1201,$B33)/60)</f>
        <v/>
      </c>
    </row>
    <row r="34" spans="2:4" x14ac:dyDescent="0.25">
      <c r="B34" s="43" t="str">
        <f>IFERROR(INDEX(Data!$C$2:$C$1201,MATCH(15,Data!$U$2:$U$1201,0)),"")</f>
        <v/>
      </c>
      <c r="C34" s="101"/>
      <c r="D34" s="102" t="str">
        <f>IF($B34="","",SUMIFS(Data!$N$2:$N$1201,Data!$C$2:$C$1201,$B34)/60)</f>
        <v/>
      </c>
    </row>
    <row r="35" spans="2:4" x14ac:dyDescent="0.25">
      <c r="B35" s="43" t="str">
        <f>IFERROR(INDEX(Data!$C$2:$C$1201,MATCH(16,Data!$U$2:$U$1201,0)),"")</f>
        <v/>
      </c>
      <c r="C35" s="101"/>
      <c r="D35" s="102" t="str">
        <f>IF($B35="","",SUMIFS(Data!$N$2:$N$1201,Data!$C$2:$C$1201,$B35)/60)</f>
        <v/>
      </c>
    </row>
    <row r="36" spans="2:4" x14ac:dyDescent="0.25">
      <c r="B36" s="43" t="str">
        <f>IFERROR(INDEX(Data!$C$2:$C$1201,MATCH(17,Data!$U$2:$U$1201,0)),"")</f>
        <v/>
      </c>
      <c r="C36" s="101"/>
      <c r="D36" s="102" t="str">
        <f>IF($B36="","",SUMIFS(Data!$N$2:$N$1201,Data!$C$2:$C$1201,$B36)/60)</f>
        <v/>
      </c>
    </row>
    <row r="37" spans="2:4" x14ac:dyDescent="0.25">
      <c r="B37" s="43" t="str">
        <f>IFERROR(INDEX(Data!$C$2:$C$1201,MATCH(18,Data!$U$2:$U$1201,0)),"")</f>
        <v/>
      </c>
      <c r="C37" s="101"/>
      <c r="D37" s="102" t="str">
        <f>IF($B37="","",SUMIFS(Data!$N$2:$N$1201,Data!$C$2:$C$1201,$B37)/60)</f>
        <v/>
      </c>
    </row>
    <row r="38" spans="2:4" x14ac:dyDescent="0.25">
      <c r="B38" s="43" t="str">
        <f>IFERROR(INDEX(Data!$C$2:$C$1201,MATCH(19,Data!$U$2:$U$1201,0)),"")</f>
        <v/>
      </c>
      <c r="C38" s="101"/>
      <c r="D38" s="102" t="str">
        <f>IF($B38="","",SUMIFS(Data!$N$2:$N$1201,Data!$C$2:$C$1201,$B38)/60)</f>
        <v/>
      </c>
    </row>
    <row r="39" spans="2:4" x14ac:dyDescent="0.25">
      <c r="B39" s="43" t="str">
        <f>IFERROR(INDEX(Data!$C$2:$C$1201,MATCH(20,Data!$U$2:$U$1201,0)),"")</f>
        <v/>
      </c>
      <c r="C39" s="101"/>
      <c r="D39" s="102" t="str">
        <f>IF($B39="","",SUMIFS(Data!$N$2:$N$1201,Data!$C$2:$C$1201,$B39)/60)</f>
        <v/>
      </c>
    </row>
    <row r="40" spans="2:4" x14ac:dyDescent="0.25">
      <c r="B40" s="43" t="str">
        <f>IFERROR(INDEX(Data!$C$2:$C$1201,MATCH(21,Data!$U$2:$U$1201,0)),"")</f>
        <v/>
      </c>
      <c r="C40" s="101"/>
      <c r="D40" s="102" t="str">
        <f>IF($B40="","",SUMIFS(Data!$N$2:$N$1201,Data!$C$2:$C$1201,$B40)/60)</f>
        <v/>
      </c>
    </row>
    <row r="41" spans="2:4" x14ac:dyDescent="0.25">
      <c r="B41" s="43" t="str">
        <f>IFERROR(INDEX(Data!$C$2:$C$1201,MATCH(22,Data!$U$2:$U$1201,0)),"")</f>
        <v/>
      </c>
      <c r="C41" s="101"/>
      <c r="D41" s="102" t="str">
        <f>IF($B41="","",SUMIFS(Data!$N$2:$N$1201,Data!$C$2:$C$1201,$B41)/60)</f>
        <v/>
      </c>
    </row>
    <row r="42" spans="2:4" x14ac:dyDescent="0.25">
      <c r="B42" s="43" t="str">
        <f>IFERROR(INDEX(Data!$C$2:$C$1201,MATCH(23,Data!$U$2:$U$1201,0)),"")</f>
        <v/>
      </c>
      <c r="C42" s="101"/>
      <c r="D42" s="102" t="str">
        <f>IF($B42="","",SUMIFS(Data!$N$2:$N$1201,Data!$C$2:$C$1201,$B42)/60)</f>
        <v/>
      </c>
    </row>
    <row r="43" spans="2:4" x14ac:dyDescent="0.25">
      <c r="B43" s="43" t="str">
        <f>IFERROR(INDEX(Data!$C$2:$C$1201,MATCH(24,Data!$U$2:$U$1201,0)),"")</f>
        <v/>
      </c>
      <c r="C43" s="101"/>
      <c r="D43" s="102" t="str">
        <f>IF($B43="","",SUMIFS(Data!$N$2:$N$1201,Data!$C$2:$C$1201,$B43)/60)</f>
        <v/>
      </c>
    </row>
    <row r="44" spans="2:4" x14ac:dyDescent="0.25">
      <c r="B44" s="43" t="str">
        <f>IFERROR(INDEX(Data!$C$2:$C$1201,MATCH(25,Data!$U$2:$U$1201,0)),"")</f>
        <v/>
      </c>
      <c r="C44" s="101"/>
      <c r="D44" s="102" t="str">
        <f>IF($B44="","",SUMIFS(Data!$N$2:$N$1201,Data!$C$2:$C$1201,$B44)/60)</f>
        <v/>
      </c>
    </row>
    <row r="45" spans="2:4" x14ac:dyDescent="0.25">
      <c r="B45" s="43" t="str">
        <f>IFERROR(INDEX(Data!$C$2:$C$1201,MATCH(26,Data!$U$2:$U$1201,0)),"")</f>
        <v/>
      </c>
      <c r="C45" s="101"/>
      <c r="D45" s="102" t="str">
        <f>IF($B45="","",SUMIFS(Data!$N$2:$N$1201,Data!$C$2:$C$1201,$B45)/60)</f>
        <v/>
      </c>
    </row>
    <row r="46" spans="2:4" x14ac:dyDescent="0.25">
      <c r="B46" s="43" t="str">
        <f>IFERROR(INDEX(Data!$C$2:$C$1201,MATCH(27,Data!$U$2:$U$1201,0)),"")</f>
        <v/>
      </c>
      <c r="C46" s="101"/>
      <c r="D46" s="102" t="str">
        <f>IF($B46="","",SUMIFS(Data!$N$2:$N$1201,Data!$C$2:$C$1201,$B46)/60)</f>
        <v/>
      </c>
    </row>
    <row r="47" spans="2:4" x14ac:dyDescent="0.25">
      <c r="B47" s="43" t="str">
        <f>IFERROR(INDEX(Data!$C$2:$C$1201,MATCH(28,Data!$U$2:$U$1201,0)),"")</f>
        <v/>
      </c>
      <c r="C47" s="101"/>
      <c r="D47" s="102" t="str">
        <f>IF($B47="","",SUMIFS(Data!$N$2:$N$1201,Data!$C$2:$C$1201,$B47)/60)</f>
        <v/>
      </c>
    </row>
    <row r="48" spans="2:4" x14ac:dyDescent="0.25">
      <c r="B48" s="43" t="str">
        <f>IFERROR(INDEX(Data!$C$2:$C$1201,MATCH(29,Data!$U$2:$U$1201,0)),"")</f>
        <v/>
      </c>
      <c r="C48" s="101"/>
      <c r="D48" s="102" t="str">
        <f>IF($B48="","",SUMIFS(Data!$N$2:$N$1201,Data!$C$2:$C$1201,$B48)/60)</f>
        <v/>
      </c>
    </row>
    <row r="49" spans="2:4" x14ac:dyDescent="0.25">
      <c r="B49" s="43" t="str">
        <f>IFERROR(INDEX(Data!$C$2:$C$1201,MATCH(30,Data!$U$2:$U$1201,0)),"")</f>
        <v/>
      </c>
      <c r="C49" s="101"/>
      <c r="D49" s="102" t="str">
        <f>IF($B49="","",SUMIFS(Data!$N$2:$N$1201,Data!$C$2:$C$1201,$B49)/60)</f>
        <v/>
      </c>
    </row>
    <row r="50" spans="2:4" x14ac:dyDescent="0.25">
      <c r="B50" s="43" t="str">
        <f>IFERROR(INDEX(Data!$C$2:$C$1201,MATCH(31,Data!$U$2:$U$1201,0)),"")</f>
        <v/>
      </c>
      <c r="C50" s="101"/>
      <c r="D50" s="102" t="str">
        <f>IF($B50="","",SUMIFS(Data!$N$2:$N$1201,Data!$C$2:$C$1201,$B50)/60)</f>
        <v/>
      </c>
    </row>
    <row r="51" spans="2:4" x14ac:dyDescent="0.25">
      <c r="B51" s="43" t="str">
        <f>IFERROR(INDEX(Data!$C$2:$C$1201,MATCH(32,Data!$U$2:$U$1201,0)),"")</f>
        <v/>
      </c>
      <c r="C51" s="101"/>
      <c r="D51" s="102" t="str">
        <f>IF($B51="","",SUMIFS(Data!$N$2:$N$1201,Data!$C$2:$C$1201,$B51)/60)</f>
        <v/>
      </c>
    </row>
    <row r="52" spans="2:4" x14ac:dyDescent="0.25">
      <c r="B52" s="43" t="str">
        <f>IFERROR(INDEX(Data!$C$2:$C$1201,MATCH(33,Data!$U$2:$U$1201,0)),"")</f>
        <v/>
      </c>
      <c r="C52" s="101"/>
      <c r="D52" s="102" t="str">
        <f>IF($B52="","",SUMIFS(Data!$N$2:$N$1201,Data!$C$2:$C$1201,$B52)/60)</f>
        <v/>
      </c>
    </row>
    <row r="53" spans="2:4" x14ac:dyDescent="0.25">
      <c r="B53" s="43" t="str">
        <f>IFERROR(INDEX(Data!$C$2:$C$1201,MATCH(34,Data!$U$2:$U$1201,0)),"")</f>
        <v/>
      </c>
      <c r="C53" s="101"/>
      <c r="D53" s="102" t="str">
        <f>IF($B53="","",SUMIFS(Data!$N$2:$N$1201,Data!$C$2:$C$1201,$B53)/60)</f>
        <v/>
      </c>
    </row>
    <row r="54" spans="2:4" x14ac:dyDescent="0.25">
      <c r="B54" s="43" t="str">
        <f>IFERROR(INDEX(Data!$C$2:$C$1201,MATCH(35,Data!$U$2:$U$1201,0)),"")</f>
        <v/>
      </c>
      <c r="C54" s="101"/>
      <c r="D54" s="102" t="str">
        <f>IF($B54="","",SUMIFS(Data!$N$2:$N$1201,Data!$C$2:$C$1201,$B54)/60)</f>
        <v/>
      </c>
    </row>
    <row r="55" spans="2:4" x14ac:dyDescent="0.25">
      <c r="B55" s="43" t="str">
        <f>IFERROR(INDEX(Data!$C$2:$C$1201,MATCH(36,Data!$U$2:$U$1201,0)),"")</f>
        <v/>
      </c>
      <c r="C55" s="101"/>
      <c r="D55" s="102" t="str">
        <f>IF($B55="","",SUMIFS(Data!$N$2:$N$1201,Data!$C$2:$C$1201,$B55)/60)</f>
        <v/>
      </c>
    </row>
    <row r="56" spans="2:4" x14ac:dyDescent="0.25">
      <c r="B56" s="43" t="str">
        <f>IFERROR(INDEX(Data!$C$2:$C$1201,MATCH(37,Data!$U$2:$U$1201,0)),"")</f>
        <v/>
      </c>
      <c r="C56" s="101"/>
      <c r="D56" s="102" t="str">
        <f>IF($B56="","",SUMIFS(Data!$N$2:$N$1201,Data!$C$2:$C$1201,$B56)/60)</f>
        <v/>
      </c>
    </row>
    <row r="57" spans="2:4" x14ac:dyDescent="0.25">
      <c r="B57" s="43" t="str">
        <f>IFERROR(INDEX(Data!$C$2:$C$1201,MATCH(38,Data!$U$2:$U$1201,0)),"")</f>
        <v/>
      </c>
      <c r="C57" s="101"/>
      <c r="D57" s="102" t="str">
        <f>IF($B57="","",SUMIFS(Data!$N$2:$N$1201,Data!$C$2:$C$1201,$B57)/60)</f>
        <v/>
      </c>
    </row>
    <row r="58" spans="2:4" x14ac:dyDescent="0.25">
      <c r="B58" s="43" t="str">
        <f>IFERROR(INDEX(Data!$C$2:$C$1201,MATCH(39,Data!$U$2:$U$1201,0)),"")</f>
        <v/>
      </c>
      <c r="C58" s="101"/>
      <c r="D58" s="102" t="str">
        <f>IF($B58="","",SUMIFS(Data!$N$2:$N$1201,Data!$C$2:$C$1201,$B58)/60)</f>
        <v/>
      </c>
    </row>
    <row r="59" spans="2:4" x14ac:dyDescent="0.25">
      <c r="B59" s="43" t="str">
        <f>IFERROR(INDEX(Data!$C$2:$C$1201,MATCH(40,Data!$U$2:$U$1201,0)),"")</f>
        <v/>
      </c>
      <c r="C59" s="101"/>
      <c r="D59" s="102" t="str">
        <f>IF($B59="","",SUMIFS(Data!$N$2:$N$1201,Data!$C$2:$C$1201,$B59)/60)</f>
        <v/>
      </c>
    </row>
    <row r="61" spans="2:4" x14ac:dyDescent="0.25">
      <c r="B61" s="160" t="s">
        <v>243</v>
      </c>
      <c r="C61" s="160"/>
      <c r="D61" s="160"/>
    </row>
  </sheetData>
  <mergeCells count="1">
    <mergeCell ref="B61:D61"/>
  </mergeCell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D8798"/>
  </sheetPr>
  <dimension ref="A1:AR1201"/>
  <sheetViews>
    <sheetView showGridLines="0" zoomScaleNormal="100" workbookViewId="0">
      <pane xSplit="1" ySplit="1" topLeftCell="B2" activePane="bottomRight" state="frozen"/>
      <selection pane="topRight" activeCell="B1" sqref="B1"/>
      <selection pane="bottomLeft" activeCell="A2" sqref="A2"/>
      <selection pane="bottomRight" activeCell="A2" sqref="A2:L95"/>
    </sheetView>
  </sheetViews>
  <sheetFormatPr defaultColWidth="8.7109375" defaultRowHeight="15" x14ac:dyDescent="0.25"/>
  <cols>
    <col min="1" max="1" width="11" customWidth="1"/>
    <col min="2" max="2" width="26" customWidth="1"/>
    <col min="3" max="3" width="15" customWidth="1"/>
    <col min="4" max="4" width="10" customWidth="1"/>
    <col min="5" max="5" width="11" customWidth="1"/>
    <col min="6" max="7" width="22" customWidth="1"/>
    <col min="8" max="8" width="15" customWidth="1"/>
    <col min="9" max="10" width="13" customWidth="1"/>
    <col min="11" max="11" width="10" customWidth="1"/>
    <col min="12" max="12" width="34" customWidth="1"/>
    <col min="14" max="43" width="10.5703125" customWidth="1"/>
    <col min="44" max="44" width="46" customWidth="1"/>
  </cols>
  <sheetData>
    <row r="1" spans="1:44" ht="25.5" customHeight="1" x14ac:dyDescent="0.25">
      <c r="A1" s="103" t="s">
        <v>244</v>
      </c>
      <c r="B1" s="103" t="s">
        <v>245</v>
      </c>
      <c r="C1" s="103" t="s">
        <v>246</v>
      </c>
      <c r="D1" s="103" t="s">
        <v>247</v>
      </c>
      <c r="E1" s="103" t="s">
        <v>248</v>
      </c>
      <c r="F1" s="103" t="s">
        <v>249</v>
      </c>
      <c r="G1" s="103" t="s">
        <v>250</v>
      </c>
      <c r="H1" s="103" t="s">
        <v>251</v>
      </c>
      <c r="I1" s="103" t="s">
        <v>252</v>
      </c>
      <c r="J1" s="103" t="s">
        <v>253</v>
      </c>
      <c r="K1" s="103" t="s">
        <v>254</v>
      </c>
      <c r="L1" s="103" t="s">
        <v>255</v>
      </c>
      <c r="N1" s="104" t="s">
        <v>256</v>
      </c>
      <c r="O1" s="104" t="s">
        <v>257</v>
      </c>
      <c r="P1" s="104" t="s">
        <v>258</v>
      </c>
      <c r="Q1" s="104" t="s">
        <v>259</v>
      </c>
      <c r="R1" s="104" t="s">
        <v>260</v>
      </c>
      <c r="S1" s="104" t="s">
        <v>261</v>
      </c>
      <c r="T1" s="104" t="s">
        <v>262</v>
      </c>
      <c r="U1" s="104" t="s">
        <v>263</v>
      </c>
      <c r="V1" s="104" t="s">
        <v>264</v>
      </c>
      <c r="W1" s="104" t="s">
        <v>265</v>
      </c>
      <c r="X1" s="104" t="s">
        <v>266</v>
      </c>
      <c r="Y1" s="104" t="s">
        <v>267</v>
      </c>
      <c r="Z1" s="104" t="s">
        <v>268</v>
      </c>
      <c r="AA1" s="104" t="s">
        <v>269</v>
      </c>
      <c r="AB1" s="104" t="s">
        <v>270</v>
      </c>
      <c r="AC1" s="104" t="s">
        <v>271</v>
      </c>
      <c r="AD1" s="104" t="s">
        <v>272</v>
      </c>
      <c r="AE1" s="104" t="s">
        <v>273</v>
      </c>
      <c r="AF1" s="104" t="s">
        <v>274</v>
      </c>
      <c r="AG1" s="104" t="s">
        <v>275</v>
      </c>
      <c r="AH1" s="104" t="s">
        <v>276</v>
      </c>
      <c r="AI1" s="104" t="s">
        <v>277</v>
      </c>
      <c r="AJ1" s="104" t="s">
        <v>278</v>
      </c>
      <c r="AK1" s="104" t="s">
        <v>279</v>
      </c>
      <c r="AL1" s="104" t="s">
        <v>280</v>
      </c>
      <c r="AM1" s="104" t="s">
        <v>281</v>
      </c>
      <c r="AN1" s="104" t="s">
        <v>282</v>
      </c>
      <c r="AO1" s="104" t="s">
        <v>283</v>
      </c>
      <c r="AP1" s="104" t="s">
        <v>284</v>
      </c>
      <c r="AQ1" s="104" t="s">
        <v>285</v>
      </c>
      <c r="AR1" s="39" t="s">
        <v>286</v>
      </c>
    </row>
    <row r="2" spans="1:44" x14ac:dyDescent="0.25">
      <c r="A2" s="113">
        <v>46265</v>
      </c>
      <c r="B2" t="s">
        <v>287</v>
      </c>
      <c r="C2" t="s">
        <v>287</v>
      </c>
      <c r="D2" t="s">
        <v>288</v>
      </c>
      <c r="E2" t="s">
        <v>289</v>
      </c>
      <c r="F2" t="s">
        <v>290</v>
      </c>
      <c r="G2" t="s">
        <v>291</v>
      </c>
      <c r="H2">
        <v>33.69</v>
      </c>
      <c r="I2">
        <v>0</v>
      </c>
      <c r="K2" t="s">
        <v>292</v>
      </c>
      <c r="N2" s="105">
        <f t="shared" ref="N2:N65" si="0">IF($E2&lt;&gt;"timed",0,IF(ISNUMBER($H2),$H2,IFERROR(VALUE($H2),0)))</f>
        <v>33.69</v>
      </c>
      <c r="O2" s="106">
        <f>IF($F2="","",IF(ISNUMBER($F2),$F2+Settings!$C$7/24,IFERROR(DATEVALUE(LEFT($F2,10))+TIMEVALUE(MID($F2,12,8))+Settings!$C$7/24,"")))</f>
        <v>46265.321597222224</v>
      </c>
      <c r="P2" s="106">
        <f>IF($G2="","",IF(ISNUMBER($G2),$G2+Settings!$C$7/24,IFERROR(DATEVALUE(LEFT($G2,10))+TIMEVALUE(MID($G2,12,8))+Settings!$C$7/24,"")))</f>
        <v>46265.344988425924</v>
      </c>
      <c r="Q2" s="39">
        <f t="shared" ref="Q2:Q65" si="1">IF($O2="","",HOUR($O2))</f>
        <v>7</v>
      </c>
      <c r="R2" s="39">
        <f t="shared" ref="R2:R65" si="2">IF($O2="","",WEEKDAY($O2,2))</f>
        <v>1</v>
      </c>
      <c r="S2" s="107">
        <f t="shared" ref="S2:S65" si="3">IF($A2="","",IF(ISNUMBER($A2),INT($A2),IFERROR(DATEVALUE($A2),"")))</f>
        <v>46265</v>
      </c>
      <c r="T2" s="39">
        <f>IF($C2="","",IF(COUNTIF($C$2:$C2,$C2)=1,1,0))</f>
        <v>1</v>
      </c>
      <c r="U2" s="39">
        <f>IF($T2=1,COUNTIF($T$2:$T2,1),"")</f>
        <v>1</v>
      </c>
      <c r="V2" s="39">
        <f>IF($B2="","",IF(COUNTIF($B$2:$B2,$B2)=1,1,0))</f>
        <v>1</v>
      </c>
      <c r="W2" s="39">
        <f>IF($V2=1,COUNTIF($V$2:$V2,1),"")</f>
        <v>1</v>
      </c>
      <c r="X2" s="39">
        <f>IF($A2="","",IF(COUNTIF($A$2:$A2,$A2)=1,1,0))</f>
        <v>1</v>
      </c>
      <c r="Y2" s="39">
        <f>IF($X2=1,COUNTIF($X$2:$X2,1),"")</f>
        <v>1</v>
      </c>
      <c r="Z2" s="39">
        <f>IF(AND($E2="timed",$N2&gt;Settings!$C$8),1,0)</f>
        <v>0</v>
      </c>
      <c r="AA2" s="39">
        <f t="shared" ref="AA2:AA65" si="4">IF(AND($E2="timed",$G2=""),1,0)</f>
        <v>0</v>
      </c>
      <c r="AB2" s="39">
        <f t="shared" ref="AB2:AB65" si="5">IF($E2&lt;&gt;"timed",0,IF(ISNUMBER($I2),$I2,IFERROR(VALUE($I2),0)))</f>
        <v>0</v>
      </c>
      <c r="AC2" s="39">
        <f t="shared" ref="AC2:AC65" si="6">IF(OR($E2&lt;&gt;"timed",$O2=""),"",ROUND($O2*86400,0)*10000+ROW())</f>
        <v>39973237860002</v>
      </c>
      <c r="AD2" s="39">
        <f t="shared" ref="AD2:AD65" si="7">IF($AC2="","",COUNTIF($AC$2:$AC$1201,"&lt;"&amp;$AC2)+1)</f>
        <v>1</v>
      </c>
      <c r="AE2" s="39" t="str">
        <f t="shared" ref="AE2:AE65" si="8">IF($AD2="","",IFERROR(IF(INDEX($S$2:$S$1201,MATCH($AD2-1,$AD$2:$AD$1201,0))=$S2,INDEX($C$2:$C$1201,MATCH($AD2-1,$AD$2:$AD$1201,0)),""),""))</f>
        <v/>
      </c>
      <c r="AF2" s="106" t="str">
        <f t="shared" ref="AF2:AF65" si="9">IF($AD2="","",IFERROR(IF(INDEX($S$2:$S$1201,MATCH($AD2-1,$AD$2:$AD$1201,0))=$S2,INDEX($P$2:$P$1201,MATCH($AD2-1,$AD$2:$AD$1201,0)),""),""))</f>
        <v/>
      </c>
      <c r="AG2" s="39">
        <f t="shared" ref="AG2:AG65" si="10">IF(OR($E2&lt;&gt;"timed",$AE2=""),0,IF($AE2=$C2,0,1))</f>
        <v>0</v>
      </c>
      <c r="AH2" s="39" t="str">
        <f t="shared" ref="AH2:AH65" si="11">IF(OR($AF2="",$O2=""),"",MAX(0,ROUND(($O2-$AF2)*1440,0)))</f>
        <v/>
      </c>
      <c r="AI2" s="39">
        <f>IF(AND($E2="timed",$N2&gt;=Settings!$C$9),1,0)</f>
        <v>0</v>
      </c>
      <c r="AJ2" s="39">
        <f>IF(OR($S2="",Settings!$C$16=""),"",IF($S2&lt;=Settings!$C$16,1,2))</f>
        <v>1</v>
      </c>
      <c r="AK2" s="39">
        <f>IF($C2="","",IFERROR(IF(INDEX(Settings!$C$20:$C$59,MATCH($C2,Settings!$B$20:$B$59,0))="",Settings!$C$10,INDEX(Settings!$C$20:$C$59,MATCH($C2,Settings!$B$20:$B$59,0))),Settings!$C$10))</f>
        <v>38.42</v>
      </c>
      <c r="AL2" s="108">
        <f t="shared" ref="AL2:AL65" si="12">IF(OR($N2=0,$AK2=""),0,ROUND($N2/60*$AK2,2))</f>
        <v>21.57</v>
      </c>
      <c r="AM2" s="39" t="str">
        <f t="shared" ref="AM2:AM65" si="13">IF($AD2="","",IFERROR(INDEX($S$2:$S$1201,MATCH($AD2-1,$AD$2:$AD$1201,0)),""))</f>
        <v/>
      </c>
      <c r="AN2" s="39" t="str">
        <f t="shared" ref="AN2:AN65" si="14">IF($Z2=1,$N2+ROW()/1000000,"")</f>
        <v/>
      </c>
      <c r="AO2" s="39">
        <f t="shared" ref="AO2:AO65" si="15">IF(OR($E2&lt;&gt;"timed",$P2=""),"",ROUND($P2*86400,0)*10000+ROW())</f>
        <v>39973258070002</v>
      </c>
      <c r="AP2" s="39">
        <f t="shared" ref="AP2:AP65" si="16">IF($AC2="",0,IF(COUNTIFS($S$2:$S$1201,$S2,$AC$2:$AC$1201,"&lt;"&amp;$AC2)=0,1,0))</f>
        <v>1</v>
      </c>
      <c r="AQ2" s="39">
        <f t="shared" ref="AQ2:AQ65" si="17">IF($AO2="",0,IF(COUNTIFS($S$2:$S$1201,$S2,$AO$2:$AO$1201,"&gt;"&amp;$AO2)=0,1,0))</f>
        <v>0</v>
      </c>
    </row>
    <row r="3" spans="1:44" x14ac:dyDescent="0.25">
      <c r="A3" s="113">
        <v>46265</v>
      </c>
      <c r="B3" t="s">
        <v>293</v>
      </c>
      <c r="C3" t="s">
        <v>293</v>
      </c>
      <c r="D3" t="s">
        <v>288</v>
      </c>
      <c r="E3" t="s">
        <v>289</v>
      </c>
      <c r="F3" t="s">
        <v>294</v>
      </c>
      <c r="G3" t="s">
        <v>295</v>
      </c>
      <c r="H3">
        <v>2.46</v>
      </c>
      <c r="I3">
        <v>2</v>
      </c>
      <c r="K3" t="s">
        <v>292</v>
      </c>
      <c r="N3" s="105">
        <f t="shared" si="0"/>
        <v>2.46</v>
      </c>
      <c r="O3" s="106">
        <f>IF($F3="","",IF(ISNUMBER($F3),$F3+Settings!$C$7/24,IFERROR(DATEVALUE(LEFT($F3,10))+TIMEVALUE(MID($F3,12,8))+Settings!$C$7/24,"")))</f>
        <v>46265.345219907409</v>
      </c>
      <c r="P3" s="106">
        <f>IF($G3="","",IF(ISNUMBER($G3),$G3+Settings!$C$7/24,IFERROR(DATEVALUE(LEFT($G3,10))+TIMEVALUE(MID($G3,12,8))+Settings!$C$7/24,"")))</f>
        <v>46265.346932870372</v>
      </c>
      <c r="Q3" s="39">
        <f t="shared" si="1"/>
        <v>8</v>
      </c>
      <c r="R3" s="39">
        <f t="shared" si="2"/>
        <v>1</v>
      </c>
      <c r="S3" s="107">
        <f t="shared" si="3"/>
        <v>46265</v>
      </c>
      <c r="T3" s="39">
        <f>IF($C3="","",IF(COUNTIF($C$2:$C3,$C3)=1,1,0))</f>
        <v>1</v>
      </c>
      <c r="U3" s="39">
        <f>IF($T3=1,COUNTIF($T$2:$T3,1),"")</f>
        <v>2</v>
      </c>
      <c r="V3" s="39">
        <f>IF($B3="","",IF(COUNTIF($B$2:$B3,$B3)=1,1,0))</f>
        <v>1</v>
      </c>
      <c r="W3" s="39">
        <f>IF($V3=1,COUNTIF($V$2:$V3,1),"")</f>
        <v>2</v>
      </c>
      <c r="X3" s="39">
        <f>IF($A3="","",IF(COUNTIF($A$2:$A3,$A3)=1,1,0))</f>
        <v>0</v>
      </c>
      <c r="Y3" s="39" t="str">
        <f>IF($X3=1,COUNTIF($X$2:$X3,1),"")</f>
        <v/>
      </c>
      <c r="Z3" s="39">
        <f>IF(AND($E3="timed",$N3&gt;Settings!$C$8),1,0)</f>
        <v>0</v>
      </c>
      <c r="AA3" s="39">
        <f t="shared" si="4"/>
        <v>0</v>
      </c>
      <c r="AB3" s="39">
        <f t="shared" si="5"/>
        <v>2</v>
      </c>
      <c r="AC3" s="39">
        <f t="shared" si="6"/>
        <v>39973258270003</v>
      </c>
      <c r="AD3" s="39">
        <f t="shared" si="7"/>
        <v>2</v>
      </c>
      <c r="AE3" s="39" t="str">
        <f t="shared" si="8"/>
        <v>Email</v>
      </c>
      <c r="AF3" s="106">
        <f t="shared" si="9"/>
        <v>46265.344988425924</v>
      </c>
      <c r="AG3" s="39">
        <f t="shared" si="10"/>
        <v>1</v>
      </c>
      <c r="AH3" s="39">
        <f t="shared" si="11"/>
        <v>0</v>
      </c>
      <c r="AI3" s="39">
        <f>IF(AND($E3="timed",$N3&gt;=Settings!$C$9),1,0)</f>
        <v>0</v>
      </c>
      <c r="AJ3" s="39">
        <f>IF(OR($S3="",Settings!$C$16=""),"",IF($S3&lt;=Settings!$C$16,1,2))</f>
        <v>1</v>
      </c>
      <c r="AK3" s="39">
        <f>IF($C3="","",IFERROR(IF(INDEX(Settings!$C$20:$C$59,MATCH($C3,Settings!$B$20:$B$59,0))="",Settings!$C$10,INDEX(Settings!$C$20:$C$59,MATCH($C3,Settings!$B$20:$B$59,0))),Settings!$C$10))</f>
        <v>38.42</v>
      </c>
      <c r="AL3" s="108">
        <f t="shared" si="12"/>
        <v>1.58</v>
      </c>
      <c r="AM3" s="39">
        <f t="shared" si="13"/>
        <v>46265</v>
      </c>
      <c r="AN3" s="39" t="str">
        <f t="shared" si="14"/>
        <v/>
      </c>
      <c r="AO3" s="39">
        <f t="shared" si="15"/>
        <v>39973259750003</v>
      </c>
      <c r="AP3" s="39">
        <f t="shared" si="16"/>
        <v>0</v>
      </c>
      <c r="AQ3" s="39">
        <f t="shared" si="17"/>
        <v>0</v>
      </c>
    </row>
    <row r="4" spans="1:44" x14ac:dyDescent="0.25">
      <c r="A4" s="113">
        <v>46265</v>
      </c>
      <c r="B4" t="s">
        <v>296</v>
      </c>
      <c r="C4" t="s">
        <v>296</v>
      </c>
      <c r="D4" t="s">
        <v>288</v>
      </c>
      <c r="E4" t="s">
        <v>289</v>
      </c>
      <c r="F4" t="s">
        <v>295</v>
      </c>
      <c r="G4" t="s">
        <v>297</v>
      </c>
      <c r="H4">
        <v>5.68</v>
      </c>
      <c r="I4">
        <v>1</v>
      </c>
      <c r="K4" t="s">
        <v>292</v>
      </c>
      <c r="L4" t="s">
        <v>298</v>
      </c>
      <c r="N4" s="105">
        <f t="shared" si="0"/>
        <v>5.68</v>
      </c>
      <c r="O4" s="106">
        <f>IF($F4="","",IF(ISNUMBER($F4),$F4+Settings!$C$7/24,IFERROR(DATEVALUE(LEFT($F4,10))+TIMEVALUE(MID($F4,12,8))+Settings!$C$7/24,"")))</f>
        <v>46265.346932870372</v>
      </c>
      <c r="P4" s="106">
        <f>IF($G4="","",IF(ISNUMBER($G4),$G4+Settings!$C$7/24,IFERROR(DATEVALUE(LEFT($G4,10))+TIMEVALUE(MID($G4,12,8))+Settings!$C$7/24,"")))</f>
        <v>46265.35087962963</v>
      </c>
      <c r="Q4" s="39">
        <f t="shared" si="1"/>
        <v>8</v>
      </c>
      <c r="R4" s="39">
        <f t="shared" si="2"/>
        <v>1</v>
      </c>
      <c r="S4" s="107">
        <f t="shared" si="3"/>
        <v>46265</v>
      </c>
      <c r="T4" s="39">
        <f>IF($C4="","",IF(COUNTIF($C$2:$C4,$C4)=1,1,0))</f>
        <v>1</v>
      </c>
      <c r="U4" s="39">
        <f>IF($T4=1,COUNTIF($T$2:$T4,1),"")</f>
        <v>3</v>
      </c>
      <c r="V4" s="39">
        <f>IF($B4="","",IF(COUNTIF($B$2:$B4,$B4)=1,1,0))</f>
        <v>1</v>
      </c>
      <c r="W4" s="39">
        <f>IF($V4=1,COUNTIF($V$2:$V4,1),"")</f>
        <v>3</v>
      </c>
      <c r="X4" s="39">
        <f>IF($A4="","",IF(COUNTIF($A$2:$A4,$A4)=1,1,0))</f>
        <v>0</v>
      </c>
      <c r="Y4" s="39" t="str">
        <f>IF($X4=1,COUNTIF($X$2:$X4,1),"")</f>
        <v/>
      </c>
      <c r="Z4" s="39">
        <f>IF(AND($E4="timed",$N4&gt;Settings!$C$8),1,0)</f>
        <v>0</v>
      </c>
      <c r="AA4" s="39">
        <f t="shared" si="4"/>
        <v>0</v>
      </c>
      <c r="AB4" s="39">
        <f t="shared" si="5"/>
        <v>1</v>
      </c>
      <c r="AC4" s="39">
        <f t="shared" si="6"/>
        <v>39973259750004</v>
      </c>
      <c r="AD4" s="39">
        <f t="shared" si="7"/>
        <v>3</v>
      </c>
      <c r="AE4" s="39" t="str">
        <f t="shared" si="8"/>
        <v>Zendesk Tickets</v>
      </c>
      <c r="AF4" s="106">
        <f t="shared" si="9"/>
        <v>46265.346932870372</v>
      </c>
      <c r="AG4" s="39">
        <f t="shared" si="10"/>
        <v>1</v>
      </c>
      <c r="AH4" s="39">
        <f t="shared" si="11"/>
        <v>0</v>
      </c>
      <c r="AI4" s="39">
        <f>IF(AND($E4="timed",$N4&gt;=Settings!$C$9),1,0)</f>
        <v>0</v>
      </c>
      <c r="AJ4" s="39">
        <f>IF(OR($S4="",Settings!$C$16=""),"",IF($S4&lt;=Settings!$C$16,1,2))</f>
        <v>1</v>
      </c>
      <c r="AK4" s="39">
        <f>IF($C4="","",IFERROR(IF(INDEX(Settings!$C$20:$C$59,MATCH($C4,Settings!$B$20:$B$59,0))="",Settings!$C$10,INDEX(Settings!$C$20:$C$59,MATCH($C4,Settings!$B$20:$B$59,0))),Settings!$C$10))</f>
        <v>38.42</v>
      </c>
      <c r="AL4" s="108">
        <f t="shared" si="12"/>
        <v>3.64</v>
      </c>
      <c r="AM4" s="39">
        <f t="shared" si="13"/>
        <v>46265</v>
      </c>
      <c r="AN4" s="39" t="str">
        <f t="shared" si="14"/>
        <v/>
      </c>
      <c r="AO4" s="39">
        <f t="shared" si="15"/>
        <v>39973263160004</v>
      </c>
      <c r="AP4" s="39">
        <f t="shared" si="16"/>
        <v>0</v>
      </c>
      <c r="AQ4" s="39">
        <f t="shared" si="17"/>
        <v>0</v>
      </c>
    </row>
    <row r="5" spans="1:44" x14ac:dyDescent="0.25">
      <c r="A5" s="113">
        <v>46265</v>
      </c>
      <c r="B5" t="s">
        <v>293</v>
      </c>
      <c r="C5" t="s">
        <v>293</v>
      </c>
      <c r="D5" t="s">
        <v>288</v>
      </c>
      <c r="E5" t="s">
        <v>289</v>
      </c>
      <c r="F5" t="s">
        <v>297</v>
      </c>
      <c r="G5" t="s">
        <v>299</v>
      </c>
      <c r="H5">
        <v>7.43</v>
      </c>
      <c r="I5">
        <v>2</v>
      </c>
      <c r="K5" t="s">
        <v>292</v>
      </c>
      <c r="N5" s="105">
        <f t="shared" si="0"/>
        <v>7.43</v>
      </c>
      <c r="O5" s="106">
        <f>IF($F5="","",IF(ISNUMBER($F5),$F5+Settings!$C$7/24,IFERROR(DATEVALUE(LEFT($F5,10))+TIMEVALUE(MID($F5,12,8))+Settings!$C$7/24,"")))</f>
        <v>46265.35087962963</v>
      </c>
      <c r="P5" s="106">
        <f>IF($G5="","",IF(ISNUMBER($G5),$G5+Settings!$C$7/24,IFERROR(DATEVALUE(LEFT($G5,10))+TIMEVALUE(MID($G5,12,8))+Settings!$C$7/24,"")))</f>
        <v>46265.356030092589</v>
      </c>
      <c r="Q5" s="39">
        <f t="shared" si="1"/>
        <v>8</v>
      </c>
      <c r="R5" s="39">
        <f t="shared" si="2"/>
        <v>1</v>
      </c>
      <c r="S5" s="107">
        <f t="shared" si="3"/>
        <v>46265</v>
      </c>
      <c r="T5" s="39">
        <f>IF($C5="","",IF(COUNTIF($C$2:$C5,$C5)=1,1,0))</f>
        <v>0</v>
      </c>
      <c r="U5" s="39" t="str">
        <f>IF($T5=1,COUNTIF($T$2:$T5,1),"")</f>
        <v/>
      </c>
      <c r="V5" s="39">
        <f>IF($B5="","",IF(COUNTIF($B$2:$B5,$B5)=1,1,0))</f>
        <v>0</v>
      </c>
      <c r="W5" s="39" t="str">
        <f>IF($V5=1,COUNTIF($V$2:$V5,1),"")</f>
        <v/>
      </c>
      <c r="X5" s="39">
        <f>IF($A5="","",IF(COUNTIF($A$2:$A5,$A5)=1,1,0))</f>
        <v>0</v>
      </c>
      <c r="Y5" s="39" t="str">
        <f>IF($X5=1,COUNTIF($X$2:$X5,1),"")</f>
        <v/>
      </c>
      <c r="Z5" s="39">
        <f>IF(AND($E5="timed",$N5&gt;Settings!$C$8),1,0)</f>
        <v>0</v>
      </c>
      <c r="AA5" s="39">
        <f t="shared" si="4"/>
        <v>0</v>
      </c>
      <c r="AB5" s="39">
        <f t="shared" si="5"/>
        <v>2</v>
      </c>
      <c r="AC5" s="39">
        <f t="shared" si="6"/>
        <v>39973263160005</v>
      </c>
      <c r="AD5" s="39">
        <f t="shared" si="7"/>
        <v>4</v>
      </c>
      <c r="AE5" s="39" t="str">
        <f t="shared" si="8"/>
        <v>Teams Communications</v>
      </c>
      <c r="AF5" s="106">
        <f t="shared" si="9"/>
        <v>46265.35087962963</v>
      </c>
      <c r="AG5" s="39">
        <f t="shared" si="10"/>
        <v>1</v>
      </c>
      <c r="AH5" s="39">
        <f t="shared" si="11"/>
        <v>0</v>
      </c>
      <c r="AI5" s="39">
        <f>IF(AND($E5="timed",$N5&gt;=Settings!$C$9),1,0)</f>
        <v>0</v>
      </c>
      <c r="AJ5" s="39">
        <f>IF(OR($S5="",Settings!$C$16=""),"",IF($S5&lt;=Settings!$C$16,1,2))</f>
        <v>1</v>
      </c>
      <c r="AK5" s="39">
        <f>IF($C5="","",IFERROR(IF(INDEX(Settings!$C$20:$C$59,MATCH($C5,Settings!$B$20:$B$59,0))="",Settings!$C$10,INDEX(Settings!$C$20:$C$59,MATCH($C5,Settings!$B$20:$B$59,0))),Settings!$C$10))</f>
        <v>38.42</v>
      </c>
      <c r="AL5" s="108">
        <f t="shared" si="12"/>
        <v>4.76</v>
      </c>
      <c r="AM5" s="39">
        <f t="shared" si="13"/>
        <v>46265</v>
      </c>
      <c r="AN5" s="39" t="str">
        <f t="shared" si="14"/>
        <v/>
      </c>
      <c r="AO5" s="39">
        <f t="shared" si="15"/>
        <v>39973267610005</v>
      </c>
      <c r="AP5" s="39">
        <f t="shared" si="16"/>
        <v>0</v>
      </c>
      <c r="AQ5" s="39">
        <f t="shared" si="17"/>
        <v>0</v>
      </c>
    </row>
    <row r="6" spans="1:44" x14ac:dyDescent="0.25">
      <c r="A6" s="113">
        <v>46265</v>
      </c>
      <c r="B6" t="s">
        <v>296</v>
      </c>
      <c r="C6" t="s">
        <v>296</v>
      </c>
      <c r="D6" t="s">
        <v>288</v>
      </c>
      <c r="E6" t="s">
        <v>289</v>
      </c>
      <c r="F6" t="s">
        <v>299</v>
      </c>
      <c r="G6" t="s">
        <v>300</v>
      </c>
      <c r="H6">
        <v>0.55000000000000004</v>
      </c>
      <c r="I6">
        <v>0</v>
      </c>
      <c r="K6" t="s">
        <v>292</v>
      </c>
      <c r="L6" t="s">
        <v>298</v>
      </c>
      <c r="N6" s="105">
        <f t="shared" si="0"/>
        <v>0.55000000000000004</v>
      </c>
      <c r="O6" s="106">
        <f>IF($F6="","",IF(ISNUMBER($F6),$F6+Settings!$C$7/24,IFERROR(DATEVALUE(LEFT($F6,10))+TIMEVALUE(MID($F6,12,8))+Settings!$C$7/24,"")))</f>
        <v>46265.356030092589</v>
      </c>
      <c r="P6" s="106">
        <f>IF($G6="","",IF(ISNUMBER($G6),$G6+Settings!$C$7/24,IFERROR(DATEVALUE(LEFT($G6,10))+TIMEVALUE(MID($G6,12,8))+Settings!$C$7/24,"")))</f>
        <v>46265.356412037036</v>
      </c>
      <c r="Q6" s="39">
        <f t="shared" si="1"/>
        <v>8</v>
      </c>
      <c r="R6" s="39">
        <f t="shared" si="2"/>
        <v>1</v>
      </c>
      <c r="S6" s="107">
        <f t="shared" si="3"/>
        <v>46265</v>
      </c>
      <c r="T6" s="39">
        <f>IF($C6="","",IF(COUNTIF($C$2:$C6,$C6)=1,1,0))</f>
        <v>0</v>
      </c>
      <c r="U6" s="39" t="str">
        <f>IF($T6=1,COUNTIF($T$2:$T6,1),"")</f>
        <v/>
      </c>
      <c r="V6" s="39">
        <f>IF($B6="","",IF(COUNTIF($B$2:$B6,$B6)=1,1,0))</f>
        <v>0</v>
      </c>
      <c r="W6" s="39" t="str">
        <f>IF($V6=1,COUNTIF($V$2:$V6,1),"")</f>
        <v/>
      </c>
      <c r="X6" s="39">
        <f>IF($A6="","",IF(COUNTIF($A$2:$A6,$A6)=1,1,0))</f>
        <v>0</v>
      </c>
      <c r="Y6" s="39" t="str">
        <f>IF($X6=1,COUNTIF($X$2:$X6,1),"")</f>
        <v/>
      </c>
      <c r="Z6" s="39">
        <f>IF(AND($E6="timed",$N6&gt;Settings!$C$8),1,0)</f>
        <v>0</v>
      </c>
      <c r="AA6" s="39">
        <f t="shared" si="4"/>
        <v>0</v>
      </c>
      <c r="AB6" s="39">
        <f t="shared" si="5"/>
        <v>0</v>
      </c>
      <c r="AC6" s="39">
        <f t="shared" si="6"/>
        <v>39973267610006</v>
      </c>
      <c r="AD6" s="39">
        <f t="shared" si="7"/>
        <v>5</v>
      </c>
      <c r="AE6" s="39" t="str">
        <f t="shared" si="8"/>
        <v>Zendesk Tickets</v>
      </c>
      <c r="AF6" s="106">
        <f t="shared" si="9"/>
        <v>46265.356030092589</v>
      </c>
      <c r="AG6" s="39">
        <f t="shared" si="10"/>
        <v>1</v>
      </c>
      <c r="AH6" s="39">
        <f t="shared" si="11"/>
        <v>0</v>
      </c>
      <c r="AI6" s="39">
        <f>IF(AND($E6="timed",$N6&gt;=Settings!$C$9),1,0)</f>
        <v>0</v>
      </c>
      <c r="AJ6" s="39">
        <f>IF(OR($S6="",Settings!$C$16=""),"",IF($S6&lt;=Settings!$C$16,1,2))</f>
        <v>1</v>
      </c>
      <c r="AK6" s="39">
        <f>IF($C6="","",IFERROR(IF(INDEX(Settings!$C$20:$C$59,MATCH($C6,Settings!$B$20:$B$59,0))="",Settings!$C$10,INDEX(Settings!$C$20:$C$59,MATCH($C6,Settings!$B$20:$B$59,0))),Settings!$C$10))</f>
        <v>38.42</v>
      </c>
      <c r="AL6" s="108">
        <f t="shared" si="12"/>
        <v>0.35</v>
      </c>
      <c r="AM6" s="39">
        <f t="shared" si="13"/>
        <v>46265</v>
      </c>
      <c r="AN6" s="39" t="str">
        <f t="shared" si="14"/>
        <v/>
      </c>
      <c r="AO6" s="39">
        <f t="shared" si="15"/>
        <v>39973267940006</v>
      </c>
      <c r="AP6" s="39">
        <f t="shared" si="16"/>
        <v>0</v>
      </c>
      <c r="AQ6" s="39">
        <f t="shared" si="17"/>
        <v>0</v>
      </c>
    </row>
    <row r="7" spans="1:44" x14ac:dyDescent="0.25">
      <c r="A7" s="113">
        <v>46265</v>
      </c>
      <c r="B7" t="s">
        <v>293</v>
      </c>
      <c r="C7" t="s">
        <v>293</v>
      </c>
      <c r="D7" t="s">
        <v>288</v>
      </c>
      <c r="E7" t="s">
        <v>289</v>
      </c>
      <c r="F7" t="s">
        <v>301</v>
      </c>
      <c r="G7" t="s">
        <v>302</v>
      </c>
      <c r="H7">
        <v>25.15</v>
      </c>
      <c r="I7">
        <v>2</v>
      </c>
      <c r="K7" t="s">
        <v>292</v>
      </c>
      <c r="N7" s="105">
        <f t="shared" si="0"/>
        <v>25.15</v>
      </c>
      <c r="O7" s="106">
        <f>IF($F7="","",IF(ISNUMBER($F7),$F7+Settings!$C$7/24,IFERROR(DATEVALUE(LEFT($F7,10))+TIMEVALUE(MID($F7,12,8))+Settings!$C$7/24,"")))</f>
        <v>46265.356446759259</v>
      </c>
      <c r="P7" s="106">
        <f>IF($G7="","",IF(ISNUMBER($G7),$G7+Settings!$C$7/24,IFERROR(DATEVALUE(LEFT($G7,10))+TIMEVALUE(MID($G7,12,8))+Settings!$C$7/24,"")))</f>
        <v>46265.373912037037</v>
      </c>
      <c r="Q7" s="39">
        <f t="shared" si="1"/>
        <v>8</v>
      </c>
      <c r="R7" s="39">
        <f t="shared" si="2"/>
        <v>1</v>
      </c>
      <c r="S7" s="107">
        <f t="shared" si="3"/>
        <v>46265</v>
      </c>
      <c r="T7" s="39">
        <f>IF($C7="","",IF(COUNTIF($C$2:$C7,$C7)=1,1,0))</f>
        <v>0</v>
      </c>
      <c r="U7" s="39" t="str">
        <f>IF($T7=1,COUNTIF($T$2:$T7,1),"")</f>
        <v/>
      </c>
      <c r="V7" s="39">
        <f>IF($B7="","",IF(COUNTIF($B$2:$B7,$B7)=1,1,0))</f>
        <v>0</v>
      </c>
      <c r="W7" s="39" t="str">
        <f>IF($V7=1,COUNTIF($V$2:$V7,1),"")</f>
        <v/>
      </c>
      <c r="X7" s="39">
        <f>IF($A7="","",IF(COUNTIF($A$2:$A7,$A7)=1,1,0))</f>
        <v>0</v>
      </c>
      <c r="Y7" s="39" t="str">
        <f>IF($X7=1,COUNTIF($X$2:$X7,1),"")</f>
        <v/>
      </c>
      <c r="Z7" s="39">
        <f>IF(AND($E7="timed",$N7&gt;Settings!$C$8),1,0)</f>
        <v>0</v>
      </c>
      <c r="AA7" s="39">
        <f t="shared" si="4"/>
        <v>0</v>
      </c>
      <c r="AB7" s="39">
        <f t="shared" si="5"/>
        <v>2</v>
      </c>
      <c r="AC7" s="39">
        <f t="shared" si="6"/>
        <v>39973267970007</v>
      </c>
      <c r="AD7" s="39">
        <f t="shared" si="7"/>
        <v>6</v>
      </c>
      <c r="AE7" s="39" t="str">
        <f t="shared" si="8"/>
        <v>Teams Communications</v>
      </c>
      <c r="AF7" s="106">
        <f t="shared" si="9"/>
        <v>46265.356412037036</v>
      </c>
      <c r="AG7" s="39">
        <f t="shared" si="10"/>
        <v>1</v>
      </c>
      <c r="AH7" s="39">
        <f t="shared" si="11"/>
        <v>0</v>
      </c>
      <c r="AI7" s="39">
        <f>IF(AND($E7="timed",$N7&gt;=Settings!$C$9),1,0)</f>
        <v>0</v>
      </c>
      <c r="AJ7" s="39">
        <f>IF(OR($S7="",Settings!$C$16=""),"",IF($S7&lt;=Settings!$C$16,1,2))</f>
        <v>1</v>
      </c>
      <c r="AK7" s="39">
        <f>IF($C7="","",IFERROR(IF(INDEX(Settings!$C$20:$C$59,MATCH($C7,Settings!$B$20:$B$59,0))="",Settings!$C$10,INDEX(Settings!$C$20:$C$59,MATCH($C7,Settings!$B$20:$B$59,0))),Settings!$C$10))</f>
        <v>38.42</v>
      </c>
      <c r="AL7" s="108">
        <f t="shared" si="12"/>
        <v>16.100000000000001</v>
      </c>
      <c r="AM7" s="39">
        <f t="shared" si="13"/>
        <v>46265</v>
      </c>
      <c r="AN7" s="39" t="str">
        <f t="shared" si="14"/>
        <v/>
      </c>
      <c r="AO7" s="39">
        <f t="shared" si="15"/>
        <v>39973283060007</v>
      </c>
      <c r="AP7" s="39">
        <f t="shared" si="16"/>
        <v>0</v>
      </c>
      <c r="AQ7" s="39">
        <f t="shared" si="17"/>
        <v>0</v>
      </c>
    </row>
    <row r="8" spans="1:44" x14ac:dyDescent="0.25">
      <c r="A8" s="113">
        <v>46265</v>
      </c>
      <c r="B8" t="s">
        <v>303</v>
      </c>
      <c r="C8" t="s">
        <v>303</v>
      </c>
      <c r="D8" t="s">
        <v>288</v>
      </c>
      <c r="E8" t="s">
        <v>289</v>
      </c>
      <c r="F8" t="s">
        <v>304</v>
      </c>
      <c r="G8" t="s">
        <v>305</v>
      </c>
      <c r="H8">
        <v>5.27</v>
      </c>
      <c r="I8">
        <v>1</v>
      </c>
      <c r="K8" t="s">
        <v>292</v>
      </c>
      <c r="N8" s="105">
        <f t="shared" si="0"/>
        <v>5.27</v>
      </c>
      <c r="O8" s="106">
        <f>IF($F8="","",IF(ISNUMBER($F8),$F8+Settings!$C$7/24,IFERROR(DATEVALUE(LEFT($F8,10))+TIMEVALUE(MID($F8,12,8))+Settings!$C$7/24,"")))</f>
        <v>46265.373923611114</v>
      </c>
      <c r="P8" s="106">
        <f>IF($G8="","",IF(ISNUMBER($G8),$G8+Settings!$C$7/24,IFERROR(DATEVALUE(LEFT($G8,10))+TIMEVALUE(MID($G8,12,8))+Settings!$C$7/24,"")))</f>
        <v>46265.377581018518</v>
      </c>
      <c r="Q8" s="39">
        <f t="shared" si="1"/>
        <v>8</v>
      </c>
      <c r="R8" s="39">
        <f t="shared" si="2"/>
        <v>1</v>
      </c>
      <c r="S8" s="107">
        <f t="shared" si="3"/>
        <v>46265</v>
      </c>
      <c r="T8" s="39">
        <f>IF($C8="","",IF(COUNTIF($C$2:$C8,$C8)=1,1,0))</f>
        <v>1</v>
      </c>
      <c r="U8" s="39">
        <f>IF($T8=1,COUNTIF($T$2:$T8,1),"")</f>
        <v>4</v>
      </c>
      <c r="V8" s="39">
        <f>IF($B8="","",IF(COUNTIF($B$2:$B8,$B8)=1,1,0))</f>
        <v>1</v>
      </c>
      <c r="W8" s="39">
        <f>IF($V8=1,COUNTIF($V$2:$V8,1),"")</f>
        <v>4</v>
      </c>
      <c r="X8" s="39">
        <f>IF($A8="","",IF(COUNTIF($A$2:$A8,$A8)=1,1,0))</f>
        <v>0</v>
      </c>
      <c r="Y8" s="39" t="str">
        <f>IF($X8=1,COUNTIF($X$2:$X8,1),"")</f>
        <v/>
      </c>
      <c r="Z8" s="39">
        <f>IF(AND($E8="timed",$N8&gt;Settings!$C$8),1,0)</f>
        <v>0</v>
      </c>
      <c r="AA8" s="39">
        <f t="shared" si="4"/>
        <v>0</v>
      </c>
      <c r="AB8" s="39">
        <f t="shared" si="5"/>
        <v>1</v>
      </c>
      <c r="AC8" s="39">
        <f t="shared" si="6"/>
        <v>39973283070008</v>
      </c>
      <c r="AD8" s="39">
        <f t="shared" si="7"/>
        <v>7</v>
      </c>
      <c r="AE8" s="39" t="str">
        <f t="shared" si="8"/>
        <v>Zendesk Tickets</v>
      </c>
      <c r="AF8" s="106">
        <f t="shared" si="9"/>
        <v>46265.373912037037</v>
      </c>
      <c r="AG8" s="39">
        <f t="shared" si="10"/>
        <v>1</v>
      </c>
      <c r="AH8" s="39">
        <f t="shared" si="11"/>
        <v>0</v>
      </c>
      <c r="AI8" s="39">
        <f>IF(AND($E8="timed",$N8&gt;=Settings!$C$9),1,0)</f>
        <v>0</v>
      </c>
      <c r="AJ8" s="39">
        <f>IF(OR($S8="",Settings!$C$16=""),"",IF($S8&lt;=Settings!$C$16,1,2))</f>
        <v>1</v>
      </c>
      <c r="AK8" s="39">
        <f>IF($C8="","",IFERROR(IF(INDEX(Settings!$C$20:$C$59,MATCH($C8,Settings!$B$20:$B$59,0))="",Settings!$C$10,INDEX(Settings!$C$20:$C$59,MATCH($C8,Settings!$B$20:$B$59,0))),Settings!$C$10))</f>
        <v>38.42</v>
      </c>
      <c r="AL8" s="108">
        <f t="shared" si="12"/>
        <v>3.37</v>
      </c>
      <c r="AM8" s="39">
        <f t="shared" si="13"/>
        <v>46265</v>
      </c>
      <c r="AN8" s="39" t="str">
        <f t="shared" si="14"/>
        <v/>
      </c>
      <c r="AO8" s="39">
        <f t="shared" si="15"/>
        <v>39973286230008</v>
      </c>
      <c r="AP8" s="39">
        <f t="shared" si="16"/>
        <v>0</v>
      </c>
      <c r="AQ8" s="39">
        <f t="shared" si="17"/>
        <v>0</v>
      </c>
    </row>
    <row r="9" spans="1:44" x14ac:dyDescent="0.25">
      <c r="A9" s="113">
        <v>46265</v>
      </c>
      <c r="B9" t="s">
        <v>287</v>
      </c>
      <c r="C9" t="s">
        <v>287</v>
      </c>
      <c r="D9" t="s">
        <v>288</v>
      </c>
      <c r="E9" t="s">
        <v>289</v>
      </c>
      <c r="F9" t="s">
        <v>305</v>
      </c>
      <c r="G9" t="s">
        <v>306</v>
      </c>
      <c r="H9">
        <v>3.63</v>
      </c>
      <c r="I9">
        <v>1</v>
      </c>
      <c r="K9" t="s">
        <v>292</v>
      </c>
      <c r="L9" t="s">
        <v>307</v>
      </c>
      <c r="N9" s="105">
        <f t="shared" si="0"/>
        <v>3.63</v>
      </c>
      <c r="O9" s="106">
        <f>IF($F9="","",IF(ISNUMBER($F9),$F9+Settings!$C$7/24,IFERROR(DATEVALUE(LEFT($F9,10))+TIMEVALUE(MID($F9,12,8))+Settings!$C$7/24,"")))</f>
        <v>46265.377581018518</v>
      </c>
      <c r="P9" s="106">
        <f>IF($G9="","",IF(ISNUMBER($G9),$G9+Settings!$C$7/24,IFERROR(DATEVALUE(LEFT($G9,10))+TIMEVALUE(MID($G9,12,8))+Settings!$C$7/24,"")))</f>
        <v>46265.380104166667</v>
      </c>
      <c r="Q9" s="39">
        <f t="shared" si="1"/>
        <v>9</v>
      </c>
      <c r="R9" s="39">
        <f t="shared" si="2"/>
        <v>1</v>
      </c>
      <c r="S9" s="107">
        <f t="shared" si="3"/>
        <v>46265</v>
      </c>
      <c r="T9" s="39">
        <f>IF($C9="","",IF(COUNTIF($C$2:$C9,$C9)=1,1,0))</f>
        <v>0</v>
      </c>
      <c r="U9" s="39" t="str">
        <f>IF($T9=1,COUNTIF($T$2:$T9,1),"")</f>
        <v/>
      </c>
      <c r="V9" s="39">
        <f>IF($B9="","",IF(COUNTIF($B$2:$B9,$B9)=1,1,0))</f>
        <v>0</v>
      </c>
      <c r="W9" s="39" t="str">
        <f>IF($V9=1,COUNTIF($V$2:$V9,1),"")</f>
        <v/>
      </c>
      <c r="X9" s="39">
        <f>IF($A9="","",IF(COUNTIF($A$2:$A9,$A9)=1,1,0))</f>
        <v>0</v>
      </c>
      <c r="Y9" s="39" t="str">
        <f>IF($X9=1,COUNTIF($X$2:$X9,1),"")</f>
        <v/>
      </c>
      <c r="Z9" s="39">
        <f>IF(AND($E9="timed",$N9&gt;Settings!$C$8),1,0)</f>
        <v>0</v>
      </c>
      <c r="AA9" s="39">
        <f t="shared" si="4"/>
        <v>0</v>
      </c>
      <c r="AB9" s="39">
        <f t="shared" si="5"/>
        <v>1</v>
      </c>
      <c r="AC9" s="39">
        <f t="shared" si="6"/>
        <v>39973286230009</v>
      </c>
      <c r="AD9" s="39">
        <f t="shared" si="7"/>
        <v>8</v>
      </c>
      <c r="AE9" s="39" t="str">
        <f t="shared" si="8"/>
        <v>Dev Tickets - ADO's</v>
      </c>
      <c r="AF9" s="106">
        <f t="shared" si="9"/>
        <v>46265.377581018518</v>
      </c>
      <c r="AG9" s="39">
        <f t="shared" si="10"/>
        <v>1</v>
      </c>
      <c r="AH9" s="39">
        <f t="shared" si="11"/>
        <v>0</v>
      </c>
      <c r="AI9" s="39">
        <f>IF(AND($E9="timed",$N9&gt;=Settings!$C$9),1,0)</f>
        <v>0</v>
      </c>
      <c r="AJ9" s="39">
        <f>IF(OR($S9="",Settings!$C$16=""),"",IF($S9&lt;=Settings!$C$16,1,2))</f>
        <v>1</v>
      </c>
      <c r="AK9" s="39">
        <f>IF($C9="","",IFERROR(IF(INDEX(Settings!$C$20:$C$59,MATCH($C9,Settings!$B$20:$B$59,0))="",Settings!$C$10,INDEX(Settings!$C$20:$C$59,MATCH($C9,Settings!$B$20:$B$59,0))),Settings!$C$10))</f>
        <v>38.42</v>
      </c>
      <c r="AL9" s="108">
        <f t="shared" si="12"/>
        <v>2.3199999999999998</v>
      </c>
      <c r="AM9" s="39">
        <f t="shared" si="13"/>
        <v>46265</v>
      </c>
      <c r="AN9" s="39" t="str">
        <f t="shared" si="14"/>
        <v/>
      </c>
      <c r="AO9" s="39">
        <f t="shared" si="15"/>
        <v>39973288410009</v>
      </c>
      <c r="AP9" s="39">
        <f t="shared" si="16"/>
        <v>0</v>
      </c>
      <c r="AQ9" s="39">
        <f t="shared" si="17"/>
        <v>0</v>
      </c>
    </row>
    <row r="10" spans="1:44" x14ac:dyDescent="0.25">
      <c r="A10" s="113">
        <v>46265</v>
      </c>
      <c r="B10" t="s">
        <v>303</v>
      </c>
      <c r="C10" t="s">
        <v>303</v>
      </c>
      <c r="D10" t="s">
        <v>288</v>
      </c>
      <c r="E10" t="s">
        <v>289</v>
      </c>
      <c r="F10" t="s">
        <v>306</v>
      </c>
      <c r="G10" t="s">
        <v>308</v>
      </c>
      <c r="H10">
        <v>85.05</v>
      </c>
      <c r="I10">
        <v>1</v>
      </c>
      <c r="K10" t="s">
        <v>292</v>
      </c>
      <c r="N10" s="105">
        <f t="shared" si="0"/>
        <v>85.05</v>
      </c>
      <c r="O10" s="106">
        <f>IF($F10="","",IF(ISNUMBER($F10),$F10+Settings!$C$7/24,IFERROR(DATEVALUE(LEFT($F10,10))+TIMEVALUE(MID($F10,12,8))+Settings!$C$7/24,"")))</f>
        <v>46265.380104166667</v>
      </c>
      <c r="P10" s="106">
        <f>IF($G10="","",IF(ISNUMBER($G10),$G10+Settings!$C$7/24,IFERROR(DATEVALUE(LEFT($G10,10))+TIMEVALUE(MID($G10,12,8))+Settings!$C$7/24,"")))</f>
        <v>46265.439166666663</v>
      </c>
      <c r="Q10" s="39">
        <f t="shared" si="1"/>
        <v>9</v>
      </c>
      <c r="R10" s="39">
        <f t="shared" si="2"/>
        <v>1</v>
      </c>
      <c r="S10" s="107">
        <f t="shared" si="3"/>
        <v>46265</v>
      </c>
      <c r="T10" s="39">
        <f>IF($C10="","",IF(COUNTIF($C$2:$C10,$C10)=1,1,0))</f>
        <v>0</v>
      </c>
      <c r="U10" s="39" t="str">
        <f>IF($T10=1,COUNTIF($T$2:$T10,1),"")</f>
        <v/>
      </c>
      <c r="V10" s="39">
        <f>IF($B10="","",IF(COUNTIF($B$2:$B10,$B10)=1,1,0))</f>
        <v>0</v>
      </c>
      <c r="W10" s="39" t="str">
        <f>IF($V10=1,COUNTIF($V$2:$V10,1),"")</f>
        <v/>
      </c>
      <c r="X10" s="39">
        <f>IF($A10="","",IF(COUNTIF($A$2:$A10,$A10)=1,1,0))</f>
        <v>0</v>
      </c>
      <c r="Y10" s="39" t="str">
        <f>IF($X10=1,COUNTIF($X$2:$X10,1),"")</f>
        <v/>
      </c>
      <c r="Z10" s="39">
        <f>IF(AND($E10="timed",$N10&gt;Settings!$C$8),1,0)</f>
        <v>0</v>
      </c>
      <c r="AA10" s="39">
        <f t="shared" si="4"/>
        <v>0</v>
      </c>
      <c r="AB10" s="39">
        <f t="shared" si="5"/>
        <v>1</v>
      </c>
      <c r="AC10" s="39">
        <f t="shared" si="6"/>
        <v>39973288410010</v>
      </c>
      <c r="AD10" s="39">
        <f t="shared" si="7"/>
        <v>9</v>
      </c>
      <c r="AE10" s="39" t="str">
        <f t="shared" si="8"/>
        <v>Email</v>
      </c>
      <c r="AF10" s="106">
        <f t="shared" si="9"/>
        <v>46265.380104166667</v>
      </c>
      <c r="AG10" s="39">
        <f t="shared" si="10"/>
        <v>1</v>
      </c>
      <c r="AH10" s="39">
        <f t="shared" si="11"/>
        <v>0</v>
      </c>
      <c r="AI10" s="39">
        <f>IF(AND($E10="timed",$N10&gt;=Settings!$C$9),1,0)</f>
        <v>1</v>
      </c>
      <c r="AJ10" s="39">
        <f>IF(OR($S10="",Settings!$C$16=""),"",IF($S10&lt;=Settings!$C$16,1,2))</f>
        <v>1</v>
      </c>
      <c r="AK10" s="39">
        <f>IF($C10="","",IFERROR(IF(INDEX(Settings!$C$20:$C$59,MATCH($C10,Settings!$B$20:$B$59,0))="",Settings!$C$10,INDEX(Settings!$C$20:$C$59,MATCH($C10,Settings!$B$20:$B$59,0))),Settings!$C$10))</f>
        <v>38.42</v>
      </c>
      <c r="AL10" s="108">
        <f t="shared" si="12"/>
        <v>54.46</v>
      </c>
      <c r="AM10" s="39">
        <f t="shared" si="13"/>
        <v>46265</v>
      </c>
      <c r="AN10" s="39" t="str">
        <f t="shared" si="14"/>
        <v/>
      </c>
      <c r="AO10" s="39">
        <f t="shared" si="15"/>
        <v>39973339440010</v>
      </c>
      <c r="AP10" s="39">
        <f t="shared" si="16"/>
        <v>0</v>
      </c>
      <c r="AQ10" s="39">
        <f t="shared" si="17"/>
        <v>0</v>
      </c>
    </row>
    <row r="11" spans="1:44" x14ac:dyDescent="0.25">
      <c r="A11" s="113">
        <v>46265</v>
      </c>
      <c r="B11" t="s">
        <v>293</v>
      </c>
      <c r="C11" t="s">
        <v>293</v>
      </c>
      <c r="D11" t="s">
        <v>288</v>
      </c>
      <c r="E11" t="s">
        <v>289</v>
      </c>
      <c r="F11" t="s">
        <v>309</v>
      </c>
      <c r="G11" t="s">
        <v>310</v>
      </c>
      <c r="H11">
        <v>106.18</v>
      </c>
      <c r="I11">
        <v>0</v>
      </c>
      <c r="K11" t="s">
        <v>292</v>
      </c>
      <c r="N11" s="105">
        <f t="shared" si="0"/>
        <v>106.18</v>
      </c>
      <c r="O11" s="106">
        <f>IF($F11="","",IF(ISNUMBER($F11),$F11+Settings!$C$7/24,IFERROR(DATEVALUE(LEFT($F11,10))+TIMEVALUE(MID($F11,12,8))+Settings!$C$7/24,"")))</f>
        <v>46265.439189814817</v>
      </c>
      <c r="P11" s="106">
        <f>IF($G11="","",IF(ISNUMBER($G11),$G11+Settings!$C$7/24,IFERROR(DATEVALUE(LEFT($G11,10))+TIMEVALUE(MID($G11,12,8))+Settings!$C$7/24,"")))</f>
        <v>46265.512928240743</v>
      </c>
      <c r="Q11" s="39">
        <f t="shared" si="1"/>
        <v>10</v>
      </c>
      <c r="R11" s="39">
        <f t="shared" si="2"/>
        <v>1</v>
      </c>
      <c r="S11" s="107">
        <f t="shared" si="3"/>
        <v>46265</v>
      </c>
      <c r="T11" s="39">
        <f>IF($C11="","",IF(COUNTIF($C$2:$C11,$C11)=1,1,0))</f>
        <v>0</v>
      </c>
      <c r="U11" s="39" t="str">
        <f>IF($T11=1,COUNTIF($T$2:$T11,1),"")</f>
        <v/>
      </c>
      <c r="V11" s="39">
        <f>IF($B11="","",IF(COUNTIF($B$2:$B11,$B11)=1,1,0))</f>
        <v>0</v>
      </c>
      <c r="W11" s="39" t="str">
        <f>IF($V11=1,COUNTIF($V$2:$V11,1),"")</f>
        <v/>
      </c>
      <c r="X11" s="39">
        <f>IF($A11="","",IF(COUNTIF($A$2:$A11,$A11)=1,1,0))</f>
        <v>0</v>
      </c>
      <c r="Y11" s="39" t="str">
        <f>IF($X11=1,COUNTIF($X$2:$X11,1),"")</f>
        <v/>
      </c>
      <c r="Z11" s="39">
        <f>IF(AND($E11="timed",$N11&gt;Settings!$C$8),1,0)</f>
        <v>0</v>
      </c>
      <c r="AA11" s="39">
        <f t="shared" si="4"/>
        <v>0</v>
      </c>
      <c r="AB11" s="39">
        <f t="shared" si="5"/>
        <v>0</v>
      </c>
      <c r="AC11" s="39">
        <f t="shared" si="6"/>
        <v>39973339460011</v>
      </c>
      <c r="AD11" s="39">
        <f t="shared" si="7"/>
        <v>10</v>
      </c>
      <c r="AE11" s="39" t="str">
        <f t="shared" si="8"/>
        <v>Dev Tickets - ADO's</v>
      </c>
      <c r="AF11" s="106">
        <f t="shared" si="9"/>
        <v>46265.439166666663</v>
      </c>
      <c r="AG11" s="39">
        <f t="shared" si="10"/>
        <v>1</v>
      </c>
      <c r="AH11" s="39">
        <f t="shared" si="11"/>
        <v>0</v>
      </c>
      <c r="AI11" s="39">
        <f>IF(AND($E11="timed",$N11&gt;=Settings!$C$9),1,0)</f>
        <v>1</v>
      </c>
      <c r="AJ11" s="39">
        <f>IF(OR($S11="",Settings!$C$16=""),"",IF($S11&lt;=Settings!$C$16,1,2))</f>
        <v>1</v>
      </c>
      <c r="AK11" s="39">
        <f>IF($C11="","",IFERROR(IF(INDEX(Settings!$C$20:$C$59,MATCH($C11,Settings!$B$20:$B$59,0))="",Settings!$C$10,INDEX(Settings!$C$20:$C$59,MATCH($C11,Settings!$B$20:$B$59,0))),Settings!$C$10))</f>
        <v>38.42</v>
      </c>
      <c r="AL11" s="108">
        <f t="shared" si="12"/>
        <v>67.989999999999995</v>
      </c>
      <c r="AM11" s="39">
        <f t="shared" si="13"/>
        <v>46265</v>
      </c>
      <c r="AN11" s="39" t="str">
        <f t="shared" si="14"/>
        <v/>
      </c>
      <c r="AO11" s="39">
        <f t="shared" si="15"/>
        <v>39973403170011</v>
      </c>
      <c r="AP11" s="39">
        <f t="shared" si="16"/>
        <v>0</v>
      </c>
      <c r="AQ11" s="39">
        <f t="shared" si="17"/>
        <v>0</v>
      </c>
    </row>
    <row r="12" spans="1:44" x14ac:dyDescent="0.25">
      <c r="A12" s="113">
        <v>46265</v>
      </c>
      <c r="B12" t="s">
        <v>311</v>
      </c>
      <c r="C12" t="s">
        <v>311</v>
      </c>
      <c r="D12" t="s">
        <v>288</v>
      </c>
      <c r="E12" t="s">
        <v>289</v>
      </c>
      <c r="F12" t="s">
        <v>312</v>
      </c>
      <c r="G12" t="s">
        <v>313</v>
      </c>
      <c r="H12">
        <v>31.3</v>
      </c>
      <c r="I12">
        <v>0</v>
      </c>
      <c r="K12" t="s">
        <v>292</v>
      </c>
      <c r="N12" s="105">
        <f t="shared" si="0"/>
        <v>31.3</v>
      </c>
      <c r="O12" s="106">
        <f>IF($F12="","",IF(ISNUMBER($F12),$F12+Settings!$C$7/24,IFERROR(DATEVALUE(LEFT($F12,10))+TIMEVALUE(MID($F12,12,8))+Settings!$C$7/24,"")))</f>
        <v>46265.512962962966</v>
      </c>
      <c r="P12" s="106">
        <f>IF($G12="","",IF(ISNUMBER($G12),$G12+Settings!$C$7/24,IFERROR(DATEVALUE(LEFT($G12,10))+TIMEVALUE(MID($G12,12,8))+Settings!$C$7/24,"")))</f>
        <v>46265.534699074073</v>
      </c>
      <c r="Q12" s="39">
        <f t="shared" si="1"/>
        <v>12</v>
      </c>
      <c r="R12" s="39">
        <f t="shared" si="2"/>
        <v>1</v>
      </c>
      <c r="S12" s="107">
        <f t="shared" si="3"/>
        <v>46265</v>
      </c>
      <c r="T12" s="39">
        <f>IF($C12="","",IF(COUNTIF($C$2:$C12,$C12)=1,1,0))</f>
        <v>1</v>
      </c>
      <c r="U12" s="39">
        <f>IF($T12=1,COUNTIF($T$2:$T12,1),"")</f>
        <v>5</v>
      </c>
      <c r="V12" s="39">
        <f>IF($B12="","",IF(COUNTIF($B$2:$B12,$B12)=1,1,0))</f>
        <v>1</v>
      </c>
      <c r="W12" s="39">
        <f>IF($V12=1,COUNTIF($V$2:$V12,1),"")</f>
        <v>5</v>
      </c>
      <c r="X12" s="39">
        <f>IF($A12="","",IF(COUNTIF($A$2:$A12,$A12)=1,1,0))</f>
        <v>0</v>
      </c>
      <c r="Y12" s="39" t="str">
        <f>IF($X12=1,COUNTIF($X$2:$X12,1),"")</f>
        <v/>
      </c>
      <c r="Z12" s="39">
        <f>IF(AND($E12="timed",$N12&gt;Settings!$C$8),1,0)</f>
        <v>0</v>
      </c>
      <c r="AA12" s="39">
        <f t="shared" si="4"/>
        <v>0</v>
      </c>
      <c r="AB12" s="39">
        <f t="shared" si="5"/>
        <v>0</v>
      </c>
      <c r="AC12" s="39">
        <f t="shared" si="6"/>
        <v>39973403200012</v>
      </c>
      <c r="AD12" s="39">
        <f t="shared" si="7"/>
        <v>11</v>
      </c>
      <c r="AE12" s="39" t="str">
        <f t="shared" si="8"/>
        <v>Zendesk Tickets</v>
      </c>
      <c r="AF12" s="106">
        <f t="shared" si="9"/>
        <v>46265.512928240743</v>
      </c>
      <c r="AG12" s="39">
        <f t="shared" si="10"/>
        <v>1</v>
      </c>
      <c r="AH12" s="39">
        <f t="shared" si="11"/>
        <v>0</v>
      </c>
      <c r="AI12" s="39">
        <f>IF(AND($E12="timed",$N12&gt;=Settings!$C$9),1,0)</f>
        <v>0</v>
      </c>
      <c r="AJ12" s="39">
        <f>IF(OR($S12="",Settings!$C$16=""),"",IF($S12&lt;=Settings!$C$16,1,2))</f>
        <v>1</v>
      </c>
      <c r="AK12" s="39">
        <f>IF($C12="","",IFERROR(IF(INDEX(Settings!$C$20:$C$59,MATCH($C12,Settings!$B$20:$B$59,0))="",Settings!$C$10,INDEX(Settings!$C$20:$C$59,MATCH($C12,Settings!$B$20:$B$59,0))),Settings!$C$10))</f>
        <v>38.42</v>
      </c>
      <c r="AL12" s="108">
        <f t="shared" si="12"/>
        <v>20.04</v>
      </c>
      <c r="AM12" s="39">
        <f t="shared" si="13"/>
        <v>46265</v>
      </c>
      <c r="AN12" s="39" t="str">
        <f t="shared" si="14"/>
        <v/>
      </c>
      <c r="AO12" s="39">
        <f t="shared" si="15"/>
        <v>39973421980012</v>
      </c>
      <c r="AP12" s="39">
        <f t="shared" si="16"/>
        <v>0</v>
      </c>
      <c r="AQ12" s="39">
        <f t="shared" si="17"/>
        <v>0</v>
      </c>
    </row>
    <row r="13" spans="1:44" x14ac:dyDescent="0.25">
      <c r="A13" s="113">
        <v>46265</v>
      </c>
      <c r="B13" t="s">
        <v>287</v>
      </c>
      <c r="C13" t="s">
        <v>287</v>
      </c>
      <c r="D13" t="s">
        <v>288</v>
      </c>
      <c r="E13" t="s">
        <v>289</v>
      </c>
      <c r="F13" t="s">
        <v>314</v>
      </c>
      <c r="G13" t="s">
        <v>315</v>
      </c>
      <c r="H13">
        <v>3.74</v>
      </c>
      <c r="I13">
        <v>0</v>
      </c>
      <c r="K13" t="s">
        <v>292</v>
      </c>
      <c r="N13" s="105">
        <f t="shared" si="0"/>
        <v>3.74</v>
      </c>
      <c r="O13" s="106">
        <f>IF($F13="","",IF(ISNUMBER($F13),$F13+Settings!$C$7/24,IFERROR(DATEVALUE(LEFT($F13,10))+TIMEVALUE(MID($F13,12,8))+Settings!$C$7/24,"")))</f>
        <v>46265.534756944442</v>
      </c>
      <c r="P13" s="106">
        <f>IF($G13="","",IF(ISNUMBER($G13),$G13+Settings!$C$7/24,IFERROR(DATEVALUE(LEFT($G13,10))+TIMEVALUE(MID($G13,12,8))+Settings!$C$7/24,"")))</f>
        <v>46265.537349537037</v>
      </c>
      <c r="Q13" s="39">
        <f t="shared" si="1"/>
        <v>12</v>
      </c>
      <c r="R13" s="39">
        <f t="shared" si="2"/>
        <v>1</v>
      </c>
      <c r="S13" s="107">
        <f t="shared" si="3"/>
        <v>46265</v>
      </c>
      <c r="T13" s="39">
        <f>IF($C13="","",IF(COUNTIF($C$2:$C13,$C13)=1,1,0))</f>
        <v>0</v>
      </c>
      <c r="U13" s="39" t="str">
        <f>IF($T13=1,COUNTIF($T$2:$T13,1),"")</f>
        <v/>
      </c>
      <c r="V13" s="39">
        <f>IF($B13="","",IF(COUNTIF($B$2:$B13,$B13)=1,1,0))</f>
        <v>0</v>
      </c>
      <c r="W13" s="39" t="str">
        <f>IF($V13=1,COUNTIF($V$2:$V13,1),"")</f>
        <v/>
      </c>
      <c r="X13" s="39">
        <f>IF($A13="","",IF(COUNTIF($A$2:$A13,$A13)=1,1,0))</f>
        <v>0</v>
      </c>
      <c r="Y13" s="39" t="str">
        <f>IF($X13=1,COUNTIF($X$2:$X13,1),"")</f>
        <v/>
      </c>
      <c r="Z13" s="39">
        <f>IF(AND($E13="timed",$N13&gt;Settings!$C$8),1,0)</f>
        <v>0</v>
      </c>
      <c r="AA13" s="39">
        <f t="shared" si="4"/>
        <v>0</v>
      </c>
      <c r="AB13" s="39">
        <f t="shared" si="5"/>
        <v>0</v>
      </c>
      <c r="AC13" s="39">
        <f t="shared" si="6"/>
        <v>39973422030013</v>
      </c>
      <c r="AD13" s="39">
        <f t="shared" si="7"/>
        <v>12</v>
      </c>
      <c r="AE13" s="39" t="str">
        <f t="shared" si="8"/>
        <v>Lunch Break</v>
      </c>
      <c r="AF13" s="106">
        <f t="shared" si="9"/>
        <v>46265.534699074073</v>
      </c>
      <c r="AG13" s="39">
        <f t="shared" si="10"/>
        <v>1</v>
      </c>
      <c r="AH13" s="39">
        <f t="shared" si="11"/>
        <v>0</v>
      </c>
      <c r="AI13" s="39">
        <f>IF(AND($E13="timed",$N13&gt;=Settings!$C$9),1,0)</f>
        <v>0</v>
      </c>
      <c r="AJ13" s="39">
        <f>IF(OR($S13="",Settings!$C$16=""),"",IF($S13&lt;=Settings!$C$16,1,2))</f>
        <v>1</v>
      </c>
      <c r="AK13" s="39">
        <f>IF($C13="","",IFERROR(IF(INDEX(Settings!$C$20:$C$59,MATCH($C13,Settings!$B$20:$B$59,0))="",Settings!$C$10,INDEX(Settings!$C$20:$C$59,MATCH($C13,Settings!$B$20:$B$59,0))),Settings!$C$10))</f>
        <v>38.42</v>
      </c>
      <c r="AL13" s="108">
        <f t="shared" si="12"/>
        <v>2.39</v>
      </c>
      <c r="AM13" s="39">
        <f t="shared" si="13"/>
        <v>46265</v>
      </c>
      <c r="AN13" s="39" t="str">
        <f t="shared" si="14"/>
        <v/>
      </c>
      <c r="AO13" s="39">
        <f t="shared" si="15"/>
        <v>39973424270013</v>
      </c>
      <c r="AP13" s="39">
        <f t="shared" si="16"/>
        <v>0</v>
      </c>
      <c r="AQ13" s="39">
        <f t="shared" si="17"/>
        <v>0</v>
      </c>
    </row>
    <row r="14" spans="1:44" x14ac:dyDescent="0.25">
      <c r="A14" s="113">
        <v>46265</v>
      </c>
      <c r="B14" t="s">
        <v>303</v>
      </c>
      <c r="C14" t="s">
        <v>303</v>
      </c>
      <c r="D14" t="s">
        <v>288</v>
      </c>
      <c r="E14" t="s">
        <v>289</v>
      </c>
      <c r="F14" t="s">
        <v>316</v>
      </c>
      <c r="G14" t="s">
        <v>317</v>
      </c>
      <c r="H14">
        <v>112.82</v>
      </c>
      <c r="I14">
        <v>0</v>
      </c>
      <c r="K14" t="s">
        <v>292</v>
      </c>
      <c r="N14" s="105">
        <f t="shared" si="0"/>
        <v>112.82</v>
      </c>
      <c r="O14" s="106">
        <f>IF($F14="","",IF(ISNUMBER($F14),$F14+Settings!$C$7/24,IFERROR(DATEVALUE(LEFT($F14,10))+TIMEVALUE(MID($F14,12,8))+Settings!$C$7/24,"")))</f>
        <v>46265.537395833337</v>
      </c>
      <c r="P14" s="106">
        <f>IF($G14="","",IF(ISNUMBER($G14),$G14+Settings!$C$7/24,IFERROR(DATEVALUE(LEFT($G14,10))+TIMEVALUE(MID($G14,12,8))+Settings!$C$7/24,"")))</f>
        <v>46265.615740740737</v>
      </c>
      <c r="Q14" s="39">
        <f t="shared" si="1"/>
        <v>12</v>
      </c>
      <c r="R14" s="39">
        <f t="shared" si="2"/>
        <v>1</v>
      </c>
      <c r="S14" s="107">
        <f t="shared" si="3"/>
        <v>46265</v>
      </c>
      <c r="T14" s="39">
        <f>IF($C14="","",IF(COUNTIF($C$2:$C14,$C14)=1,1,0))</f>
        <v>0</v>
      </c>
      <c r="U14" s="39" t="str">
        <f>IF($T14=1,COUNTIF($T$2:$T14,1),"")</f>
        <v/>
      </c>
      <c r="V14" s="39">
        <f>IF($B14="","",IF(COUNTIF($B$2:$B14,$B14)=1,1,0))</f>
        <v>0</v>
      </c>
      <c r="W14" s="39" t="str">
        <f>IF($V14=1,COUNTIF($V$2:$V14,1),"")</f>
        <v/>
      </c>
      <c r="X14" s="39">
        <f>IF($A14="","",IF(COUNTIF($A$2:$A14,$A14)=1,1,0))</f>
        <v>0</v>
      </c>
      <c r="Y14" s="39" t="str">
        <f>IF($X14=1,COUNTIF($X$2:$X14,1),"")</f>
        <v/>
      </c>
      <c r="Z14" s="39">
        <f>IF(AND($E14="timed",$N14&gt;Settings!$C$8),1,0)</f>
        <v>0</v>
      </c>
      <c r="AA14" s="39">
        <f t="shared" si="4"/>
        <v>0</v>
      </c>
      <c r="AB14" s="39">
        <f t="shared" si="5"/>
        <v>0</v>
      </c>
      <c r="AC14" s="39">
        <f t="shared" si="6"/>
        <v>39973424310014</v>
      </c>
      <c r="AD14" s="39">
        <f t="shared" si="7"/>
        <v>13</v>
      </c>
      <c r="AE14" s="39" t="str">
        <f t="shared" si="8"/>
        <v>Email</v>
      </c>
      <c r="AF14" s="106">
        <f t="shared" si="9"/>
        <v>46265.537349537037</v>
      </c>
      <c r="AG14" s="39">
        <f t="shared" si="10"/>
        <v>1</v>
      </c>
      <c r="AH14" s="39">
        <f t="shared" si="11"/>
        <v>0</v>
      </c>
      <c r="AI14" s="39">
        <f>IF(AND($E14="timed",$N14&gt;=Settings!$C$9),1,0)</f>
        <v>1</v>
      </c>
      <c r="AJ14" s="39">
        <f>IF(OR($S14="",Settings!$C$16=""),"",IF($S14&lt;=Settings!$C$16,1,2))</f>
        <v>1</v>
      </c>
      <c r="AK14" s="39">
        <f>IF($C14="","",IFERROR(IF(INDEX(Settings!$C$20:$C$59,MATCH($C14,Settings!$B$20:$B$59,0))="",Settings!$C$10,INDEX(Settings!$C$20:$C$59,MATCH($C14,Settings!$B$20:$B$59,0))),Settings!$C$10))</f>
        <v>38.42</v>
      </c>
      <c r="AL14" s="108">
        <f t="shared" si="12"/>
        <v>72.239999999999995</v>
      </c>
      <c r="AM14" s="39">
        <f t="shared" si="13"/>
        <v>46265</v>
      </c>
      <c r="AN14" s="39" t="str">
        <f t="shared" si="14"/>
        <v/>
      </c>
      <c r="AO14" s="39">
        <f t="shared" si="15"/>
        <v>39973492000014</v>
      </c>
      <c r="AP14" s="39">
        <f t="shared" si="16"/>
        <v>0</v>
      </c>
      <c r="AQ14" s="39">
        <f t="shared" si="17"/>
        <v>0</v>
      </c>
    </row>
    <row r="15" spans="1:44" x14ac:dyDescent="0.25">
      <c r="A15" s="113">
        <v>46265</v>
      </c>
      <c r="B15" t="s">
        <v>287</v>
      </c>
      <c r="C15" t="s">
        <v>287</v>
      </c>
      <c r="D15" t="s">
        <v>288</v>
      </c>
      <c r="E15" t="s">
        <v>289</v>
      </c>
      <c r="F15" t="s">
        <v>318</v>
      </c>
      <c r="G15" t="s">
        <v>319</v>
      </c>
      <c r="H15">
        <v>19.32</v>
      </c>
      <c r="I15">
        <v>0</v>
      </c>
      <c r="K15" t="s">
        <v>292</v>
      </c>
      <c r="N15" s="105">
        <f t="shared" si="0"/>
        <v>19.32</v>
      </c>
      <c r="O15" s="106">
        <f>IF($F15="","",IF(ISNUMBER($F15),$F15+Settings!$C$7/24,IFERROR(DATEVALUE(LEFT($F15,10))+TIMEVALUE(MID($F15,12,8))+Settings!$C$7/24,"")))</f>
        <v>46265.615833333337</v>
      </c>
      <c r="P15" s="106">
        <f>IF($G15="","",IF(ISNUMBER($G15),$G15+Settings!$C$7/24,IFERROR(DATEVALUE(LEFT($G15,10))+TIMEVALUE(MID($G15,12,8))+Settings!$C$7/24,"")))</f>
        <v>46265.629259259258</v>
      </c>
      <c r="Q15" s="39">
        <f t="shared" si="1"/>
        <v>14</v>
      </c>
      <c r="R15" s="39">
        <f t="shared" si="2"/>
        <v>1</v>
      </c>
      <c r="S15" s="107">
        <f t="shared" si="3"/>
        <v>46265</v>
      </c>
      <c r="T15" s="39">
        <f>IF($C15="","",IF(COUNTIF($C$2:$C15,$C15)=1,1,0))</f>
        <v>0</v>
      </c>
      <c r="U15" s="39" t="str">
        <f>IF($T15=1,COUNTIF($T$2:$T15,1),"")</f>
        <v/>
      </c>
      <c r="V15" s="39">
        <f>IF($B15="","",IF(COUNTIF($B$2:$B15,$B15)=1,1,0))</f>
        <v>0</v>
      </c>
      <c r="W15" s="39" t="str">
        <f>IF($V15=1,COUNTIF($V$2:$V15,1),"")</f>
        <v/>
      </c>
      <c r="X15" s="39">
        <f>IF($A15="","",IF(COUNTIF($A$2:$A15,$A15)=1,1,0))</f>
        <v>0</v>
      </c>
      <c r="Y15" s="39" t="str">
        <f>IF($X15=1,COUNTIF($X$2:$X15,1),"")</f>
        <v/>
      </c>
      <c r="Z15" s="39">
        <f>IF(AND($E15="timed",$N15&gt;Settings!$C$8),1,0)</f>
        <v>0</v>
      </c>
      <c r="AA15" s="39">
        <f t="shared" si="4"/>
        <v>0</v>
      </c>
      <c r="AB15" s="39">
        <f t="shared" si="5"/>
        <v>0</v>
      </c>
      <c r="AC15" s="39">
        <f t="shared" si="6"/>
        <v>39973492080015</v>
      </c>
      <c r="AD15" s="39">
        <f t="shared" si="7"/>
        <v>14</v>
      </c>
      <c r="AE15" s="39" t="str">
        <f t="shared" si="8"/>
        <v>Dev Tickets - ADO's</v>
      </c>
      <c r="AF15" s="106">
        <f t="shared" si="9"/>
        <v>46265.615740740737</v>
      </c>
      <c r="AG15" s="39">
        <f t="shared" si="10"/>
        <v>1</v>
      </c>
      <c r="AH15" s="39">
        <f t="shared" si="11"/>
        <v>0</v>
      </c>
      <c r="AI15" s="39">
        <f>IF(AND($E15="timed",$N15&gt;=Settings!$C$9),1,0)</f>
        <v>0</v>
      </c>
      <c r="AJ15" s="39">
        <f>IF(OR($S15="",Settings!$C$16=""),"",IF($S15&lt;=Settings!$C$16,1,2))</f>
        <v>1</v>
      </c>
      <c r="AK15" s="39">
        <f>IF($C15="","",IFERROR(IF(INDEX(Settings!$C$20:$C$59,MATCH($C15,Settings!$B$20:$B$59,0))="",Settings!$C$10,INDEX(Settings!$C$20:$C$59,MATCH($C15,Settings!$B$20:$B$59,0))),Settings!$C$10))</f>
        <v>38.42</v>
      </c>
      <c r="AL15" s="108">
        <f t="shared" si="12"/>
        <v>12.37</v>
      </c>
      <c r="AM15" s="39">
        <f t="shared" si="13"/>
        <v>46265</v>
      </c>
      <c r="AN15" s="39" t="str">
        <f t="shared" si="14"/>
        <v/>
      </c>
      <c r="AO15" s="39">
        <f t="shared" si="15"/>
        <v>39973503680015</v>
      </c>
      <c r="AP15" s="39">
        <f t="shared" si="16"/>
        <v>0</v>
      </c>
      <c r="AQ15" s="39">
        <f t="shared" si="17"/>
        <v>0</v>
      </c>
    </row>
    <row r="16" spans="1:44" x14ac:dyDescent="0.25">
      <c r="A16" s="113">
        <v>46265</v>
      </c>
      <c r="B16" t="s">
        <v>293</v>
      </c>
      <c r="C16" t="s">
        <v>293</v>
      </c>
      <c r="D16" t="s">
        <v>288</v>
      </c>
      <c r="E16" t="s">
        <v>289</v>
      </c>
      <c r="F16" t="s">
        <v>320</v>
      </c>
      <c r="G16" t="s">
        <v>321</v>
      </c>
      <c r="H16">
        <v>29.84</v>
      </c>
      <c r="I16">
        <v>0</v>
      </c>
      <c r="K16" t="s">
        <v>292</v>
      </c>
      <c r="N16" s="105">
        <f t="shared" si="0"/>
        <v>29.84</v>
      </c>
      <c r="O16" s="106">
        <f>IF($F16="","",IF(ISNUMBER($F16),$F16+Settings!$C$7/24,IFERROR(DATEVALUE(LEFT($F16,10))+TIMEVALUE(MID($F16,12,8))+Settings!$C$7/24,"")))</f>
        <v>46265.629282407404</v>
      </c>
      <c r="P16" s="106">
        <f>IF($G16="","",IF(ISNUMBER($G16),$G16+Settings!$C$7/24,IFERROR(DATEVALUE(LEFT($G16,10))+TIMEVALUE(MID($G16,12,8))+Settings!$C$7/24,"")))</f>
        <v>46265.65</v>
      </c>
      <c r="Q16" s="39">
        <f t="shared" si="1"/>
        <v>15</v>
      </c>
      <c r="R16" s="39">
        <f t="shared" si="2"/>
        <v>1</v>
      </c>
      <c r="S16" s="107">
        <f t="shared" si="3"/>
        <v>46265</v>
      </c>
      <c r="T16" s="39">
        <f>IF($C16="","",IF(COUNTIF($C$2:$C16,$C16)=1,1,0))</f>
        <v>0</v>
      </c>
      <c r="U16" s="39" t="str">
        <f>IF($T16=1,COUNTIF($T$2:$T16,1),"")</f>
        <v/>
      </c>
      <c r="V16" s="39">
        <f>IF($B16="","",IF(COUNTIF($B$2:$B16,$B16)=1,1,0))</f>
        <v>0</v>
      </c>
      <c r="W16" s="39" t="str">
        <f>IF($V16=1,COUNTIF($V$2:$V16,1),"")</f>
        <v/>
      </c>
      <c r="X16" s="39">
        <f>IF($A16="","",IF(COUNTIF($A$2:$A16,$A16)=1,1,0))</f>
        <v>0</v>
      </c>
      <c r="Y16" s="39" t="str">
        <f>IF($X16=1,COUNTIF($X$2:$X16,1),"")</f>
        <v/>
      </c>
      <c r="Z16" s="39">
        <f>IF(AND($E16="timed",$N16&gt;Settings!$C$8),1,0)</f>
        <v>0</v>
      </c>
      <c r="AA16" s="39">
        <f t="shared" si="4"/>
        <v>0</v>
      </c>
      <c r="AB16" s="39">
        <f t="shared" si="5"/>
        <v>0</v>
      </c>
      <c r="AC16" s="39">
        <f t="shared" si="6"/>
        <v>39973503700016</v>
      </c>
      <c r="AD16" s="39">
        <f t="shared" si="7"/>
        <v>15</v>
      </c>
      <c r="AE16" s="39" t="str">
        <f t="shared" si="8"/>
        <v>Email</v>
      </c>
      <c r="AF16" s="106">
        <f t="shared" si="9"/>
        <v>46265.629259259258</v>
      </c>
      <c r="AG16" s="39">
        <f t="shared" si="10"/>
        <v>1</v>
      </c>
      <c r="AH16" s="39">
        <f t="shared" si="11"/>
        <v>0</v>
      </c>
      <c r="AI16" s="39">
        <f>IF(AND($E16="timed",$N16&gt;=Settings!$C$9),1,0)</f>
        <v>0</v>
      </c>
      <c r="AJ16" s="39">
        <f>IF(OR($S16="",Settings!$C$16=""),"",IF($S16&lt;=Settings!$C$16,1,2))</f>
        <v>1</v>
      </c>
      <c r="AK16" s="39">
        <f>IF($C16="","",IFERROR(IF(INDEX(Settings!$C$20:$C$59,MATCH($C16,Settings!$B$20:$B$59,0))="",Settings!$C$10,INDEX(Settings!$C$20:$C$59,MATCH($C16,Settings!$B$20:$B$59,0))),Settings!$C$10))</f>
        <v>38.42</v>
      </c>
      <c r="AL16" s="108">
        <f t="shared" si="12"/>
        <v>19.11</v>
      </c>
      <c r="AM16" s="39">
        <f t="shared" si="13"/>
        <v>46265</v>
      </c>
      <c r="AN16" s="39" t="str">
        <f t="shared" si="14"/>
        <v/>
      </c>
      <c r="AO16" s="39">
        <f t="shared" si="15"/>
        <v>39973521600016</v>
      </c>
      <c r="AP16" s="39">
        <f t="shared" si="16"/>
        <v>0</v>
      </c>
      <c r="AQ16" s="39">
        <f t="shared" si="17"/>
        <v>0</v>
      </c>
    </row>
    <row r="17" spans="1:43" x14ac:dyDescent="0.25">
      <c r="A17" s="113">
        <v>46265</v>
      </c>
      <c r="B17" t="s">
        <v>322</v>
      </c>
      <c r="C17" t="s">
        <v>322</v>
      </c>
      <c r="D17" t="s">
        <v>288</v>
      </c>
      <c r="E17" t="s">
        <v>289</v>
      </c>
      <c r="F17" t="s">
        <v>323</v>
      </c>
      <c r="G17" t="s">
        <v>324</v>
      </c>
      <c r="H17">
        <v>22.19</v>
      </c>
      <c r="I17">
        <v>0</v>
      </c>
      <c r="K17" t="s">
        <v>292</v>
      </c>
      <c r="N17" s="105">
        <f t="shared" si="0"/>
        <v>22.19</v>
      </c>
      <c r="O17" s="106">
        <f>IF($F17="","",IF(ISNUMBER($F17),$F17+Settings!$C$7/24,IFERROR(DATEVALUE(LEFT($F17,10))+TIMEVALUE(MID($F17,12,8))+Settings!$C$7/24,"")))</f>
        <v>46265.650034722225</v>
      </c>
      <c r="P17" s="106">
        <f>IF($G17="","",IF(ISNUMBER($G17),$G17+Settings!$C$7/24,IFERROR(DATEVALUE(LEFT($G17,10))+TIMEVALUE(MID($G17,12,8))+Settings!$C$7/24,"")))</f>
        <v>46265.665439814817</v>
      </c>
      <c r="Q17" s="39">
        <f t="shared" si="1"/>
        <v>15</v>
      </c>
      <c r="R17" s="39">
        <f t="shared" si="2"/>
        <v>1</v>
      </c>
      <c r="S17" s="107">
        <f t="shared" si="3"/>
        <v>46265</v>
      </c>
      <c r="T17" s="39">
        <f>IF($C17="","",IF(COUNTIF($C$2:$C17,$C17)=1,1,0))</f>
        <v>1</v>
      </c>
      <c r="U17" s="39">
        <f>IF($T17=1,COUNTIF($T$2:$T17,1),"")</f>
        <v>6</v>
      </c>
      <c r="V17" s="39">
        <f>IF($B17="","",IF(COUNTIF($B$2:$B17,$B17)=1,1,0))</f>
        <v>1</v>
      </c>
      <c r="W17" s="39">
        <f>IF($V17=1,COUNTIF($V$2:$V17,1),"")</f>
        <v>6</v>
      </c>
      <c r="X17" s="39">
        <f>IF($A17="","",IF(COUNTIF($A$2:$A17,$A17)=1,1,0))</f>
        <v>0</v>
      </c>
      <c r="Y17" s="39" t="str">
        <f>IF($X17=1,COUNTIF($X$2:$X17,1),"")</f>
        <v/>
      </c>
      <c r="Z17" s="39">
        <f>IF(AND($E17="timed",$N17&gt;Settings!$C$8),1,0)</f>
        <v>0</v>
      </c>
      <c r="AA17" s="39">
        <f t="shared" si="4"/>
        <v>0</v>
      </c>
      <c r="AB17" s="39">
        <f t="shared" si="5"/>
        <v>0</v>
      </c>
      <c r="AC17" s="39">
        <f t="shared" si="6"/>
        <v>39973521630017</v>
      </c>
      <c r="AD17" s="39">
        <f t="shared" si="7"/>
        <v>16</v>
      </c>
      <c r="AE17" s="39" t="str">
        <f t="shared" si="8"/>
        <v>Zendesk Tickets</v>
      </c>
      <c r="AF17" s="106">
        <f t="shared" si="9"/>
        <v>46265.65</v>
      </c>
      <c r="AG17" s="39">
        <f t="shared" si="10"/>
        <v>1</v>
      </c>
      <c r="AH17" s="39">
        <f t="shared" si="11"/>
        <v>0</v>
      </c>
      <c r="AI17" s="39">
        <f>IF(AND($E17="timed",$N17&gt;=Settings!$C$9),1,0)</f>
        <v>0</v>
      </c>
      <c r="AJ17" s="39">
        <f>IF(OR($S17="",Settings!$C$16=""),"",IF($S17&lt;=Settings!$C$16,1,2))</f>
        <v>1</v>
      </c>
      <c r="AK17" s="39">
        <f>IF($C17="","",IFERROR(IF(INDEX(Settings!$C$20:$C$59,MATCH($C17,Settings!$B$20:$B$59,0))="",Settings!$C$10,INDEX(Settings!$C$20:$C$59,MATCH($C17,Settings!$B$20:$B$59,0))),Settings!$C$10))</f>
        <v>38.42</v>
      </c>
      <c r="AL17" s="108">
        <f t="shared" si="12"/>
        <v>14.21</v>
      </c>
      <c r="AM17" s="39">
        <f t="shared" si="13"/>
        <v>46265</v>
      </c>
      <c r="AN17" s="39" t="str">
        <f t="shared" si="14"/>
        <v/>
      </c>
      <c r="AO17" s="39">
        <f t="shared" si="15"/>
        <v>39973534940017</v>
      </c>
      <c r="AP17" s="39">
        <f t="shared" si="16"/>
        <v>0</v>
      </c>
      <c r="AQ17" s="39">
        <f t="shared" si="17"/>
        <v>0</v>
      </c>
    </row>
    <row r="18" spans="1:43" x14ac:dyDescent="0.25">
      <c r="A18" s="113">
        <v>46265</v>
      </c>
      <c r="B18" t="s">
        <v>322</v>
      </c>
      <c r="C18" t="s">
        <v>322</v>
      </c>
      <c r="D18" t="s">
        <v>288</v>
      </c>
      <c r="E18" t="s">
        <v>289</v>
      </c>
      <c r="F18" t="s">
        <v>325</v>
      </c>
      <c r="G18" t="s">
        <v>326</v>
      </c>
      <c r="H18">
        <v>7.0000000000000007E-2</v>
      </c>
      <c r="I18">
        <v>0</v>
      </c>
      <c r="K18" t="s">
        <v>292</v>
      </c>
      <c r="N18" s="105">
        <f t="shared" si="0"/>
        <v>7.0000000000000007E-2</v>
      </c>
      <c r="O18" s="106">
        <f>IF($F18="","",IF(ISNUMBER($F18),$F18+Settings!$C$7/24,IFERROR(DATEVALUE(LEFT($F18,10))+TIMEVALUE(MID($F18,12,8))+Settings!$C$7/24,"")))</f>
        <v>46265.74627314815</v>
      </c>
      <c r="P18" s="106">
        <f>IF($G18="","",IF(ISNUMBER($G18),$G18+Settings!$C$7/24,IFERROR(DATEVALUE(LEFT($G18,10))+TIMEVALUE(MID($G18,12,8))+Settings!$C$7/24,"")))</f>
        <v>46265.746319444443</v>
      </c>
      <c r="Q18" s="39">
        <f t="shared" si="1"/>
        <v>17</v>
      </c>
      <c r="R18" s="39">
        <f t="shared" si="2"/>
        <v>1</v>
      </c>
      <c r="S18" s="107">
        <f t="shared" si="3"/>
        <v>46265</v>
      </c>
      <c r="T18" s="39">
        <f>IF($C18="","",IF(COUNTIF($C$2:$C18,$C18)=1,1,0))</f>
        <v>0</v>
      </c>
      <c r="U18" s="39" t="str">
        <f>IF($T18=1,COUNTIF($T$2:$T18,1),"")</f>
        <v/>
      </c>
      <c r="V18" s="39">
        <f>IF($B18="","",IF(COUNTIF($B$2:$B18,$B18)=1,1,0))</f>
        <v>0</v>
      </c>
      <c r="W18" s="39" t="str">
        <f>IF($V18=1,COUNTIF($V$2:$V18,1),"")</f>
        <v/>
      </c>
      <c r="X18" s="39">
        <f>IF($A18="","",IF(COUNTIF($A$2:$A18,$A18)=1,1,0))</f>
        <v>0</v>
      </c>
      <c r="Y18" s="39" t="str">
        <f>IF($X18=1,COUNTIF($X$2:$X18,1),"")</f>
        <v/>
      </c>
      <c r="Z18" s="39">
        <f>IF(AND($E18="timed",$N18&gt;Settings!$C$8),1,0)</f>
        <v>0</v>
      </c>
      <c r="AA18" s="39">
        <f t="shared" si="4"/>
        <v>0</v>
      </c>
      <c r="AB18" s="39">
        <f t="shared" si="5"/>
        <v>0</v>
      </c>
      <c r="AC18" s="39">
        <f t="shared" si="6"/>
        <v>39973604780018</v>
      </c>
      <c r="AD18" s="39">
        <f t="shared" si="7"/>
        <v>17</v>
      </c>
      <c r="AE18" s="39" t="str">
        <f t="shared" si="8"/>
        <v>Admin</v>
      </c>
      <c r="AF18" s="106">
        <f t="shared" si="9"/>
        <v>46265.665439814817</v>
      </c>
      <c r="AG18" s="39">
        <f t="shared" si="10"/>
        <v>0</v>
      </c>
      <c r="AH18" s="39">
        <f t="shared" si="11"/>
        <v>116</v>
      </c>
      <c r="AI18" s="39">
        <f>IF(AND($E18="timed",$N18&gt;=Settings!$C$9),1,0)</f>
        <v>0</v>
      </c>
      <c r="AJ18" s="39">
        <f>IF(OR($S18="",Settings!$C$16=""),"",IF($S18&lt;=Settings!$C$16,1,2))</f>
        <v>1</v>
      </c>
      <c r="AK18" s="39">
        <f>IF($C18="","",IFERROR(IF(INDEX(Settings!$C$20:$C$59,MATCH($C18,Settings!$B$20:$B$59,0))="",Settings!$C$10,INDEX(Settings!$C$20:$C$59,MATCH($C18,Settings!$B$20:$B$59,0))),Settings!$C$10))</f>
        <v>38.42</v>
      </c>
      <c r="AL18" s="108">
        <f t="shared" si="12"/>
        <v>0.04</v>
      </c>
      <c r="AM18" s="39">
        <f t="shared" si="13"/>
        <v>46265</v>
      </c>
      <c r="AN18" s="39" t="str">
        <f t="shared" si="14"/>
        <v/>
      </c>
      <c r="AO18" s="39">
        <f t="shared" si="15"/>
        <v>39973604820018</v>
      </c>
      <c r="AP18" s="39">
        <f t="shared" si="16"/>
        <v>0</v>
      </c>
      <c r="AQ18" s="39">
        <f t="shared" si="17"/>
        <v>1</v>
      </c>
    </row>
    <row r="19" spans="1:43" x14ac:dyDescent="0.25">
      <c r="A19" s="113">
        <v>46266</v>
      </c>
      <c r="B19" t="s">
        <v>287</v>
      </c>
      <c r="C19" t="s">
        <v>287</v>
      </c>
      <c r="D19" t="s">
        <v>288</v>
      </c>
      <c r="E19" t="s">
        <v>289</v>
      </c>
      <c r="F19" t="s">
        <v>327</v>
      </c>
      <c r="G19" t="s">
        <v>328</v>
      </c>
      <c r="H19">
        <v>43.59</v>
      </c>
      <c r="I19">
        <v>0</v>
      </c>
      <c r="K19" t="s">
        <v>292</v>
      </c>
      <c r="N19" s="105">
        <f t="shared" si="0"/>
        <v>43.59</v>
      </c>
      <c r="O19" s="106">
        <f>IF($F19="","",IF(ISNUMBER($F19),$F19+Settings!$C$7/24,IFERROR(DATEVALUE(LEFT($F19,10))+TIMEVALUE(MID($F19,12,8))+Settings!$C$7/24,"")))</f>
        <v>46266.315474537034</v>
      </c>
      <c r="P19" s="106">
        <f>IF($G19="","",IF(ISNUMBER($G19),$G19+Settings!$C$7/24,IFERROR(DATEVALUE(LEFT($G19,10))+TIMEVALUE(MID($G19,12,8))+Settings!$C$7/24,"")))</f>
        <v>46266.34574074074</v>
      </c>
      <c r="Q19" s="39">
        <f t="shared" si="1"/>
        <v>7</v>
      </c>
      <c r="R19" s="39">
        <f t="shared" si="2"/>
        <v>2</v>
      </c>
      <c r="S19" s="107">
        <f t="shared" si="3"/>
        <v>46266</v>
      </c>
      <c r="T19" s="39">
        <f>IF($C19="","",IF(COUNTIF($C$2:$C19,$C19)=1,1,0))</f>
        <v>0</v>
      </c>
      <c r="U19" s="39" t="str">
        <f>IF($T19=1,COUNTIF($T$2:$T19,1),"")</f>
        <v/>
      </c>
      <c r="V19" s="39">
        <f>IF($B19="","",IF(COUNTIF($B$2:$B19,$B19)=1,1,0))</f>
        <v>0</v>
      </c>
      <c r="W19" s="39" t="str">
        <f>IF($V19=1,COUNTIF($V$2:$V19,1),"")</f>
        <v/>
      </c>
      <c r="X19" s="39">
        <f>IF($A19="","",IF(COUNTIF($A$2:$A19,$A19)=1,1,0))</f>
        <v>1</v>
      </c>
      <c r="Y19" s="39">
        <f>IF($X19=1,COUNTIF($X$2:$X19,1),"")</f>
        <v>2</v>
      </c>
      <c r="Z19" s="39">
        <f>IF(AND($E19="timed",$N19&gt;Settings!$C$8),1,0)</f>
        <v>0</v>
      </c>
      <c r="AA19" s="39">
        <f t="shared" si="4"/>
        <v>0</v>
      </c>
      <c r="AB19" s="39">
        <f t="shared" si="5"/>
        <v>0</v>
      </c>
      <c r="AC19" s="39">
        <f t="shared" si="6"/>
        <v>39974096570019</v>
      </c>
      <c r="AD19" s="39">
        <f t="shared" si="7"/>
        <v>18</v>
      </c>
      <c r="AE19" s="39" t="str">
        <f t="shared" si="8"/>
        <v/>
      </c>
      <c r="AF19" s="106" t="str">
        <f t="shared" si="9"/>
        <v/>
      </c>
      <c r="AG19" s="39">
        <f t="shared" si="10"/>
        <v>0</v>
      </c>
      <c r="AH19" s="39" t="str">
        <f t="shared" si="11"/>
        <v/>
      </c>
      <c r="AI19" s="39">
        <f>IF(AND($E19="timed",$N19&gt;=Settings!$C$9),1,0)</f>
        <v>0</v>
      </c>
      <c r="AJ19" s="39">
        <f>IF(OR($S19="",Settings!$C$16=""),"",IF($S19&lt;=Settings!$C$16,1,2))</f>
        <v>1</v>
      </c>
      <c r="AK19" s="39">
        <f>IF($C19="","",IFERROR(IF(INDEX(Settings!$C$20:$C$59,MATCH($C19,Settings!$B$20:$B$59,0))="",Settings!$C$10,INDEX(Settings!$C$20:$C$59,MATCH($C19,Settings!$B$20:$B$59,0))),Settings!$C$10))</f>
        <v>38.42</v>
      </c>
      <c r="AL19" s="108">
        <f t="shared" si="12"/>
        <v>27.91</v>
      </c>
      <c r="AM19" s="39">
        <f t="shared" si="13"/>
        <v>46265</v>
      </c>
      <c r="AN19" s="39" t="str">
        <f t="shared" si="14"/>
        <v/>
      </c>
      <c r="AO19" s="39">
        <f t="shared" si="15"/>
        <v>39974122720019</v>
      </c>
      <c r="AP19" s="39">
        <f t="shared" si="16"/>
        <v>1</v>
      </c>
      <c r="AQ19" s="39">
        <f t="shared" si="17"/>
        <v>0</v>
      </c>
    </row>
    <row r="20" spans="1:43" x14ac:dyDescent="0.25">
      <c r="A20" s="113">
        <v>46266</v>
      </c>
      <c r="B20" t="s">
        <v>293</v>
      </c>
      <c r="C20" t="s">
        <v>293</v>
      </c>
      <c r="D20" t="s">
        <v>288</v>
      </c>
      <c r="E20" t="s">
        <v>289</v>
      </c>
      <c r="F20" t="s">
        <v>329</v>
      </c>
      <c r="G20" t="s">
        <v>330</v>
      </c>
      <c r="H20">
        <v>64.510000000000005</v>
      </c>
      <c r="I20">
        <v>0</v>
      </c>
      <c r="K20" t="s">
        <v>292</v>
      </c>
      <c r="N20" s="105">
        <f t="shared" si="0"/>
        <v>64.510000000000005</v>
      </c>
      <c r="O20" s="106">
        <f>IF($F20="","",IF(ISNUMBER($F20),$F20+Settings!$C$7/24,IFERROR(DATEVALUE(LEFT($F20,10))+TIMEVALUE(MID($F20,12,8))+Settings!$C$7/24,"")))</f>
        <v>46266.34578703704</v>
      </c>
      <c r="P20" s="106">
        <f>IF($G20="","",IF(ISNUMBER($G20),$G20+Settings!$C$7/24,IFERROR(DATEVALUE(LEFT($G20,10))+TIMEVALUE(MID($G20,12,8))+Settings!$C$7/24,"")))</f>
        <v>46266.3905787037</v>
      </c>
      <c r="Q20" s="39">
        <f t="shared" si="1"/>
        <v>8</v>
      </c>
      <c r="R20" s="39">
        <f t="shared" si="2"/>
        <v>2</v>
      </c>
      <c r="S20" s="107">
        <f t="shared" si="3"/>
        <v>46266</v>
      </c>
      <c r="T20" s="39">
        <f>IF($C20="","",IF(COUNTIF($C$2:$C20,$C20)=1,1,0))</f>
        <v>0</v>
      </c>
      <c r="U20" s="39" t="str">
        <f>IF($T20=1,COUNTIF($T$2:$T20,1),"")</f>
        <v/>
      </c>
      <c r="V20" s="39">
        <f>IF($B20="","",IF(COUNTIF($B$2:$B20,$B20)=1,1,0))</f>
        <v>0</v>
      </c>
      <c r="W20" s="39" t="str">
        <f>IF($V20=1,COUNTIF($V$2:$V20,1),"")</f>
        <v/>
      </c>
      <c r="X20" s="39">
        <f>IF($A20="","",IF(COUNTIF($A$2:$A20,$A20)=1,1,0))</f>
        <v>0</v>
      </c>
      <c r="Y20" s="39" t="str">
        <f>IF($X20=1,COUNTIF($X$2:$X20,1),"")</f>
        <v/>
      </c>
      <c r="Z20" s="39">
        <f>IF(AND($E20="timed",$N20&gt;Settings!$C$8),1,0)</f>
        <v>0</v>
      </c>
      <c r="AA20" s="39">
        <f t="shared" si="4"/>
        <v>0</v>
      </c>
      <c r="AB20" s="39">
        <f t="shared" si="5"/>
        <v>0</v>
      </c>
      <c r="AC20" s="39">
        <f t="shared" si="6"/>
        <v>39974122760020</v>
      </c>
      <c r="AD20" s="39">
        <f t="shared" si="7"/>
        <v>19</v>
      </c>
      <c r="AE20" s="39" t="str">
        <f t="shared" si="8"/>
        <v>Email</v>
      </c>
      <c r="AF20" s="106">
        <f t="shared" si="9"/>
        <v>46266.34574074074</v>
      </c>
      <c r="AG20" s="39">
        <f t="shared" si="10"/>
        <v>1</v>
      </c>
      <c r="AH20" s="39">
        <f t="shared" si="11"/>
        <v>0</v>
      </c>
      <c r="AI20" s="39">
        <f>IF(AND($E20="timed",$N20&gt;=Settings!$C$9),1,0)</f>
        <v>1</v>
      </c>
      <c r="AJ20" s="39">
        <f>IF(OR($S20="",Settings!$C$16=""),"",IF($S20&lt;=Settings!$C$16,1,2))</f>
        <v>1</v>
      </c>
      <c r="AK20" s="39">
        <f>IF($C20="","",IFERROR(IF(INDEX(Settings!$C$20:$C$59,MATCH($C20,Settings!$B$20:$B$59,0))="",Settings!$C$10,INDEX(Settings!$C$20:$C$59,MATCH($C20,Settings!$B$20:$B$59,0))),Settings!$C$10))</f>
        <v>38.42</v>
      </c>
      <c r="AL20" s="108">
        <f t="shared" si="12"/>
        <v>41.31</v>
      </c>
      <c r="AM20" s="39">
        <f t="shared" si="13"/>
        <v>46266</v>
      </c>
      <c r="AN20" s="39" t="str">
        <f t="shared" si="14"/>
        <v/>
      </c>
      <c r="AO20" s="39">
        <f t="shared" si="15"/>
        <v>39974161460020</v>
      </c>
      <c r="AP20" s="39">
        <f t="shared" si="16"/>
        <v>0</v>
      </c>
      <c r="AQ20" s="39">
        <f t="shared" si="17"/>
        <v>0</v>
      </c>
    </row>
    <row r="21" spans="1:43" x14ac:dyDescent="0.25">
      <c r="A21" s="113">
        <v>46266</v>
      </c>
      <c r="B21" t="s">
        <v>287</v>
      </c>
      <c r="C21" t="s">
        <v>287</v>
      </c>
      <c r="D21" t="s">
        <v>288</v>
      </c>
      <c r="E21" t="s">
        <v>289</v>
      </c>
      <c r="F21" t="s">
        <v>331</v>
      </c>
      <c r="G21" t="s">
        <v>332</v>
      </c>
      <c r="H21">
        <v>43.8</v>
      </c>
      <c r="I21">
        <v>0</v>
      </c>
      <c r="K21" t="s">
        <v>292</v>
      </c>
      <c r="N21" s="105">
        <f t="shared" si="0"/>
        <v>43.8</v>
      </c>
      <c r="O21" s="106">
        <f>IF($F21="","",IF(ISNUMBER($F21),$F21+Settings!$C$7/24,IFERROR(DATEVALUE(LEFT($F21,10))+TIMEVALUE(MID($F21,12,8))+Settings!$C$7/24,"")))</f>
        <v>46266.391111111108</v>
      </c>
      <c r="P21" s="106">
        <f>IF($G21="","",IF(ISNUMBER($G21),$G21+Settings!$C$7/24,IFERROR(DATEVALUE(LEFT($G21,10))+TIMEVALUE(MID($G21,12,8))+Settings!$C$7/24,"")))</f>
        <v>46266.421527777777</v>
      </c>
      <c r="Q21" s="39">
        <f t="shared" si="1"/>
        <v>9</v>
      </c>
      <c r="R21" s="39">
        <f t="shared" si="2"/>
        <v>2</v>
      </c>
      <c r="S21" s="107">
        <f t="shared" si="3"/>
        <v>46266</v>
      </c>
      <c r="T21" s="39">
        <f>IF($C21="","",IF(COUNTIF($C$2:$C21,$C21)=1,1,0))</f>
        <v>0</v>
      </c>
      <c r="U21" s="39" t="str">
        <f>IF($T21=1,COUNTIF($T$2:$T21,1),"")</f>
        <v/>
      </c>
      <c r="V21" s="39">
        <f>IF($B21="","",IF(COUNTIF($B$2:$B21,$B21)=1,1,0))</f>
        <v>0</v>
      </c>
      <c r="W21" s="39" t="str">
        <f>IF($V21=1,COUNTIF($V$2:$V21,1),"")</f>
        <v/>
      </c>
      <c r="X21" s="39">
        <f>IF($A21="","",IF(COUNTIF($A$2:$A21,$A21)=1,1,0))</f>
        <v>0</v>
      </c>
      <c r="Y21" s="39" t="str">
        <f>IF($X21=1,COUNTIF($X$2:$X21,1),"")</f>
        <v/>
      </c>
      <c r="Z21" s="39">
        <f>IF(AND($E21="timed",$N21&gt;Settings!$C$8),1,0)</f>
        <v>0</v>
      </c>
      <c r="AA21" s="39">
        <f t="shared" si="4"/>
        <v>0</v>
      </c>
      <c r="AB21" s="39">
        <f t="shared" si="5"/>
        <v>0</v>
      </c>
      <c r="AC21" s="39">
        <f t="shared" si="6"/>
        <v>39974161920021</v>
      </c>
      <c r="AD21" s="39">
        <f t="shared" si="7"/>
        <v>20</v>
      </c>
      <c r="AE21" s="39" t="str">
        <f t="shared" si="8"/>
        <v>Zendesk Tickets</v>
      </c>
      <c r="AF21" s="106">
        <f t="shared" si="9"/>
        <v>46266.3905787037</v>
      </c>
      <c r="AG21" s="39">
        <f t="shared" si="10"/>
        <v>1</v>
      </c>
      <c r="AH21" s="39">
        <f t="shared" si="11"/>
        <v>1</v>
      </c>
      <c r="AI21" s="39">
        <f>IF(AND($E21="timed",$N21&gt;=Settings!$C$9),1,0)</f>
        <v>0</v>
      </c>
      <c r="AJ21" s="39">
        <f>IF(OR($S21="",Settings!$C$16=""),"",IF($S21&lt;=Settings!$C$16,1,2))</f>
        <v>1</v>
      </c>
      <c r="AK21" s="39">
        <f>IF($C21="","",IFERROR(IF(INDEX(Settings!$C$20:$C$59,MATCH($C21,Settings!$B$20:$B$59,0))="",Settings!$C$10,INDEX(Settings!$C$20:$C$59,MATCH($C21,Settings!$B$20:$B$59,0))),Settings!$C$10))</f>
        <v>38.42</v>
      </c>
      <c r="AL21" s="108">
        <f t="shared" si="12"/>
        <v>28.05</v>
      </c>
      <c r="AM21" s="39">
        <f t="shared" si="13"/>
        <v>46266</v>
      </c>
      <c r="AN21" s="39" t="str">
        <f t="shared" si="14"/>
        <v/>
      </c>
      <c r="AO21" s="39">
        <f t="shared" si="15"/>
        <v>39974188200021</v>
      </c>
      <c r="AP21" s="39">
        <f t="shared" si="16"/>
        <v>0</v>
      </c>
      <c r="AQ21" s="39">
        <f t="shared" si="17"/>
        <v>0</v>
      </c>
    </row>
    <row r="22" spans="1:43" x14ac:dyDescent="0.25">
      <c r="A22" s="113">
        <v>46266</v>
      </c>
      <c r="B22" t="s">
        <v>296</v>
      </c>
      <c r="C22" t="s">
        <v>296</v>
      </c>
      <c r="D22" t="s">
        <v>288</v>
      </c>
      <c r="E22" t="s">
        <v>289</v>
      </c>
      <c r="F22" t="s">
        <v>333</v>
      </c>
      <c r="G22" t="s">
        <v>334</v>
      </c>
      <c r="H22">
        <v>22.86</v>
      </c>
      <c r="I22">
        <v>0</v>
      </c>
      <c r="K22" t="s">
        <v>292</v>
      </c>
      <c r="L22" t="s">
        <v>335</v>
      </c>
      <c r="N22" s="105">
        <f t="shared" si="0"/>
        <v>22.86</v>
      </c>
      <c r="O22" s="106">
        <f>IF($F22="","",IF(ISNUMBER($F22),$F22+Settings!$C$7/24,IFERROR(DATEVALUE(LEFT($F22,10))+TIMEVALUE(MID($F22,12,8))+Settings!$C$7/24,"")))</f>
        <v>46266.421550925923</v>
      </c>
      <c r="P22" s="106">
        <f>IF($G22="","",IF(ISNUMBER($G22),$G22+Settings!$C$7/24,IFERROR(DATEVALUE(LEFT($G22,10))+TIMEVALUE(MID($G22,12,8))+Settings!$C$7/24,"")))</f>
        <v>46266.437418981484</v>
      </c>
      <c r="Q22" s="39">
        <f t="shared" si="1"/>
        <v>10</v>
      </c>
      <c r="R22" s="39">
        <f t="shared" si="2"/>
        <v>2</v>
      </c>
      <c r="S22" s="107">
        <f t="shared" si="3"/>
        <v>46266</v>
      </c>
      <c r="T22" s="39">
        <f>IF($C22="","",IF(COUNTIF($C$2:$C22,$C22)=1,1,0))</f>
        <v>0</v>
      </c>
      <c r="U22" s="39" t="str">
        <f>IF($T22=1,COUNTIF($T$2:$T22,1),"")</f>
        <v/>
      </c>
      <c r="V22" s="39">
        <f>IF($B22="","",IF(COUNTIF($B$2:$B22,$B22)=1,1,0))</f>
        <v>0</v>
      </c>
      <c r="W22" s="39" t="str">
        <f>IF($V22=1,COUNTIF($V$2:$V22,1),"")</f>
        <v/>
      </c>
      <c r="X22" s="39">
        <f>IF($A22="","",IF(COUNTIF($A$2:$A22,$A22)=1,1,0))</f>
        <v>0</v>
      </c>
      <c r="Y22" s="39" t="str">
        <f>IF($X22=1,COUNTIF($X$2:$X22,1),"")</f>
        <v/>
      </c>
      <c r="Z22" s="39">
        <f>IF(AND($E22="timed",$N22&gt;Settings!$C$8),1,0)</f>
        <v>0</v>
      </c>
      <c r="AA22" s="39">
        <f t="shared" si="4"/>
        <v>0</v>
      </c>
      <c r="AB22" s="39">
        <f t="shared" si="5"/>
        <v>0</v>
      </c>
      <c r="AC22" s="39">
        <f t="shared" si="6"/>
        <v>39974188220022</v>
      </c>
      <c r="AD22" s="39">
        <f t="shared" si="7"/>
        <v>21</v>
      </c>
      <c r="AE22" s="39" t="str">
        <f t="shared" si="8"/>
        <v>Email</v>
      </c>
      <c r="AF22" s="106">
        <f t="shared" si="9"/>
        <v>46266.421527777777</v>
      </c>
      <c r="AG22" s="39">
        <f t="shared" si="10"/>
        <v>1</v>
      </c>
      <c r="AH22" s="39">
        <f t="shared" si="11"/>
        <v>0</v>
      </c>
      <c r="AI22" s="39">
        <f>IF(AND($E22="timed",$N22&gt;=Settings!$C$9),1,0)</f>
        <v>0</v>
      </c>
      <c r="AJ22" s="39">
        <f>IF(OR($S22="",Settings!$C$16=""),"",IF($S22&lt;=Settings!$C$16,1,2))</f>
        <v>1</v>
      </c>
      <c r="AK22" s="39">
        <f>IF($C22="","",IFERROR(IF(INDEX(Settings!$C$20:$C$59,MATCH($C22,Settings!$B$20:$B$59,0))="",Settings!$C$10,INDEX(Settings!$C$20:$C$59,MATCH($C22,Settings!$B$20:$B$59,0))),Settings!$C$10))</f>
        <v>38.42</v>
      </c>
      <c r="AL22" s="108">
        <f t="shared" si="12"/>
        <v>14.64</v>
      </c>
      <c r="AM22" s="39">
        <f t="shared" si="13"/>
        <v>46266</v>
      </c>
      <c r="AN22" s="39" t="str">
        <f t="shared" si="14"/>
        <v/>
      </c>
      <c r="AO22" s="39">
        <f t="shared" si="15"/>
        <v>39974201930022</v>
      </c>
      <c r="AP22" s="39">
        <f t="shared" si="16"/>
        <v>0</v>
      </c>
      <c r="AQ22" s="39">
        <f t="shared" si="17"/>
        <v>0</v>
      </c>
    </row>
    <row r="23" spans="1:43" x14ac:dyDescent="0.25">
      <c r="A23" s="113">
        <v>46266</v>
      </c>
      <c r="B23" t="s">
        <v>293</v>
      </c>
      <c r="C23" t="s">
        <v>293</v>
      </c>
      <c r="D23" t="s">
        <v>288</v>
      </c>
      <c r="E23" t="s">
        <v>289</v>
      </c>
      <c r="F23" t="s">
        <v>336</v>
      </c>
      <c r="G23" t="s">
        <v>337</v>
      </c>
      <c r="H23">
        <v>3.6</v>
      </c>
      <c r="I23">
        <v>0</v>
      </c>
      <c r="K23" t="s">
        <v>292</v>
      </c>
      <c r="N23" s="105">
        <f t="shared" si="0"/>
        <v>3.6</v>
      </c>
      <c r="O23" s="106">
        <f>IF($F23="","",IF(ISNUMBER($F23),$F23+Settings!$C$7/24,IFERROR(DATEVALUE(LEFT($F23,10))+TIMEVALUE(MID($F23,12,8))+Settings!$C$7/24,"")))</f>
        <v>46266.437442129631</v>
      </c>
      <c r="P23" s="106">
        <f>IF($G23="","",IF(ISNUMBER($G23),$G23+Settings!$C$7/24,IFERROR(DATEVALUE(LEFT($G23,10))+TIMEVALUE(MID($G23,12,8))+Settings!$C$7/24,"")))</f>
        <v>46266.439942129633</v>
      </c>
      <c r="Q23" s="39">
        <f t="shared" si="1"/>
        <v>10</v>
      </c>
      <c r="R23" s="39">
        <f t="shared" si="2"/>
        <v>2</v>
      </c>
      <c r="S23" s="107">
        <f t="shared" si="3"/>
        <v>46266</v>
      </c>
      <c r="T23" s="39">
        <f>IF($C23="","",IF(COUNTIF($C$2:$C23,$C23)=1,1,0))</f>
        <v>0</v>
      </c>
      <c r="U23" s="39" t="str">
        <f>IF($T23=1,COUNTIF($T$2:$T23,1),"")</f>
        <v/>
      </c>
      <c r="V23" s="39">
        <f>IF($B23="","",IF(COUNTIF($B$2:$B23,$B23)=1,1,0))</f>
        <v>0</v>
      </c>
      <c r="W23" s="39" t="str">
        <f>IF($V23=1,COUNTIF($V$2:$V23,1),"")</f>
        <v/>
      </c>
      <c r="X23" s="39">
        <f>IF($A23="","",IF(COUNTIF($A$2:$A23,$A23)=1,1,0))</f>
        <v>0</v>
      </c>
      <c r="Y23" s="39" t="str">
        <f>IF($X23=1,COUNTIF($X$2:$X23,1),"")</f>
        <v/>
      </c>
      <c r="Z23" s="39">
        <f>IF(AND($E23="timed",$N23&gt;Settings!$C$8),1,0)</f>
        <v>0</v>
      </c>
      <c r="AA23" s="39">
        <f t="shared" si="4"/>
        <v>0</v>
      </c>
      <c r="AB23" s="39">
        <f t="shared" si="5"/>
        <v>0</v>
      </c>
      <c r="AC23" s="39">
        <f t="shared" si="6"/>
        <v>39974201950023</v>
      </c>
      <c r="AD23" s="39">
        <f t="shared" si="7"/>
        <v>22</v>
      </c>
      <c r="AE23" s="39" t="str">
        <f t="shared" si="8"/>
        <v>Teams Communications</v>
      </c>
      <c r="AF23" s="106">
        <f t="shared" si="9"/>
        <v>46266.437418981484</v>
      </c>
      <c r="AG23" s="39">
        <f t="shared" si="10"/>
        <v>1</v>
      </c>
      <c r="AH23" s="39">
        <f t="shared" si="11"/>
        <v>0</v>
      </c>
      <c r="AI23" s="39">
        <f>IF(AND($E23="timed",$N23&gt;=Settings!$C$9),1,0)</f>
        <v>0</v>
      </c>
      <c r="AJ23" s="39">
        <f>IF(OR($S23="",Settings!$C$16=""),"",IF($S23&lt;=Settings!$C$16,1,2))</f>
        <v>1</v>
      </c>
      <c r="AK23" s="39">
        <f>IF($C23="","",IFERROR(IF(INDEX(Settings!$C$20:$C$59,MATCH($C23,Settings!$B$20:$B$59,0))="",Settings!$C$10,INDEX(Settings!$C$20:$C$59,MATCH($C23,Settings!$B$20:$B$59,0))),Settings!$C$10))</f>
        <v>38.42</v>
      </c>
      <c r="AL23" s="108">
        <f t="shared" si="12"/>
        <v>2.31</v>
      </c>
      <c r="AM23" s="39">
        <f t="shared" si="13"/>
        <v>46266</v>
      </c>
      <c r="AN23" s="39" t="str">
        <f t="shared" si="14"/>
        <v/>
      </c>
      <c r="AO23" s="39">
        <f t="shared" si="15"/>
        <v>39974204110023</v>
      </c>
      <c r="AP23" s="39">
        <f t="shared" si="16"/>
        <v>0</v>
      </c>
      <c r="AQ23" s="39">
        <f t="shared" si="17"/>
        <v>0</v>
      </c>
    </row>
    <row r="24" spans="1:43" x14ac:dyDescent="0.25">
      <c r="A24" s="113">
        <v>46266</v>
      </c>
      <c r="B24" t="s">
        <v>287</v>
      </c>
      <c r="C24" t="s">
        <v>287</v>
      </c>
      <c r="D24" t="s">
        <v>288</v>
      </c>
      <c r="E24" t="s">
        <v>289</v>
      </c>
      <c r="F24" t="s">
        <v>338</v>
      </c>
      <c r="G24" t="s">
        <v>339</v>
      </c>
      <c r="H24">
        <v>0.12</v>
      </c>
      <c r="I24">
        <v>0</v>
      </c>
      <c r="K24" t="s">
        <v>292</v>
      </c>
      <c r="N24" s="105">
        <f t="shared" si="0"/>
        <v>0.12</v>
      </c>
      <c r="O24" s="106">
        <f>IF($F24="","",IF(ISNUMBER($F24),$F24+Settings!$C$7/24,IFERROR(DATEVALUE(LEFT($F24,10))+TIMEVALUE(MID($F24,12,8))+Settings!$C$7/24,"")))</f>
        <v>46266.442048611112</v>
      </c>
      <c r="P24" s="106">
        <f>IF($G24="","",IF(ISNUMBER($G24),$G24+Settings!$C$7/24,IFERROR(DATEVALUE(LEFT($G24,10))+TIMEVALUE(MID($G24,12,8))+Settings!$C$7/24,"")))</f>
        <v>46266.442129629628</v>
      </c>
      <c r="Q24" s="39">
        <f t="shared" si="1"/>
        <v>10</v>
      </c>
      <c r="R24" s="39">
        <f t="shared" si="2"/>
        <v>2</v>
      </c>
      <c r="S24" s="107">
        <f t="shared" si="3"/>
        <v>46266</v>
      </c>
      <c r="T24" s="39">
        <f>IF($C24="","",IF(COUNTIF($C$2:$C24,$C24)=1,1,0))</f>
        <v>0</v>
      </c>
      <c r="U24" s="39" t="str">
        <f>IF($T24=1,COUNTIF($T$2:$T24,1),"")</f>
        <v/>
      </c>
      <c r="V24" s="39">
        <f>IF($B24="","",IF(COUNTIF($B$2:$B24,$B24)=1,1,0))</f>
        <v>0</v>
      </c>
      <c r="W24" s="39" t="str">
        <f>IF($V24=1,COUNTIF($V$2:$V24,1),"")</f>
        <v/>
      </c>
      <c r="X24" s="39">
        <f>IF($A24="","",IF(COUNTIF($A$2:$A24,$A24)=1,1,0))</f>
        <v>0</v>
      </c>
      <c r="Y24" s="39" t="str">
        <f>IF($X24=1,COUNTIF($X$2:$X24,1),"")</f>
        <v/>
      </c>
      <c r="Z24" s="39">
        <f>IF(AND($E24="timed",$N24&gt;Settings!$C$8),1,0)</f>
        <v>0</v>
      </c>
      <c r="AA24" s="39">
        <f t="shared" si="4"/>
        <v>0</v>
      </c>
      <c r="AB24" s="39">
        <f t="shared" si="5"/>
        <v>0</v>
      </c>
      <c r="AC24" s="39">
        <f t="shared" si="6"/>
        <v>39974205930024</v>
      </c>
      <c r="AD24" s="39">
        <f t="shared" si="7"/>
        <v>23</v>
      </c>
      <c r="AE24" s="39" t="str">
        <f t="shared" si="8"/>
        <v>Zendesk Tickets</v>
      </c>
      <c r="AF24" s="106">
        <f t="shared" si="9"/>
        <v>46266.439942129633</v>
      </c>
      <c r="AG24" s="39">
        <f t="shared" si="10"/>
        <v>1</v>
      </c>
      <c r="AH24" s="39">
        <f t="shared" si="11"/>
        <v>3</v>
      </c>
      <c r="AI24" s="39">
        <f>IF(AND($E24="timed",$N24&gt;=Settings!$C$9),1,0)</f>
        <v>0</v>
      </c>
      <c r="AJ24" s="39">
        <f>IF(OR($S24="",Settings!$C$16=""),"",IF($S24&lt;=Settings!$C$16,1,2))</f>
        <v>1</v>
      </c>
      <c r="AK24" s="39">
        <f>IF($C24="","",IFERROR(IF(INDEX(Settings!$C$20:$C$59,MATCH($C24,Settings!$B$20:$B$59,0))="",Settings!$C$10,INDEX(Settings!$C$20:$C$59,MATCH($C24,Settings!$B$20:$B$59,0))),Settings!$C$10))</f>
        <v>38.42</v>
      </c>
      <c r="AL24" s="108">
        <f t="shared" si="12"/>
        <v>0.08</v>
      </c>
      <c r="AM24" s="39">
        <f t="shared" si="13"/>
        <v>46266</v>
      </c>
      <c r="AN24" s="39" t="str">
        <f t="shared" si="14"/>
        <v/>
      </c>
      <c r="AO24" s="39">
        <f t="shared" si="15"/>
        <v>39974206000024</v>
      </c>
      <c r="AP24" s="39">
        <f t="shared" si="16"/>
        <v>0</v>
      </c>
      <c r="AQ24" s="39">
        <f t="shared" si="17"/>
        <v>0</v>
      </c>
    </row>
    <row r="25" spans="1:43" x14ac:dyDescent="0.25">
      <c r="A25" s="113">
        <v>46266</v>
      </c>
      <c r="B25" t="s">
        <v>293</v>
      </c>
      <c r="C25" t="s">
        <v>293</v>
      </c>
      <c r="D25" t="s">
        <v>288</v>
      </c>
      <c r="E25" t="s">
        <v>289</v>
      </c>
      <c r="F25" t="s">
        <v>340</v>
      </c>
      <c r="G25" t="s">
        <v>341</v>
      </c>
      <c r="H25">
        <v>60.11</v>
      </c>
      <c r="I25">
        <v>0</v>
      </c>
      <c r="K25" t="s">
        <v>292</v>
      </c>
      <c r="N25" s="105">
        <f t="shared" si="0"/>
        <v>60.11</v>
      </c>
      <c r="O25" s="106">
        <f>IF($F25="","",IF(ISNUMBER($F25),$F25+Settings!$C$7/24,IFERROR(DATEVALUE(LEFT($F25,10))+TIMEVALUE(MID($F25,12,8))+Settings!$C$7/24,"")))</f>
        <v>46266.442164351851</v>
      </c>
      <c r="P25" s="106">
        <f>IF($G25="","",IF(ISNUMBER($G25),$G25+Settings!$C$7/24,IFERROR(DATEVALUE(LEFT($G25,10))+TIMEVALUE(MID($G25,12,8))+Settings!$C$7/24,"")))</f>
        <v>46266.483912037038</v>
      </c>
      <c r="Q25" s="39">
        <f t="shared" si="1"/>
        <v>10</v>
      </c>
      <c r="R25" s="39">
        <f t="shared" si="2"/>
        <v>2</v>
      </c>
      <c r="S25" s="107">
        <f t="shared" si="3"/>
        <v>46266</v>
      </c>
      <c r="T25" s="39">
        <f>IF($C25="","",IF(COUNTIF($C$2:$C25,$C25)=1,1,0))</f>
        <v>0</v>
      </c>
      <c r="U25" s="39" t="str">
        <f>IF($T25=1,COUNTIF($T$2:$T25,1),"")</f>
        <v/>
      </c>
      <c r="V25" s="39">
        <f>IF($B25="","",IF(COUNTIF($B$2:$B25,$B25)=1,1,0))</f>
        <v>0</v>
      </c>
      <c r="W25" s="39" t="str">
        <f>IF($V25=1,COUNTIF($V$2:$V25,1),"")</f>
        <v/>
      </c>
      <c r="X25" s="39">
        <f>IF($A25="","",IF(COUNTIF($A$2:$A25,$A25)=1,1,0))</f>
        <v>0</v>
      </c>
      <c r="Y25" s="39" t="str">
        <f>IF($X25=1,COUNTIF($X$2:$X25,1),"")</f>
        <v/>
      </c>
      <c r="Z25" s="39">
        <f>IF(AND($E25="timed",$N25&gt;Settings!$C$8),1,0)</f>
        <v>0</v>
      </c>
      <c r="AA25" s="39">
        <f t="shared" si="4"/>
        <v>0</v>
      </c>
      <c r="AB25" s="39">
        <f t="shared" si="5"/>
        <v>0</v>
      </c>
      <c r="AC25" s="39">
        <f t="shared" si="6"/>
        <v>39974206030025</v>
      </c>
      <c r="AD25" s="39">
        <f t="shared" si="7"/>
        <v>24</v>
      </c>
      <c r="AE25" s="39" t="str">
        <f t="shared" si="8"/>
        <v>Email</v>
      </c>
      <c r="AF25" s="106">
        <f t="shared" si="9"/>
        <v>46266.442129629628</v>
      </c>
      <c r="AG25" s="39">
        <f t="shared" si="10"/>
        <v>1</v>
      </c>
      <c r="AH25" s="39">
        <f t="shared" si="11"/>
        <v>0</v>
      </c>
      <c r="AI25" s="39">
        <f>IF(AND($E25="timed",$N25&gt;=Settings!$C$9),1,0)</f>
        <v>1</v>
      </c>
      <c r="AJ25" s="39">
        <f>IF(OR($S25="",Settings!$C$16=""),"",IF($S25&lt;=Settings!$C$16,1,2))</f>
        <v>1</v>
      </c>
      <c r="AK25" s="39">
        <f>IF($C25="","",IFERROR(IF(INDEX(Settings!$C$20:$C$59,MATCH($C25,Settings!$B$20:$B$59,0))="",Settings!$C$10,INDEX(Settings!$C$20:$C$59,MATCH($C25,Settings!$B$20:$B$59,0))),Settings!$C$10))</f>
        <v>38.42</v>
      </c>
      <c r="AL25" s="108">
        <f t="shared" si="12"/>
        <v>38.49</v>
      </c>
      <c r="AM25" s="39">
        <f t="shared" si="13"/>
        <v>46266</v>
      </c>
      <c r="AN25" s="39" t="str">
        <f t="shared" si="14"/>
        <v/>
      </c>
      <c r="AO25" s="39">
        <f t="shared" si="15"/>
        <v>39974242100025</v>
      </c>
      <c r="AP25" s="39">
        <f t="shared" si="16"/>
        <v>0</v>
      </c>
      <c r="AQ25" s="39">
        <f t="shared" si="17"/>
        <v>0</v>
      </c>
    </row>
    <row r="26" spans="1:43" x14ac:dyDescent="0.25">
      <c r="A26" s="113">
        <v>46266</v>
      </c>
      <c r="B26" t="s">
        <v>342</v>
      </c>
      <c r="C26" t="s">
        <v>342</v>
      </c>
      <c r="D26" t="s">
        <v>288</v>
      </c>
      <c r="E26" t="s">
        <v>289</v>
      </c>
      <c r="F26" t="s">
        <v>343</v>
      </c>
      <c r="G26" t="s">
        <v>344</v>
      </c>
      <c r="H26">
        <v>92.79</v>
      </c>
      <c r="I26">
        <v>0</v>
      </c>
      <c r="K26" t="s">
        <v>292</v>
      </c>
      <c r="L26" t="s">
        <v>345</v>
      </c>
      <c r="N26" s="105">
        <f t="shared" si="0"/>
        <v>92.79</v>
      </c>
      <c r="O26" s="106">
        <f>IF($F26="","",IF(ISNUMBER($F26),$F26+Settings!$C$7/24,IFERROR(DATEVALUE(LEFT($F26,10))+TIMEVALUE(MID($F26,12,8))+Settings!$C$7/24,"")))</f>
        <v>46266.483923611115</v>
      </c>
      <c r="P26" s="106">
        <f>IF($G26="","",IF(ISNUMBER($G26),$G26+Settings!$C$7/24,IFERROR(DATEVALUE(LEFT($G26,10))+TIMEVALUE(MID($G26,12,8))+Settings!$C$7/24,"")))</f>
        <v>46266.548356481479</v>
      </c>
      <c r="Q26" s="39">
        <f t="shared" si="1"/>
        <v>11</v>
      </c>
      <c r="R26" s="39">
        <f t="shared" si="2"/>
        <v>2</v>
      </c>
      <c r="S26" s="107">
        <f t="shared" si="3"/>
        <v>46266</v>
      </c>
      <c r="T26" s="39">
        <f>IF($C26="","",IF(COUNTIF($C$2:$C26,$C26)=1,1,0))</f>
        <v>1</v>
      </c>
      <c r="U26" s="39">
        <f>IF($T26=1,COUNTIF($T$2:$T26,1),"")</f>
        <v>7</v>
      </c>
      <c r="V26" s="39">
        <f>IF($B26="","",IF(COUNTIF($B$2:$B26,$B26)=1,1,0))</f>
        <v>1</v>
      </c>
      <c r="W26" s="39">
        <f>IF($V26=1,COUNTIF($V$2:$V26,1),"")</f>
        <v>7</v>
      </c>
      <c r="X26" s="39">
        <f>IF($A26="","",IF(COUNTIF($A$2:$A26,$A26)=1,1,0))</f>
        <v>0</v>
      </c>
      <c r="Y26" s="39" t="str">
        <f>IF($X26=1,COUNTIF($X$2:$X26,1),"")</f>
        <v/>
      </c>
      <c r="Z26" s="39">
        <f>IF(AND($E26="timed",$N26&gt;Settings!$C$8),1,0)</f>
        <v>0</v>
      </c>
      <c r="AA26" s="39">
        <f t="shared" si="4"/>
        <v>0</v>
      </c>
      <c r="AB26" s="39">
        <f t="shared" si="5"/>
        <v>0</v>
      </c>
      <c r="AC26" s="39">
        <f t="shared" si="6"/>
        <v>39974242110026</v>
      </c>
      <c r="AD26" s="39">
        <f t="shared" si="7"/>
        <v>25</v>
      </c>
      <c r="AE26" s="39" t="str">
        <f t="shared" si="8"/>
        <v>Zendesk Tickets</v>
      </c>
      <c r="AF26" s="106">
        <f t="shared" si="9"/>
        <v>46266.483912037038</v>
      </c>
      <c r="AG26" s="39">
        <f t="shared" si="10"/>
        <v>1</v>
      </c>
      <c r="AH26" s="39">
        <f t="shared" si="11"/>
        <v>0</v>
      </c>
      <c r="AI26" s="39">
        <f>IF(AND($E26="timed",$N26&gt;=Settings!$C$9),1,0)</f>
        <v>1</v>
      </c>
      <c r="AJ26" s="39">
        <f>IF(OR($S26="",Settings!$C$16=""),"",IF($S26&lt;=Settings!$C$16,1,2))</f>
        <v>1</v>
      </c>
      <c r="AK26" s="39">
        <f>IF($C26="","",IFERROR(IF(INDEX(Settings!$C$20:$C$59,MATCH($C26,Settings!$B$20:$B$59,0))="",Settings!$C$10,INDEX(Settings!$C$20:$C$59,MATCH($C26,Settings!$B$20:$B$59,0))),Settings!$C$10))</f>
        <v>38.42</v>
      </c>
      <c r="AL26" s="108">
        <f t="shared" si="12"/>
        <v>59.42</v>
      </c>
      <c r="AM26" s="39">
        <f t="shared" si="13"/>
        <v>46266</v>
      </c>
      <c r="AN26" s="39" t="str">
        <f t="shared" si="14"/>
        <v/>
      </c>
      <c r="AO26" s="39">
        <f t="shared" si="15"/>
        <v>39974297780026</v>
      </c>
      <c r="AP26" s="39">
        <f t="shared" si="16"/>
        <v>0</v>
      </c>
      <c r="AQ26" s="39">
        <f t="shared" si="17"/>
        <v>0</v>
      </c>
    </row>
    <row r="27" spans="1:43" x14ac:dyDescent="0.25">
      <c r="A27" s="113">
        <v>46266</v>
      </c>
      <c r="B27" t="s">
        <v>296</v>
      </c>
      <c r="C27" t="s">
        <v>296</v>
      </c>
      <c r="D27" t="s">
        <v>288</v>
      </c>
      <c r="E27" t="s">
        <v>289</v>
      </c>
      <c r="F27" t="s">
        <v>346</v>
      </c>
      <c r="G27" t="s">
        <v>347</v>
      </c>
      <c r="H27">
        <v>5.56</v>
      </c>
      <c r="I27">
        <v>0</v>
      </c>
      <c r="K27" t="s">
        <v>292</v>
      </c>
      <c r="L27" t="s">
        <v>298</v>
      </c>
      <c r="N27" s="105">
        <f t="shared" si="0"/>
        <v>5.56</v>
      </c>
      <c r="O27" s="106">
        <f>IF($F27="","",IF(ISNUMBER($F27),$F27+Settings!$C$7/24,IFERROR(DATEVALUE(LEFT($F27,10))+TIMEVALUE(MID($F27,12,8))+Settings!$C$7/24,"")))</f>
        <v>46266.548379629632</v>
      </c>
      <c r="P27" s="106">
        <f>IF($G27="","",IF(ISNUMBER($G27),$G27+Settings!$C$7/24,IFERROR(DATEVALUE(LEFT($G27,10))+TIMEVALUE(MID($G27,12,8))+Settings!$C$7/24,"")))</f>
        <v>46266.552233796298</v>
      </c>
      <c r="Q27" s="39">
        <f t="shared" si="1"/>
        <v>13</v>
      </c>
      <c r="R27" s="39">
        <f t="shared" si="2"/>
        <v>2</v>
      </c>
      <c r="S27" s="107">
        <f t="shared" si="3"/>
        <v>46266</v>
      </c>
      <c r="T27" s="39">
        <f>IF($C27="","",IF(COUNTIF($C$2:$C27,$C27)=1,1,0))</f>
        <v>0</v>
      </c>
      <c r="U27" s="39" t="str">
        <f>IF($T27=1,COUNTIF($T$2:$T27,1),"")</f>
        <v/>
      </c>
      <c r="V27" s="39">
        <f>IF($B27="","",IF(COUNTIF($B$2:$B27,$B27)=1,1,0))</f>
        <v>0</v>
      </c>
      <c r="W27" s="39" t="str">
        <f>IF($V27=1,COUNTIF($V$2:$V27,1),"")</f>
        <v/>
      </c>
      <c r="X27" s="39">
        <f>IF($A27="","",IF(COUNTIF($A$2:$A27,$A27)=1,1,0))</f>
        <v>0</v>
      </c>
      <c r="Y27" s="39" t="str">
        <f>IF($X27=1,COUNTIF($X$2:$X27,1),"")</f>
        <v/>
      </c>
      <c r="Z27" s="39">
        <f>IF(AND($E27="timed",$N27&gt;Settings!$C$8),1,0)</f>
        <v>0</v>
      </c>
      <c r="AA27" s="39">
        <f t="shared" si="4"/>
        <v>0</v>
      </c>
      <c r="AB27" s="39">
        <f t="shared" si="5"/>
        <v>0</v>
      </c>
      <c r="AC27" s="39">
        <f t="shared" si="6"/>
        <v>39974297800027</v>
      </c>
      <c r="AD27" s="39">
        <f t="shared" si="7"/>
        <v>26</v>
      </c>
      <c r="AE27" s="39" t="str">
        <f t="shared" si="8"/>
        <v>Project work</v>
      </c>
      <c r="AF27" s="106">
        <f t="shared" si="9"/>
        <v>46266.548356481479</v>
      </c>
      <c r="AG27" s="39">
        <f t="shared" si="10"/>
        <v>1</v>
      </c>
      <c r="AH27" s="39">
        <f t="shared" si="11"/>
        <v>0</v>
      </c>
      <c r="AI27" s="39">
        <f>IF(AND($E27="timed",$N27&gt;=Settings!$C$9),1,0)</f>
        <v>0</v>
      </c>
      <c r="AJ27" s="39">
        <f>IF(OR($S27="",Settings!$C$16=""),"",IF($S27&lt;=Settings!$C$16,1,2))</f>
        <v>1</v>
      </c>
      <c r="AK27" s="39">
        <f>IF($C27="","",IFERROR(IF(INDEX(Settings!$C$20:$C$59,MATCH($C27,Settings!$B$20:$B$59,0))="",Settings!$C$10,INDEX(Settings!$C$20:$C$59,MATCH($C27,Settings!$B$20:$B$59,0))),Settings!$C$10))</f>
        <v>38.42</v>
      </c>
      <c r="AL27" s="108">
        <f t="shared" si="12"/>
        <v>3.56</v>
      </c>
      <c r="AM27" s="39">
        <f t="shared" si="13"/>
        <v>46266</v>
      </c>
      <c r="AN27" s="39" t="str">
        <f t="shared" si="14"/>
        <v/>
      </c>
      <c r="AO27" s="39">
        <f t="shared" si="15"/>
        <v>39974301130027</v>
      </c>
      <c r="AP27" s="39">
        <f t="shared" si="16"/>
        <v>0</v>
      </c>
      <c r="AQ27" s="39">
        <f t="shared" si="17"/>
        <v>0</v>
      </c>
    </row>
    <row r="28" spans="1:43" x14ac:dyDescent="0.25">
      <c r="A28" s="113">
        <v>46266</v>
      </c>
      <c r="B28" t="s">
        <v>342</v>
      </c>
      <c r="C28" t="s">
        <v>342</v>
      </c>
      <c r="D28" t="s">
        <v>288</v>
      </c>
      <c r="E28" t="s">
        <v>289</v>
      </c>
      <c r="F28" t="s">
        <v>348</v>
      </c>
      <c r="G28" t="s">
        <v>349</v>
      </c>
      <c r="H28">
        <v>16.920000000000002</v>
      </c>
      <c r="I28">
        <v>0</v>
      </c>
      <c r="K28" t="s">
        <v>292</v>
      </c>
      <c r="N28" s="105">
        <f t="shared" si="0"/>
        <v>16.920000000000002</v>
      </c>
      <c r="O28" s="106">
        <f>IF($F28="","",IF(ISNUMBER($F28),$F28+Settings!$C$7/24,IFERROR(DATEVALUE(LEFT($F28,10))+TIMEVALUE(MID($F28,12,8))+Settings!$C$7/24,"")))</f>
        <v>46266.552256944444</v>
      </c>
      <c r="P28" s="106">
        <f>IF($G28="","",IF(ISNUMBER($G28),$G28+Settings!$C$7/24,IFERROR(DATEVALUE(LEFT($G28,10))+TIMEVALUE(MID($G28,12,8))+Settings!$C$7/24,"")))</f>
        <v>46266.564004629632</v>
      </c>
      <c r="Q28" s="39">
        <f t="shared" si="1"/>
        <v>13</v>
      </c>
      <c r="R28" s="39">
        <f t="shared" si="2"/>
        <v>2</v>
      </c>
      <c r="S28" s="107">
        <f t="shared" si="3"/>
        <v>46266</v>
      </c>
      <c r="T28" s="39">
        <f>IF($C28="","",IF(COUNTIF($C$2:$C28,$C28)=1,1,0))</f>
        <v>0</v>
      </c>
      <c r="U28" s="39" t="str">
        <f>IF($T28=1,COUNTIF($T$2:$T28,1),"")</f>
        <v/>
      </c>
      <c r="V28" s="39">
        <f>IF($B28="","",IF(COUNTIF($B$2:$B28,$B28)=1,1,0))</f>
        <v>0</v>
      </c>
      <c r="W28" s="39" t="str">
        <f>IF($V28=1,COUNTIF($V$2:$V28,1),"")</f>
        <v/>
      </c>
      <c r="X28" s="39">
        <f>IF($A28="","",IF(COUNTIF($A$2:$A28,$A28)=1,1,0))</f>
        <v>0</v>
      </c>
      <c r="Y28" s="39" t="str">
        <f>IF($X28=1,COUNTIF($X$2:$X28,1),"")</f>
        <v/>
      </c>
      <c r="Z28" s="39">
        <f>IF(AND($E28="timed",$N28&gt;Settings!$C$8),1,0)</f>
        <v>0</v>
      </c>
      <c r="AA28" s="39">
        <f t="shared" si="4"/>
        <v>0</v>
      </c>
      <c r="AB28" s="39">
        <f t="shared" si="5"/>
        <v>0</v>
      </c>
      <c r="AC28" s="39">
        <f t="shared" si="6"/>
        <v>39974301150028</v>
      </c>
      <c r="AD28" s="39">
        <f t="shared" si="7"/>
        <v>27</v>
      </c>
      <c r="AE28" s="39" t="str">
        <f t="shared" si="8"/>
        <v>Teams Communications</v>
      </c>
      <c r="AF28" s="106">
        <f t="shared" si="9"/>
        <v>46266.552233796298</v>
      </c>
      <c r="AG28" s="39">
        <f t="shared" si="10"/>
        <v>1</v>
      </c>
      <c r="AH28" s="39">
        <f t="shared" si="11"/>
        <v>0</v>
      </c>
      <c r="AI28" s="39">
        <f>IF(AND($E28="timed",$N28&gt;=Settings!$C$9),1,0)</f>
        <v>0</v>
      </c>
      <c r="AJ28" s="39">
        <f>IF(OR($S28="",Settings!$C$16=""),"",IF($S28&lt;=Settings!$C$16,1,2))</f>
        <v>1</v>
      </c>
      <c r="AK28" s="39">
        <f>IF($C28="","",IFERROR(IF(INDEX(Settings!$C$20:$C$59,MATCH($C28,Settings!$B$20:$B$59,0))="",Settings!$C$10,INDEX(Settings!$C$20:$C$59,MATCH($C28,Settings!$B$20:$B$59,0))),Settings!$C$10))</f>
        <v>38.42</v>
      </c>
      <c r="AL28" s="108">
        <f t="shared" si="12"/>
        <v>10.83</v>
      </c>
      <c r="AM28" s="39">
        <f t="shared" si="13"/>
        <v>46266</v>
      </c>
      <c r="AN28" s="39" t="str">
        <f t="shared" si="14"/>
        <v/>
      </c>
      <c r="AO28" s="39">
        <f t="shared" si="15"/>
        <v>39974311300028</v>
      </c>
      <c r="AP28" s="39">
        <f t="shared" si="16"/>
        <v>0</v>
      </c>
      <c r="AQ28" s="39">
        <f t="shared" si="17"/>
        <v>0</v>
      </c>
    </row>
    <row r="29" spans="1:43" x14ac:dyDescent="0.25">
      <c r="A29" s="113">
        <v>46266</v>
      </c>
      <c r="B29" t="s">
        <v>311</v>
      </c>
      <c r="C29" t="s">
        <v>311</v>
      </c>
      <c r="D29" t="s">
        <v>288</v>
      </c>
      <c r="E29" t="s">
        <v>289</v>
      </c>
      <c r="F29" t="s">
        <v>350</v>
      </c>
      <c r="G29" t="s">
        <v>351</v>
      </c>
      <c r="H29">
        <v>27.77</v>
      </c>
      <c r="I29">
        <v>0</v>
      </c>
      <c r="K29" t="s">
        <v>292</v>
      </c>
      <c r="N29" s="105">
        <f t="shared" si="0"/>
        <v>27.77</v>
      </c>
      <c r="O29" s="106">
        <f>IF($F29="","",IF(ISNUMBER($F29),$F29+Settings!$C$7/24,IFERROR(DATEVALUE(LEFT($F29,10))+TIMEVALUE(MID($F29,12,8))+Settings!$C$7/24,"")))</f>
        <v>46266.564016203702</v>
      </c>
      <c r="P29" s="106">
        <f>IF($G29="","",IF(ISNUMBER($G29),$G29+Settings!$C$7/24,IFERROR(DATEVALUE(LEFT($G29,10))+TIMEVALUE(MID($G29,12,8))+Settings!$C$7/24,"")))</f>
        <v>46266.583298611113</v>
      </c>
      <c r="Q29" s="39">
        <f t="shared" si="1"/>
        <v>13</v>
      </c>
      <c r="R29" s="39">
        <f t="shared" si="2"/>
        <v>2</v>
      </c>
      <c r="S29" s="107">
        <f t="shared" si="3"/>
        <v>46266</v>
      </c>
      <c r="T29" s="39">
        <f>IF($C29="","",IF(COUNTIF($C$2:$C29,$C29)=1,1,0))</f>
        <v>0</v>
      </c>
      <c r="U29" s="39" t="str">
        <f>IF($T29=1,COUNTIF($T$2:$T29,1),"")</f>
        <v/>
      </c>
      <c r="V29" s="39">
        <f>IF($B29="","",IF(COUNTIF($B$2:$B29,$B29)=1,1,0))</f>
        <v>0</v>
      </c>
      <c r="W29" s="39" t="str">
        <f>IF($V29=1,COUNTIF($V$2:$V29,1),"")</f>
        <v/>
      </c>
      <c r="X29" s="39">
        <f>IF($A29="","",IF(COUNTIF($A$2:$A29,$A29)=1,1,0))</f>
        <v>0</v>
      </c>
      <c r="Y29" s="39" t="str">
        <f>IF($X29=1,COUNTIF($X$2:$X29,1),"")</f>
        <v/>
      </c>
      <c r="Z29" s="39">
        <f>IF(AND($E29="timed",$N29&gt;Settings!$C$8),1,0)</f>
        <v>0</v>
      </c>
      <c r="AA29" s="39">
        <f t="shared" si="4"/>
        <v>0</v>
      </c>
      <c r="AB29" s="39">
        <f t="shared" si="5"/>
        <v>0</v>
      </c>
      <c r="AC29" s="39">
        <f t="shared" si="6"/>
        <v>39974311310029</v>
      </c>
      <c r="AD29" s="39">
        <f t="shared" si="7"/>
        <v>28</v>
      </c>
      <c r="AE29" s="39" t="str">
        <f t="shared" si="8"/>
        <v>Project work</v>
      </c>
      <c r="AF29" s="106">
        <f t="shared" si="9"/>
        <v>46266.564004629632</v>
      </c>
      <c r="AG29" s="39">
        <f t="shared" si="10"/>
        <v>1</v>
      </c>
      <c r="AH29" s="39">
        <f t="shared" si="11"/>
        <v>0</v>
      </c>
      <c r="AI29" s="39">
        <f>IF(AND($E29="timed",$N29&gt;=Settings!$C$9),1,0)</f>
        <v>0</v>
      </c>
      <c r="AJ29" s="39">
        <f>IF(OR($S29="",Settings!$C$16=""),"",IF($S29&lt;=Settings!$C$16,1,2))</f>
        <v>1</v>
      </c>
      <c r="AK29" s="39">
        <f>IF($C29="","",IFERROR(IF(INDEX(Settings!$C$20:$C$59,MATCH($C29,Settings!$B$20:$B$59,0))="",Settings!$C$10,INDEX(Settings!$C$20:$C$59,MATCH($C29,Settings!$B$20:$B$59,0))),Settings!$C$10))</f>
        <v>38.42</v>
      </c>
      <c r="AL29" s="108">
        <f t="shared" si="12"/>
        <v>17.78</v>
      </c>
      <c r="AM29" s="39">
        <f t="shared" si="13"/>
        <v>46266</v>
      </c>
      <c r="AN29" s="39" t="str">
        <f t="shared" si="14"/>
        <v/>
      </c>
      <c r="AO29" s="39">
        <f t="shared" si="15"/>
        <v>39974327970029</v>
      </c>
      <c r="AP29" s="39">
        <f t="shared" si="16"/>
        <v>0</v>
      </c>
      <c r="AQ29" s="39">
        <f t="shared" si="17"/>
        <v>0</v>
      </c>
    </row>
    <row r="30" spans="1:43" x14ac:dyDescent="0.25">
      <c r="A30" s="113">
        <v>46266</v>
      </c>
      <c r="B30" t="s">
        <v>342</v>
      </c>
      <c r="C30" t="s">
        <v>342</v>
      </c>
      <c r="D30" t="s">
        <v>288</v>
      </c>
      <c r="E30" t="s">
        <v>289</v>
      </c>
      <c r="F30" t="s">
        <v>352</v>
      </c>
      <c r="G30" t="s">
        <v>353</v>
      </c>
      <c r="H30">
        <v>116.08</v>
      </c>
      <c r="I30">
        <v>0</v>
      </c>
      <c r="K30" t="s">
        <v>292</v>
      </c>
      <c r="N30" s="105">
        <f t="shared" si="0"/>
        <v>116.08</v>
      </c>
      <c r="O30" s="106">
        <f>IF($F30="","",IF(ISNUMBER($F30),$F30+Settings!$C$7/24,IFERROR(DATEVALUE(LEFT($F30,10))+TIMEVALUE(MID($F30,12,8))+Settings!$C$7/24,"")))</f>
        <v>46266.583425925928</v>
      </c>
      <c r="P30" s="106">
        <f>IF($G30="","",IF(ISNUMBER($G30),$G30+Settings!$C$7/24,IFERROR(DATEVALUE(LEFT($G30,10))+TIMEVALUE(MID($G30,12,8))+Settings!$C$7/24,"")))</f>
        <v>46266.664027777777</v>
      </c>
      <c r="Q30" s="39">
        <f t="shared" si="1"/>
        <v>14</v>
      </c>
      <c r="R30" s="39">
        <f t="shared" si="2"/>
        <v>2</v>
      </c>
      <c r="S30" s="107">
        <f t="shared" si="3"/>
        <v>46266</v>
      </c>
      <c r="T30" s="39">
        <f>IF($C30="","",IF(COUNTIF($C$2:$C30,$C30)=1,1,0))</f>
        <v>0</v>
      </c>
      <c r="U30" s="39" t="str">
        <f>IF($T30=1,COUNTIF($T$2:$T30,1),"")</f>
        <v/>
      </c>
      <c r="V30" s="39">
        <f>IF($B30="","",IF(COUNTIF($B$2:$B30,$B30)=1,1,0))</f>
        <v>0</v>
      </c>
      <c r="W30" s="39" t="str">
        <f>IF($V30=1,COUNTIF($V$2:$V30,1),"")</f>
        <v/>
      </c>
      <c r="X30" s="39">
        <f>IF($A30="","",IF(COUNTIF($A$2:$A30,$A30)=1,1,0))</f>
        <v>0</v>
      </c>
      <c r="Y30" s="39" t="str">
        <f>IF($X30=1,COUNTIF($X$2:$X30,1),"")</f>
        <v/>
      </c>
      <c r="Z30" s="39">
        <f>IF(AND($E30="timed",$N30&gt;Settings!$C$8),1,0)</f>
        <v>0</v>
      </c>
      <c r="AA30" s="39">
        <f t="shared" si="4"/>
        <v>0</v>
      </c>
      <c r="AB30" s="39">
        <f t="shared" si="5"/>
        <v>0</v>
      </c>
      <c r="AC30" s="39">
        <f t="shared" si="6"/>
        <v>39974328080030</v>
      </c>
      <c r="AD30" s="39">
        <f t="shared" si="7"/>
        <v>29</v>
      </c>
      <c r="AE30" s="39" t="str">
        <f t="shared" si="8"/>
        <v>Lunch Break</v>
      </c>
      <c r="AF30" s="106">
        <f t="shared" si="9"/>
        <v>46266.583298611113</v>
      </c>
      <c r="AG30" s="39">
        <f t="shared" si="10"/>
        <v>1</v>
      </c>
      <c r="AH30" s="39">
        <f t="shared" si="11"/>
        <v>0</v>
      </c>
      <c r="AI30" s="39">
        <f>IF(AND($E30="timed",$N30&gt;=Settings!$C$9),1,0)</f>
        <v>1</v>
      </c>
      <c r="AJ30" s="39">
        <f>IF(OR($S30="",Settings!$C$16=""),"",IF($S30&lt;=Settings!$C$16,1,2))</f>
        <v>1</v>
      </c>
      <c r="AK30" s="39">
        <f>IF($C30="","",IFERROR(IF(INDEX(Settings!$C$20:$C$59,MATCH($C30,Settings!$B$20:$B$59,0))="",Settings!$C$10,INDEX(Settings!$C$20:$C$59,MATCH($C30,Settings!$B$20:$B$59,0))),Settings!$C$10))</f>
        <v>38.42</v>
      </c>
      <c r="AL30" s="108">
        <f t="shared" si="12"/>
        <v>74.33</v>
      </c>
      <c r="AM30" s="39">
        <f t="shared" si="13"/>
        <v>46266</v>
      </c>
      <c r="AN30" s="39" t="str">
        <f t="shared" si="14"/>
        <v/>
      </c>
      <c r="AO30" s="39">
        <f t="shared" si="15"/>
        <v>39974397720030</v>
      </c>
      <c r="AP30" s="39">
        <f t="shared" si="16"/>
        <v>0</v>
      </c>
      <c r="AQ30" s="39">
        <f t="shared" si="17"/>
        <v>0</v>
      </c>
    </row>
    <row r="31" spans="1:43" x14ac:dyDescent="0.25">
      <c r="A31" s="113">
        <v>46266</v>
      </c>
      <c r="B31" t="s">
        <v>287</v>
      </c>
      <c r="C31" t="s">
        <v>287</v>
      </c>
      <c r="D31" t="s">
        <v>288</v>
      </c>
      <c r="E31" t="s">
        <v>289</v>
      </c>
      <c r="F31" t="s">
        <v>354</v>
      </c>
      <c r="G31" t="s">
        <v>355</v>
      </c>
      <c r="H31">
        <v>20.440000000000001</v>
      </c>
      <c r="I31">
        <v>0</v>
      </c>
      <c r="K31" t="s">
        <v>292</v>
      </c>
      <c r="N31" s="105">
        <f t="shared" si="0"/>
        <v>20.440000000000001</v>
      </c>
      <c r="O31" s="106">
        <f>IF($F31="","",IF(ISNUMBER($F31),$F31+Settings!$C$7/24,IFERROR(DATEVALUE(LEFT($F31,10))+TIMEVALUE(MID($F31,12,8))+Settings!$C$7/24,"")))</f>
        <v>46266.6640625</v>
      </c>
      <c r="P31" s="106">
        <f>IF($G31="","",IF(ISNUMBER($G31),$G31+Settings!$C$7/24,IFERROR(DATEVALUE(LEFT($G31,10))+TIMEVALUE(MID($G31,12,8))+Settings!$C$7/24,"")))</f>
        <v>46266.678252314814</v>
      </c>
      <c r="Q31" s="39">
        <f t="shared" si="1"/>
        <v>15</v>
      </c>
      <c r="R31" s="39">
        <f t="shared" si="2"/>
        <v>2</v>
      </c>
      <c r="S31" s="107">
        <f t="shared" si="3"/>
        <v>46266</v>
      </c>
      <c r="T31" s="39">
        <f>IF($C31="","",IF(COUNTIF($C$2:$C31,$C31)=1,1,0))</f>
        <v>0</v>
      </c>
      <c r="U31" s="39" t="str">
        <f>IF($T31=1,COUNTIF($T$2:$T31,1),"")</f>
        <v/>
      </c>
      <c r="V31" s="39">
        <f>IF($B31="","",IF(COUNTIF($B$2:$B31,$B31)=1,1,0))</f>
        <v>0</v>
      </c>
      <c r="W31" s="39" t="str">
        <f>IF($V31=1,COUNTIF($V$2:$V31,1),"")</f>
        <v/>
      </c>
      <c r="X31" s="39">
        <f>IF($A31="","",IF(COUNTIF($A$2:$A31,$A31)=1,1,0))</f>
        <v>0</v>
      </c>
      <c r="Y31" s="39" t="str">
        <f>IF($X31=1,COUNTIF($X$2:$X31,1),"")</f>
        <v/>
      </c>
      <c r="Z31" s="39">
        <f>IF(AND($E31="timed",$N31&gt;Settings!$C$8),1,0)</f>
        <v>0</v>
      </c>
      <c r="AA31" s="39">
        <f t="shared" si="4"/>
        <v>0</v>
      </c>
      <c r="AB31" s="39">
        <f t="shared" si="5"/>
        <v>0</v>
      </c>
      <c r="AC31" s="39">
        <f t="shared" si="6"/>
        <v>39974397750031</v>
      </c>
      <c r="AD31" s="39">
        <f t="shared" si="7"/>
        <v>30</v>
      </c>
      <c r="AE31" s="39" t="str">
        <f t="shared" si="8"/>
        <v>Project work</v>
      </c>
      <c r="AF31" s="106">
        <f t="shared" si="9"/>
        <v>46266.664027777777</v>
      </c>
      <c r="AG31" s="39">
        <f t="shared" si="10"/>
        <v>1</v>
      </c>
      <c r="AH31" s="39">
        <f t="shared" si="11"/>
        <v>0</v>
      </c>
      <c r="AI31" s="39">
        <f>IF(AND($E31="timed",$N31&gt;=Settings!$C$9),1,0)</f>
        <v>0</v>
      </c>
      <c r="AJ31" s="39">
        <f>IF(OR($S31="",Settings!$C$16=""),"",IF($S31&lt;=Settings!$C$16,1,2))</f>
        <v>1</v>
      </c>
      <c r="AK31" s="39">
        <f>IF($C31="","",IFERROR(IF(INDEX(Settings!$C$20:$C$59,MATCH($C31,Settings!$B$20:$B$59,0))="",Settings!$C$10,INDEX(Settings!$C$20:$C$59,MATCH($C31,Settings!$B$20:$B$59,0))),Settings!$C$10))</f>
        <v>38.42</v>
      </c>
      <c r="AL31" s="108">
        <f t="shared" si="12"/>
        <v>13.09</v>
      </c>
      <c r="AM31" s="39">
        <f t="shared" si="13"/>
        <v>46266</v>
      </c>
      <c r="AN31" s="39" t="str">
        <f t="shared" si="14"/>
        <v/>
      </c>
      <c r="AO31" s="39">
        <f t="shared" si="15"/>
        <v>39974410010031</v>
      </c>
      <c r="AP31" s="39">
        <f t="shared" si="16"/>
        <v>0</v>
      </c>
      <c r="AQ31" s="39">
        <f t="shared" si="17"/>
        <v>0</v>
      </c>
    </row>
    <row r="32" spans="1:43" x14ac:dyDescent="0.25">
      <c r="A32" s="113">
        <v>46266</v>
      </c>
      <c r="B32" t="s">
        <v>293</v>
      </c>
      <c r="C32" t="s">
        <v>293</v>
      </c>
      <c r="D32" t="s">
        <v>288</v>
      </c>
      <c r="E32" t="s">
        <v>289</v>
      </c>
      <c r="F32" t="s">
        <v>356</v>
      </c>
      <c r="G32" t="s">
        <v>357</v>
      </c>
      <c r="H32">
        <v>4.0999999999999996</v>
      </c>
      <c r="I32">
        <v>0</v>
      </c>
      <c r="K32" t="s">
        <v>292</v>
      </c>
      <c r="N32" s="105">
        <f t="shared" si="0"/>
        <v>4.0999999999999996</v>
      </c>
      <c r="O32" s="106">
        <f>IF($F32="","",IF(ISNUMBER($F32),$F32+Settings!$C$7/24,IFERROR(DATEVALUE(LEFT($F32,10))+TIMEVALUE(MID($F32,12,8))+Settings!$C$7/24,"")))</f>
        <v>46266.678368055553</v>
      </c>
      <c r="P32" s="106">
        <f>IF($G32="","",IF(ISNUMBER($G32),$G32+Settings!$C$7/24,IFERROR(DATEVALUE(LEFT($G32,10))+TIMEVALUE(MID($G32,12,8))+Settings!$C$7/24,"")))</f>
        <v>46266.681203703702</v>
      </c>
      <c r="Q32" s="39">
        <f t="shared" si="1"/>
        <v>16</v>
      </c>
      <c r="R32" s="39">
        <f t="shared" si="2"/>
        <v>2</v>
      </c>
      <c r="S32" s="107">
        <f t="shared" si="3"/>
        <v>46266</v>
      </c>
      <c r="T32" s="39">
        <f>IF($C32="","",IF(COUNTIF($C$2:$C32,$C32)=1,1,0))</f>
        <v>0</v>
      </c>
      <c r="U32" s="39" t="str">
        <f>IF($T32=1,COUNTIF($T$2:$T32,1),"")</f>
        <v/>
      </c>
      <c r="V32" s="39">
        <f>IF($B32="","",IF(COUNTIF($B$2:$B32,$B32)=1,1,0))</f>
        <v>0</v>
      </c>
      <c r="W32" s="39" t="str">
        <f>IF($V32=1,COUNTIF($V$2:$V32,1),"")</f>
        <v/>
      </c>
      <c r="X32" s="39">
        <f>IF($A32="","",IF(COUNTIF($A$2:$A32,$A32)=1,1,0))</f>
        <v>0</v>
      </c>
      <c r="Y32" s="39" t="str">
        <f>IF($X32=1,COUNTIF($X$2:$X32,1),"")</f>
        <v/>
      </c>
      <c r="Z32" s="39">
        <f>IF(AND($E32="timed",$N32&gt;Settings!$C$8),1,0)</f>
        <v>0</v>
      </c>
      <c r="AA32" s="39">
        <f t="shared" si="4"/>
        <v>0</v>
      </c>
      <c r="AB32" s="39">
        <f t="shared" si="5"/>
        <v>0</v>
      </c>
      <c r="AC32" s="39">
        <f t="shared" si="6"/>
        <v>39974410110032</v>
      </c>
      <c r="AD32" s="39">
        <f t="shared" si="7"/>
        <v>31</v>
      </c>
      <c r="AE32" s="39" t="str">
        <f t="shared" si="8"/>
        <v>Email</v>
      </c>
      <c r="AF32" s="106">
        <f t="shared" si="9"/>
        <v>46266.678252314814</v>
      </c>
      <c r="AG32" s="39">
        <f t="shared" si="10"/>
        <v>1</v>
      </c>
      <c r="AH32" s="39">
        <f t="shared" si="11"/>
        <v>0</v>
      </c>
      <c r="AI32" s="39">
        <f>IF(AND($E32="timed",$N32&gt;=Settings!$C$9),1,0)</f>
        <v>0</v>
      </c>
      <c r="AJ32" s="39">
        <f>IF(OR($S32="",Settings!$C$16=""),"",IF($S32&lt;=Settings!$C$16,1,2))</f>
        <v>1</v>
      </c>
      <c r="AK32" s="39">
        <f>IF($C32="","",IFERROR(IF(INDEX(Settings!$C$20:$C$59,MATCH($C32,Settings!$B$20:$B$59,0))="",Settings!$C$10,INDEX(Settings!$C$20:$C$59,MATCH($C32,Settings!$B$20:$B$59,0))),Settings!$C$10))</f>
        <v>38.42</v>
      </c>
      <c r="AL32" s="108">
        <f t="shared" si="12"/>
        <v>2.63</v>
      </c>
      <c r="AM32" s="39">
        <f t="shared" si="13"/>
        <v>46266</v>
      </c>
      <c r="AN32" s="39" t="str">
        <f t="shared" si="14"/>
        <v/>
      </c>
      <c r="AO32" s="39">
        <f t="shared" si="15"/>
        <v>39974412560032</v>
      </c>
      <c r="AP32" s="39">
        <f t="shared" si="16"/>
        <v>0</v>
      </c>
      <c r="AQ32" s="39">
        <f t="shared" si="17"/>
        <v>1</v>
      </c>
    </row>
    <row r="33" spans="1:43" x14ac:dyDescent="0.25">
      <c r="A33" s="113">
        <v>46267</v>
      </c>
      <c r="B33" t="s">
        <v>296</v>
      </c>
      <c r="C33" t="s">
        <v>296</v>
      </c>
      <c r="D33" t="s">
        <v>288</v>
      </c>
      <c r="E33" t="s">
        <v>289</v>
      </c>
      <c r="F33" t="s">
        <v>358</v>
      </c>
      <c r="G33" t="s">
        <v>359</v>
      </c>
      <c r="H33">
        <v>11.95</v>
      </c>
      <c r="I33">
        <v>0</v>
      </c>
      <c r="K33" t="s">
        <v>292</v>
      </c>
      <c r="N33" s="105">
        <f t="shared" si="0"/>
        <v>11.95</v>
      </c>
      <c r="O33" s="106">
        <f>IF($F33="","",IF(ISNUMBER($F33),$F33+Settings!$C$7/24,IFERROR(DATEVALUE(LEFT($F33,10))+TIMEVALUE(MID($F33,12,8))+Settings!$C$7/24,"")))</f>
        <v>46267.306921296295</v>
      </c>
      <c r="P33" s="106">
        <f>IF($G33="","",IF(ISNUMBER($G33),$G33+Settings!$C$7/24,IFERROR(DATEVALUE(LEFT($G33,10))+TIMEVALUE(MID($G33,12,8))+Settings!$C$7/24,"")))</f>
        <v>46267.31521990741</v>
      </c>
      <c r="Q33" s="39">
        <f t="shared" si="1"/>
        <v>7</v>
      </c>
      <c r="R33" s="39">
        <f t="shared" si="2"/>
        <v>3</v>
      </c>
      <c r="S33" s="107">
        <f t="shared" si="3"/>
        <v>46267</v>
      </c>
      <c r="T33" s="39">
        <f>IF($C33="","",IF(COUNTIF($C$2:$C33,$C33)=1,1,0))</f>
        <v>0</v>
      </c>
      <c r="U33" s="39" t="str">
        <f>IF($T33=1,COUNTIF($T$2:$T33,1),"")</f>
        <v/>
      </c>
      <c r="V33" s="39">
        <f>IF($B33="","",IF(COUNTIF($B$2:$B33,$B33)=1,1,0))</f>
        <v>0</v>
      </c>
      <c r="W33" s="39" t="str">
        <f>IF($V33=1,COUNTIF($V$2:$V33,1),"")</f>
        <v/>
      </c>
      <c r="X33" s="39">
        <f>IF($A33="","",IF(COUNTIF($A$2:$A33,$A33)=1,1,0))</f>
        <v>1</v>
      </c>
      <c r="Y33" s="39">
        <f>IF($X33=1,COUNTIF($X$2:$X33,1),"")</f>
        <v>3</v>
      </c>
      <c r="Z33" s="39">
        <f>IF(AND($E33="timed",$N33&gt;Settings!$C$8),1,0)</f>
        <v>0</v>
      </c>
      <c r="AA33" s="39">
        <f t="shared" si="4"/>
        <v>0</v>
      </c>
      <c r="AB33" s="39">
        <f t="shared" si="5"/>
        <v>0</v>
      </c>
      <c r="AC33" s="39">
        <f t="shared" si="6"/>
        <v>39974953180033</v>
      </c>
      <c r="AD33" s="39">
        <f t="shared" si="7"/>
        <v>32</v>
      </c>
      <c r="AE33" s="39" t="str">
        <f t="shared" si="8"/>
        <v/>
      </c>
      <c r="AF33" s="106" t="str">
        <f t="shared" si="9"/>
        <v/>
      </c>
      <c r="AG33" s="39">
        <f t="shared" si="10"/>
        <v>0</v>
      </c>
      <c r="AH33" s="39" t="str">
        <f t="shared" si="11"/>
        <v/>
      </c>
      <c r="AI33" s="39">
        <f>IF(AND($E33="timed",$N33&gt;=Settings!$C$9),1,0)</f>
        <v>0</v>
      </c>
      <c r="AJ33" s="39">
        <f>IF(OR($S33="",Settings!$C$16=""),"",IF($S33&lt;=Settings!$C$16,1,2))</f>
        <v>1</v>
      </c>
      <c r="AK33" s="39">
        <f>IF($C33="","",IFERROR(IF(INDEX(Settings!$C$20:$C$59,MATCH($C33,Settings!$B$20:$B$59,0))="",Settings!$C$10,INDEX(Settings!$C$20:$C$59,MATCH($C33,Settings!$B$20:$B$59,0))),Settings!$C$10))</f>
        <v>38.42</v>
      </c>
      <c r="AL33" s="108">
        <f t="shared" si="12"/>
        <v>7.65</v>
      </c>
      <c r="AM33" s="39">
        <f t="shared" si="13"/>
        <v>46266</v>
      </c>
      <c r="AN33" s="39" t="str">
        <f t="shared" si="14"/>
        <v/>
      </c>
      <c r="AO33" s="39">
        <f t="shared" si="15"/>
        <v>39974960350033</v>
      </c>
      <c r="AP33" s="39">
        <f t="shared" si="16"/>
        <v>1</v>
      </c>
      <c r="AQ33" s="39">
        <f t="shared" si="17"/>
        <v>0</v>
      </c>
    </row>
    <row r="34" spans="1:43" x14ac:dyDescent="0.25">
      <c r="A34" s="113">
        <v>46267</v>
      </c>
      <c r="B34" t="s">
        <v>287</v>
      </c>
      <c r="C34" t="s">
        <v>287</v>
      </c>
      <c r="D34" t="s">
        <v>288</v>
      </c>
      <c r="E34" t="s">
        <v>289</v>
      </c>
      <c r="F34" t="s">
        <v>360</v>
      </c>
      <c r="G34" t="s">
        <v>361</v>
      </c>
      <c r="H34">
        <v>43.69</v>
      </c>
      <c r="I34">
        <v>0</v>
      </c>
      <c r="K34" t="s">
        <v>292</v>
      </c>
      <c r="N34" s="105">
        <f t="shared" si="0"/>
        <v>43.69</v>
      </c>
      <c r="O34" s="106">
        <f>IF($F34="","",IF(ISNUMBER($F34),$F34+Settings!$C$7/24,IFERROR(DATEVALUE(LEFT($F34,10))+TIMEVALUE(MID($F34,12,8))+Settings!$C$7/24,"")))</f>
        <v>46267.315243055556</v>
      </c>
      <c r="P34" s="106">
        <f>IF($G34="","",IF(ISNUMBER($G34),$G34+Settings!$C$7/24,IFERROR(DATEVALUE(LEFT($G34,10))+TIMEVALUE(MID($G34,12,8))+Settings!$C$7/24,"")))</f>
        <v>46267.345590277779</v>
      </c>
      <c r="Q34" s="39">
        <f t="shared" si="1"/>
        <v>7</v>
      </c>
      <c r="R34" s="39">
        <f t="shared" si="2"/>
        <v>3</v>
      </c>
      <c r="S34" s="107">
        <f t="shared" si="3"/>
        <v>46267</v>
      </c>
      <c r="T34" s="39">
        <f>IF($C34="","",IF(COUNTIF($C$2:$C34,$C34)=1,1,0))</f>
        <v>0</v>
      </c>
      <c r="U34" s="39" t="str">
        <f>IF($T34=1,COUNTIF($T$2:$T34,1),"")</f>
        <v/>
      </c>
      <c r="V34" s="39">
        <f>IF($B34="","",IF(COUNTIF($B$2:$B34,$B34)=1,1,0))</f>
        <v>0</v>
      </c>
      <c r="W34" s="39" t="str">
        <f>IF($V34=1,COUNTIF($V$2:$V34,1),"")</f>
        <v/>
      </c>
      <c r="X34" s="39">
        <f>IF($A34="","",IF(COUNTIF($A$2:$A34,$A34)=1,1,0))</f>
        <v>0</v>
      </c>
      <c r="Y34" s="39" t="str">
        <f>IF($X34=1,COUNTIF($X$2:$X34,1),"")</f>
        <v/>
      </c>
      <c r="Z34" s="39">
        <f>IF(AND($E34="timed",$N34&gt;Settings!$C$8),1,0)</f>
        <v>0</v>
      </c>
      <c r="AA34" s="39">
        <f t="shared" si="4"/>
        <v>0</v>
      </c>
      <c r="AB34" s="39">
        <f t="shared" si="5"/>
        <v>0</v>
      </c>
      <c r="AC34" s="39">
        <f t="shared" si="6"/>
        <v>39974960370034</v>
      </c>
      <c r="AD34" s="39">
        <f t="shared" si="7"/>
        <v>33</v>
      </c>
      <c r="AE34" s="39" t="str">
        <f t="shared" si="8"/>
        <v>Teams Communications</v>
      </c>
      <c r="AF34" s="106">
        <f t="shared" si="9"/>
        <v>46267.31521990741</v>
      </c>
      <c r="AG34" s="39">
        <f t="shared" si="10"/>
        <v>1</v>
      </c>
      <c r="AH34" s="39">
        <f t="shared" si="11"/>
        <v>0</v>
      </c>
      <c r="AI34" s="39">
        <f>IF(AND($E34="timed",$N34&gt;=Settings!$C$9),1,0)</f>
        <v>0</v>
      </c>
      <c r="AJ34" s="39">
        <f>IF(OR($S34="",Settings!$C$16=""),"",IF($S34&lt;=Settings!$C$16,1,2))</f>
        <v>1</v>
      </c>
      <c r="AK34" s="39">
        <f>IF($C34="","",IFERROR(IF(INDEX(Settings!$C$20:$C$59,MATCH($C34,Settings!$B$20:$B$59,0))="",Settings!$C$10,INDEX(Settings!$C$20:$C$59,MATCH($C34,Settings!$B$20:$B$59,0))),Settings!$C$10))</f>
        <v>38.42</v>
      </c>
      <c r="AL34" s="108">
        <f t="shared" si="12"/>
        <v>27.98</v>
      </c>
      <c r="AM34" s="39">
        <f t="shared" si="13"/>
        <v>46267</v>
      </c>
      <c r="AN34" s="39" t="str">
        <f t="shared" si="14"/>
        <v/>
      </c>
      <c r="AO34" s="39">
        <f t="shared" si="15"/>
        <v>39974986590034</v>
      </c>
      <c r="AP34" s="39">
        <f t="shared" si="16"/>
        <v>0</v>
      </c>
      <c r="AQ34" s="39">
        <f t="shared" si="17"/>
        <v>0</v>
      </c>
    </row>
    <row r="35" spans="1:43" x14ac:dyDescent="0.25">
      <c r="A35" s="113">
        <v>46267</v>
      </c>
      <c r="B35" t="s">
        <v>293</v>
      </c>
      <c r="C35" t="s">
        <v>293</v>
      </c>
      <c r="D35" t="s">
        <v>288</v>
      </c>
      <c r="E35" t="s">
        <v>289</v>
      </c>
      <c r="F35" t="s">
        <v>362</v>
      </c>
      <c r="G35" t="s">
        <v>363</v>
      </c>
      <c r="H35">
        <v>13.11</v>
      </c>
      <c r="I35">
        <v>0</v>
      </c>
      <c r="K35" t="s">
        <v>292</v>
      </c>
      <c r="N35" s="105">
        <f t="shared" si="0"/>
        <v>13.11</v>
      </c>
      <c r="O35" s="106">
        <f>IF($F35="","",IF(ISNUMBER($F35),$F35+Settings!$C$7/24,IFERROR(DATEVALUE(LEFT($F35,10))+TIMEVALUE(MID($F35,12,8))+Settings!$C$7/24,"")))</f>
        <v>46267.345601851855</v>
      </c>
      <c r="P35" s="106">
        <f>IF($G35="","",IF(ISNUMBER($G35),$G35+Settings!$C$7/24,IFERROR(DATEVALUE(LEFT($G35,10))+TIMEVALUE(MID($G35,12,8))+Settings!$C$7/24,"")))</f>
        <v>46267.354710648149</v>
      </c>
      <c r="Q35" s="39">
        <f t="shared" si="1"/>
        <v>8</v>
      </c>
      <c r="R35" s="39">
        <f t="shared" si="2"/>
        <v>3</v>
      </c>
      <c r="S35" s="107">
        <f t="shared" si="3"/>
        <v>46267</v>
      </c>
      <c r="T35" s="39">
        <f>IF($C35="","",IF(COUNTIF($C$2:$C35,$C35)=1,1,0))</f>
        <v>0</v>
      </c>
      <c r="U35" s="39" t="str">
        <f>IF($T35=1,COUNTIF($T$2:$T35,1),"")</f>
        <v/>
      </c>
      <c r="V35" s="39">
        <f>IF($B35="","",IF(COUNTIF($B$2:$B35,$B35)=1,1,0))</f>
        <v>0</v>
      </c>
      <c r="W35" s="39" t="str">
        <f>IF($V35=1,COUNTIF($V$2:$V35,1),"")</f>
        <v/>
      </c>
      <c r="X35" s="39">
        <f>IF($A35="","",IF(COUNTIF($A$2:$A35,$A35)=1,1,0))</f>
        <v>0</v>
      </c>
      <c r="Y35" s="39" t="str">
        <f>IF($X35=1,COUNTIF($X$2:$X35,1),"")</f>
        <v/>
      </c>
      <c r="Z35" s="39">
        <f>IF(AND($E35="timed",$N35&gt;Settings!$C$8),1,0)</f>
        <v>0</v>
      </c>
      <c r="AA35" s="39">
        <f t="shared" si="4"/>
        <v>0</v>
      </c>
      <c r="AB35" s="39">
        <f t="shared" si="5"/>
        <v>0</v>
      </c>
      <c r="AC35" s="39">
        <f t="shared" si="6"/>
        <v>39974986600035</v>
      </c>
      <c r="AD35" s="39">
        <f t="shared" si="7"/>
        <v>34</v>
      </c>
      <c r="AE35" s="39" t="str">
        <f t="shared" si="8"/>
        <v>Email</v>
      </c>
      <c r="AF35" s="106">
        <f t="shared" si="9"/>
        <v>46267.345590277779</v>
      </c>
      <c r="AG35" s="39">
        <f t="shared" si="10"/>
        <v>1</v>
      </c>
      <c r="AH35" s="39">
        <f t="shared" si="11"/>
        <v>0</v>
      </c>
      <c r="AI35" s="39">
        <f>IF(AND($E35="timed",$N35&gt;=Settings!$C$9),1,0)</f>
        <v>0</v>
      </c>
      <c r="AJ35" s="39">
        <f>IF(OR($S35="",Settings!$C$16=""),"",IF($S35&lt;=Settings!$C$16,1,2))</f>
        <v>1</v>
      </c>
      <c r="AK35" s="39">
        <f>IF($C35="","",IFERROR(IF(INDEX(Settings!$C$20:$C$59,MATCH($C35,Settings!$B$20:$B$59,0))="",Settings!$C$10,INDEX(Settings!$C$20:$C$59,MATCH($C35,Settings!$B$20:$B$59,0))),Settings!$C$10))</f>
        <v>38.42</v>
      </c>
      <c r="AL35" s="108">
        <f t="shared" si="12"/>
        <v>8.39</v>
      </c>
      <c r="AM35" s="39">
        <f t="shared" si="13"/>
        <v>46267</v>
      </c>
      <c r="AN35" s="39" t="str">
        <f t="shared" si="14"/>
        <v/>
      </c>
      <c r="AO35" s="39">
        <f t="shared" si="15"/>
        <v>39974994470035</v>
      </c>
      <c r="AP35" s="39">
        <f t="shared" si="16"/>
        <v>0</v>
      </c>
      <c r="AQ35" s="39">
        <f t="shared" si="17"/>
        <v>0</v>
      </c>
    </row>
    <row r="36" spans="1:43" x14ac:dyDescent="0.25">
      <c r="A36" s="113">
        <v>46267</v>
      </c>
      <c r="B36" t="s">
        <v>322</v>
      </c>
      <c r="C36" t="s">
        <v>322</v>
      </c>
      <c r="D36" t="s">
        <v>288</v>
      </c>
      <c r="E36" t="s">
        <v>289</v>
      </c>
      <c r="F36" t="s">
        <v>364</v>
      </c>
      <c r="G36" t="s">
        <v>365</v>
      </c>
      <c r="H36">
        <v>23.68</v>
      </c>
      <c r="I36">
        <v>0</v>
      </c>
      <c r="K36" t="s">
        <v>292</v>
      </c>
      <c r="N36" s="105">
        <f t="shared" si="0"/>
        <v>23.68</v>
      </c>
      <c r="O36" s="106">
        <f>IF($F36="","",IF(ISNUMBER($F36),$F36+Settings!$C$7/24,IFERROR(DATEVALUE(LEFT($F36,10))+TIMEVALUE(MID($F36,12,8))+Settings!$C$7/24,"")))</f>
        <v>46267.354722222219</v>
      </c>
      <c r="P36" s="106">
        <f>IF($G36="","",IF(ISNUMBER($G36),$G36+Settings!$C$7/24,IFERROR(DATEVALUE(LEFT($G36,10))+TIMEVALUE(MID($G36,12,8))+Settings!$C$7/24,"")))</f>
        <v>46267.371168981481</v>
      </c>
      <c r="Q36" s="39">
        <f t="shared" si="1"/>
        <v>8</v>
      </c>
      <c r="R36" s="39">
        <f t="shared" si="2"/>
        <v>3</v>
      </c>
      <c r="S36" s="107">
        <f t="shared" si="3"/>
        <v>46267</v>
      </c>
      <c r="T36" s="39">
        <f>IF($C36="","",IF(COUNTIF($C$2:$C36,$C36)=1,1,0))</f>
        <v>0</v>
      </c>
      <c r="U36" s="39" t="str">
        <f>IF($T36=1,COUNTIF($T$2:$T36,1),"")</f>
        <v/>
      </c>
      <c r="V36" s="39">
        <f>IF($B36="","",IF(COUNTIF($B$2:$B36,$B36)=1,1,0))</f>
        <v>0</v>
      </c>
      <c r="W36" s="39" t="str">
        <f>IF($V36=1,COUNTIF($V$2:$V36,1),"")</f>
        <v/>
      </c>
      <c r="X36" s="39">
        <f>IF($A36="","",IF(COUNTIF($A$2:$A36,$A36)=1,1,0))</f>
        <v>0</v>
      </c>
      <c r="Y36" s="39" t="str">
        <f>IF($X36=1,COUNTIF($X$2:$X36,1),"")</f>
        <v/>
      </c>
      <c r="Z36" s="39">
        <f>IF(AND($E36="timed",$N36&gt;Settings!$C$8),1,0)</f>
        <v>0</v>
      </c>
      <c r="AA36" s="39">
        <f t="shared" si="4"/>
        <v>0</v>
      </c>
      <c r="AB36" s="39">
        <f t="shared" si="5"/>
        <v>0</v>
      </c>
      <c r="AC36" s="39">
        <f t="shared" si="6"/>
        <v>39974994480036</v>
      </c>
      <c r="AD36" s="39">
        <f t="shared" si="7"/>
        <v>35</v>
      </c>
      <c r="AE36" s="39" t="str">
        <f t="shared" si="8"/>
        <v>Zendesk Tickets</v>
      </c>
      <c r="AF36" s="106">
        <f t="shared" si="9"/>
        <v>46267.354710648149</v>
      </c>
      <c r="AG36" s="39">
        <f t="shared" si="10"/>
        <v>1</v>
      </c>
      <c r="AH36" s="39">
        <f t="shared" si="11"/>
        <v>0</v>
      </c>
      <c r="AI36" s="39">
        <f>IF(AND($E36="timed",$N36&gt;=Settings!$C$9),1,0)</f>
        <v>0</v>
      </c>
      <c r="AJ36" s="39">
        <f>IF(OR($S36="",Settings!$C$16=""),"",IF($S36&lt;=Settings!$C$16,1,2))</f>
        <v>1</v>
      </c>
      <c r="AK36" s="39">
        <f>IF($C36="","",IFERROR(IF(INDEX(Settings!$C$20:$C$59,MATCH($C36,Settings!$B$20:$B$59,0))="",Settings!$C$10,INDEX(Settings!$C$20:$C$59,MATCH($C36,Settings!$B$20:$B$59,0))),Settings!$C$10))</f>
        <v>38.42</v>
      </c>
      <c r="AL36" s="108">
        <f t="shared" si="12"/>
        <v>15.16</v>
      </c>
      <c r="AM36" s="39">
        <f t="shared" si="13"/>
        <v>46267</v>
      </c>
      <c r="AN36" s="39" t="str">
        <f t="shared" si="14"/>
        <v/>
      </c>
      <c r="AO36" s="39">
        <f t="shared" si="15"/>
        <v>39975008690036</v>
      </c>
      <c r="AP36" s="39">
        <f t="shared" si="16"/>
        <v>0</v>
      </c>
      <c r="AQ36" s="39">
        <f t="shared" si="17"/>
        <v>0</v>
      </c>
    </row>
    <row r="37" spans="1:43" x14ac:dyDescent="0.25">
      <c r="A37" s="113">
        <v>46267</v>
      </c>
      <c r="B37" t="s">
        <v>303</v>
      </c>
      <c r="C37" t="s">
        <v>303</v>
      </c>
      <c r="D37" t="s">
        <v>288</v>
      </c>
      <c r="E37" t="s">
        <v>289</v>
      </c>
      <c r="F37" t="s">
        <v>366</v>
      </c>
      <c r="G37" t="s">
        <v>367</v>
      </c>
      <c r="H37">
        <v>11.43</v>
      </c>
      <c r="I37">
        <v>0</v>
      </c>
      <c r="K37" t="s">
        <v>292</v>
      </c>
      <c r="N37" s="105">
        <f t="shared" si="0"/>
        <v>11.43</v>
      </c>
      <c r="O37" s="106">
        <f>IF($F37="","",IF(ISNUMBER($F37),$F37+Settings!$C$7/24,IFERROR(DATEVALUE(LEFT($F37,10))+TIMEVALUE(MID($F37,12,8))+Settings!$C$7/24,"")))</f>
        <v>46267.371249999997</v>
      </c>
      <c r="P37" s="106">
        <f>IF($G37="","",IF(ISNUMBER($G37),$G37+Settings!$C$7/24,IFERROR(DATEVALUE(LEFT($G37,10))+TIMEVALUE(MID($G37,12,8))+Settings!$C$7/24,"")))</f>
        <v>46267.379189814812</v>
      </c>
      <c r="Q37" s="39">
        <f t="shared" si="1"/>
        <v>8</v>
      </c>
      <c r="R37" s="39">
        <f t="shared" si="2"/>
        <v>3</v>
      </c>
      <c r="S37" s="107">
        <f t="shared" si="3"/>
        <v>46267</v>
      </c>
      <c r="T37" s="39">
        <f>IF($C37="","",IF(COUNTIF($C$2:$C37,$C37)=1,1,0))</f>
        <v>0</v>
      </c>
      <c r="U37" s="39" t="str">
        <f>IF($T37=1,COUNTIF($T$2:$T37,1),"")</f>
        <v/>
      </c>
      <c r="V37" s="39">
        <f>IF($B37="","",IF(COUNTIF($B$2:$B37,$B37)=1,1,0))</f>
        <v>0</v>
      </c>
      <c r="W37" s="39" t="str">
        <f>IF($V37=1,COUNTIF($V$2:$V37,1),"")</f>
        <v/>
      </c>
      <c r="X37" s="39">
        <f>IF($A37="","",IF(COUNTIF($A$2:$A37,$A37)=1,1,0))</f>
        <v>0</v>
      </c>
      <c r="Y37" s="39" t="str">
        <f>IF($X37=1,COUNTIF($X$2:$X37,1),"")</f>
        <v/>
      </c>
      <c r="Z37" s="39">
        <f>IF(AND($E37="timed",$N37&gt;Settings!$C$8),1,0)</f>
        <v>0</v>
      </c>
      <c r="AA37" s="39">
        <f t="shared" si="4"/>
        <v>0</v>
      </c>
      <c r="AB37" s="39">
        <f t="shared" si="5"/>
        <v>0</v>
      </c>
      <c r="AC37" s="39">
        <f t="shared" si="6"/>
        <v>39975008760037</v>
      </c>
      <c r="AD37" s="39">
        <f t="shared" si="7"/>
        <v>36</v>
      </c>
      <c r="AE37" s="39" t="str">
        <f t="shared" si="8"/>
        <v>Admin</v>
      </c>
      <c r="AF37" s="106">
        <f t="shared" si="9"/>
        <v>46267.371168981481</v>
      </c>
      <c r="AG37" s="39">
        <f t="shared" si="10"/>
        <v>1</v>
      </c>
      <c r="AH37" s="39">
        <f t="shared" si="11"/>
        <v>0</v>
      </c>
      <c r="AI37" s="39">
        <f>IF(AND($E37="timed",$N37&gt;=Settings!$C$9),1,0)</f>
        <v>0</v>
      </c>
      <c r="AJ37" s="39">
        <f>IF(OR($S37="",Settings!$C$16=""),"",IF($S37&lt;=Settings!$C$16,1,2))</f>
        <v>1</v>
      </c>
      <c r="AK37" s="39">
        <f>IF($C37="","",IFERROR(IF(INDEX(Settings!$C$20:$C$59,MATCH($C37,Settings!$B$20:$B$59,0))="",Settings!$C$10,INDEX(Settings!$C$20:$C$59,MATCH($C37,Settings!$B$20:$B$59,0))),Settings!$C$10))</f>
        <v>38.42</v>
      </c>
      <c r="AL37" s="108">
        <f t="shared" si="12"/>
        <v>7.32</v>
      </c>
      <c r="AM37" s="39">
        <f t="shared" si="13"/>
        <v>46267</v>
      </c>
      <c r="AN37" s="39" t="str">
        <f t="shared" si="14"/>
        <v/>
      </c>
      <c r="AO37" s="39">
        <f t="shared" si="15"/>
        <v>39975015620037</v>
      </c>
      <c r="AP37" s="39">
        <f t="shared" si="16"/>
        <v>0</v>
      </c>
      <c r="AQ37" s="39">
        <f t="shared" si="17"/>
        <v>0</v>
      </c>
    </row>
    <row r="38" spans="1:43" x14ac:dyDescent="0.25">
      <c r="A38" s="113">
        <v>46267</v>
      </c>
      <c r="B38" t="s">
        <v>322</v>
      </c>
      <c r="C38" t="s">
        <v>322</v>
      </c>
      <c r="D38" t="s">
        <v>288</v>
      </c>
      <c r="E38" t="s">
        <v>289</v>
      </c>
      <c r="F38" t="s">
        <v>368</v>
      </c>
      <c r="G38" t="s">
        <v>369</v>
      </c>
      <c r="H38">
        <v>3.2</v>
      </c>
      <c r="I38">
        <v>0</v>
      </c>
      <c r="K38" t="s">
        <v>292</v>
      </c>
      <c r="N38" s="105">
        <f t="shared" si="0"/>
        <v>3.2</v>
      </c>
      <c r="O38" s="106">
        <f>IF($F38="","",IF(ISNUMBER($F38),$F38+Settings!$C$7/24,IFERROR(DATEVALUE(LEFT($F38,10))+TIMEVALUE(MID($F38,12,8))+Settings!$C$7/24,"")))</f>
        <v>46267.379212962966</v>
      </c>
      <c r="P38" s="106">
        <f>IF($G38="","",IF(ISNUMBER($G38),$G38+Settings!$C$7/24,IFERROR(DATEVALUE(LEFT($G38,10))+TIMEVALUE(MID($G38,12,8))+Settings!$C$7/24,"")))</f>
        <v>46267.381435185183</v>
      </c>
      <c r="Q38" s="39">
        <f t="shared" si="1"/>
        <v>9</v>
      </c>
      <c r="R38" s="39">
        <f t="shared" si="2"/>
        <v>3</v>
      </c>
      <c r="S38" s="107">
        <f t="shared" si="3"/>
        <v>46267</v>
      </c>
      <c r="T38" s="39">
        <f>IF($C38="","",IF(COUNTIF($C$2:$C38,$C38)=1,1,0))</f>
        <v>0</v>
      </c>
      <c r="U38" s="39" t="str">
        <f>IF($T38=1,COUNTIF($T$2:$T38,1),"")</f>
        <v/>
      </c>
      <c r="V38" s="39">
        <f>IF($B38="","",IF(COUNTIF($B$2:$B38,$B38)=1,1,0))</f>
        <v>0</v>
      </c>
      <c r="W38" s="39" t="str">
        <f>IF($V38=1,COUNTIF($V$2:$V38,1),"")</f>
        <v/>
      </c>
      <c r="X38" s="39">
        <f>IF($A38="","",IF(COUNTIF($A$2:$A38,$A38)=1,1,0))</f>
        <v>0</v>
      </c>
      <c r="Y38" s="39" t="str">
        <f>IF($X38=1,COUNTIF($X$2:$X38,1),"")</f>
        <v/>
      </c>
      <c r="Z38" s="39">
        <f>IF(AND($E38="timed",$N38&gt;Settings!$C$8),1,0)</f>
        <v>0</v>
      </c>
      <c r="AA38" s="39">
        <f t="shared" si="4"/>
        <v>0</v>
      </c>
      <c r="AB38" s="39">
        <f t="shared" si="5"/>
        <v>0</v>
      </c>
      <c r="AC38" s="39">
        <f t="shared" si="6"/>
        <v>39975015640038</v>
      </c>
      <c r="AD38" s="39">
        <f t="shared" si="7"/>
        <v>37</v>
      </c>
      <c r="AE38" s="39" t="str">
        <f t="shared" si="8"/>
        <v>Dev Tickets - ADO's</v>
      </c>
      <c r="AF38" s="106">
        <f t="shared" si="9"/>
        <v>46267.379189814812</v>
      </c>
      <c r="AG38" s="39">
        <f t="shared" si="10"/>
        <v>1</v>
      </c>
      <c r="AH38" s="39">
        <f t="shared" si="11"/>
        <v>0</v>
      </c>
      <c r="AI38" s="39">
        <f>IF(AND($E38="timed",$N38&gt;=Settings!$C$9),1,0)</f>
        <v>0</v>
      </c>
      <c r="AJ38" s="39">
        <f>IF(OR($S38="",Settings!$C$16=""),"",IF($S38&lt;=Settings!$C$16,1,2))</f>
        <v>1</v>
      </c>
      <c r="AK38" s="39">
        <f>IF($C38="","",IFERROR(IF(INDEX(Settings!$C$20:$C$59,MATCH($C38,Settings!$B$20:$B$59,0))="",Settings!$C$10,INDEX(Settings!$C$20:$C$59,MATCH($C38,Settings!$B$20:$B$59,0))),Settings!$C$10))</f>
        <v>38.42</v>
      </c>
      <c r="AL38" s="108">
        <f t="shared" si="12"/>
        <v>2.0499999999999998</v>
      </c>
      <c r="AM38" s="39">
        <f t="shared" si="13"/>
        <v>46267</v>
      </c>
      <c r="AN38" s="39" t="str">
        <f t="shared" si="14"/>
        <v/>
      </c>
      <c r="AO38" s="39">
        <f t="shared" si="15"/>
        <v>39975017560038</v>
      </c>
      <c r="AP38" s="39">
        <f t="shared" si="16"/>
        <v>0</v>
      </c>
      <c r="AQ38" s="39">
        <f t="shared" si="17"/>
        <v>0</v>
      </c>
    </row>
    <row r="39" spans="1:43" x14ac:dyDescent="0.25">
      <c r="A39" s="113">
        <v>46267</v>
      </c>
      <c r="B39" t="s">
        <v>287</v>
      </c>
      <c r="C39" t="s">
        <v>287</v>
      </c>
      <c r="D39" t="s">
        <v>288</v>
      </c>
      <c r="E39" t="s">
        <v>289</v>
      </c>
      <c r="F39" t="s">
        <v>370</v>
      </c>
      <c r="G39" t="s">
        <v>371</v>
      </c>
      <c r="H39">
        <v>10.1</v>
      </c>
      <c r="I39">
        <v>1</v>
      </c>
      <c r="K39" t="s">
        <v>292</v>
      </c>
      <c r="N39" s="105">
        <f t="shared" si="0"/>
        <v>10.1</v>
      </c>
      <c r="O39" s="106">
        <f>IF($F39="","",IF(ISNUMBER($F39),$F39+Settings!$C$7/24,IFERROR(DATEVALUE(LEFT($F39,10))+TIMEVALUE(MID($F39,12,8))+Settings!$C$7/24,"")))</f>
        <v>46267.381458333337</v>
      </c>
      <c r="P39" s="106">
        <f>IF($G39="","",IF(ISNUMBER($G39),$G39+Settings!$C$7/24,IFERROR(DATEVALUE(LEFT($G39,10))+TIMEVALUE(MID($G39,12,8))+Settings!$C$7/24,"")))</f>
        <v>46267.388472222221</v>
      </c>
      <c r="Q39" s="39">
        <f t="shared" si="1"/>
        <v>9</v>
      </c>
      <c r="R39" s="39">
        <f t="shared" si="2"/>
        <v>3</v>
      </c>
      <c r="S39" s="107">
        <f t="shared" si="3"/>
        <v>46267</v>
      </c>
      <c r="T39" s="39">
        <f>IF($C39="","",IF(COUNTIF($C$2:$C39,$C39)=1,1,0))</f>
        <v>0</v>
      </c>
      <c r="U39" s="39" t="str">
        <f>IF($T39=1,COUNTIF($T$2:$T39,1),"")</f>
        <v/>
      </c>
      <c r="V39" s="39">
        <f>IF($B39="","",IF(COUNTIF($B$2:$B39,$B39)=1,1,0))</f>
        <v>0</v>
      </c>
      <c r="W39" s="39" t="str">
        <f>IF($V39=1,COUNTIF($V$2:$V39,1),"")</f>
        <v/>
      </c>
      <c r="X39" s="39">
        <f>IF($A39="","",IF(COUNTIF($A$2:$A39,$A39)=1,1,0))</f>
        <v>0</v>
      </c>
      <c r="Y39" s="39" t="str">
        <f>IF($X39=1,COUNTIF($X$2:$X39,1),"")</f>
        <v/>
      </c>
      <c r="Z39" s="39">
        <f>IF(AND($E39="timed",$N39&gt;Settings!$C$8),1,0)</f>
        <v>0</v>
      </c>
      <c r="AA39" s="39">
        <f t="shared" si="4"/>
        <v>0</v>
      </c>
      <c r="AB39" s="39">
        <f t="shared" si="5"/>
        <v>1</v>
      </c>
      <c r="AC39" s="39">
        <f t="shared" si="6"/>
        <v>39975017580039</v>
      </c>
      <c r="AD39" s="39">
        <f t="shared" si="7"/>
        <v>38</v>
      </c>
      <c r="AE39" s="39" t="str">
        <f t="shared" si="8"/>
        <v>Admin</v>
      </c>
      <c r="AF39" s="106">
        <f t="shared" si="9"/>
        <v>46267.381435185183</v>
      </c>
      <c r="AG39" s="39">
        <f t="shared" si="10"/>
        <v>1</v>
      </c>
      <c r="AH39" s="39">
        <f t="shared" si="11"/>
        <v>0</v>
      </c>
      <c r="AI39" s="39">
        <f>IF(AND($E39="timed",$N39&gt;=Settings!$C$9),1,0)</f>
        <v>0</v>
      </c>
      <c r="AJ39" s="39">
        <f>IF(OR($S39="",Settings!$C$16=""),"",IF($S39&lt;=Settings!$C$16,1,2))</f>
        <v>1</v>
      </c>
      <c r="AK39" s="39">
        <f>IF($C39="","",IFERROR(IF(INDEX(Settings!$C$20:$C$59,MATCH($C39,Settings!$B$20:$B$59,0))="",Settings!$C$10,INDEX(Settings!$C$20:$C$59,MATCH($C39,Settings!$B$20:$B$59,0))),Settings!$C$10))</f>
        <v>38.42</v>
      </c>
      <c r="AL39" s="108">
        <f t="shared" si="12"/>
        <v>6.47</v>
      </c>
      <c r="AM39" s="39">
        <f t="shared" si="13"/>
        <v>46267</v>
      </c>
      <c r="AN39" s="39" t="str">
        <f t="shared" si="14"/>
        <v/>
      </c>
      <c r="AO39" s="39">
        <f t="shared" si="15"/>
        <v>39975023640039</v>
      </c>
      <c r="AP39" s="39">
        <f t="shared" si="16"/>
        <v>0</v>
      </c>
      <c r="AQ39" s="39">
        <f t="shared" si="17"/>
        <v>0</v>
      </c>
    </row>
    <row r="40" spans="1:43" x14ac:dyDescent="0.25">
      <c r="A40" s="113">
        <v>46267</v>
      </c>
      <c r="B40" t="s">
        <v>296</v>
      </c>
      <c r="C40" t="s">
        <v>296</v>
      </c>
      <c r="D40" t="s">
        <v>288</v>
      </c>
      <c r="E40" t="s">
        <v>289</v>
      </c>
      <c r="F40" t="s">
        <v>371</v>
      </c>
      <c r="G40" t="s">
        <v>372</v>
      </c>
      <c r="H40">
        <v>4.57</v>
      </c>
      <c r="I40">
        <v>0</v>
      </c>
      <c r="K40" t="s">
        <v>292</v>
      </c>
      <c r="L40" t="s">
        <v>373</v>
      </c>
      <c r="N40" s="105">
        <f t="shared" si="0"/>
        <v>4.57</v>
      </c>
      <c r="O40" s="106">
        <f>IF($F40="","",IF(ISNUMBER($F40),$F40+Settings!$C$7/24,IFERROR(DATEVALUE(LEFT($F40,10))+TIMEVALUE(MID($F40,12,8))+Settings!$C$7/24,"")))</f>
        <v>46267.388472222221</v>
      </c>
      <c r="P40" s="106">
        <f>IF($G40="","",IF(ISNUMBER($G40),$G40+Settings!$C$7/24,IFERROR(DATEVALUE(LEFT($G40,10))+TIMEVALUE(MID($G40,12,8))+Settings!$C$7/24,"")))</f>
        <v>46267.391643518517</v>
      </c>
      <c r="Q40" s="39">
        <f t="shared" si="1"/>
        <v>9</v>
      </c>
      <c r="R40" s="39">
        <f t="shared" si="2"/>
        <v>3</v>
      </c>
      <c r="S40" s="107">
        <f t="shared" si="3"/>
        <v>46267</v>
      </c>
      <c r="T40" s="39">
        <f>IF($C40="","",IF(COUNTIF($C$2:$C40,$C40)=1,1,0))</f>
        <v>0</v>
      </c>
      <c r="U40" s="39" t="str">
        <f>IF($T40=1,COUNTIF($T$2:$T40,1),"")</f>
        <v/>
      </c>
      <c r="V40" s="39">
        <f>IF($B40="","",IF(COUNTIF($B$2:$B40,$B40)=1,1,0))</f>
        <v>0</v>
      </c>
      <c r="W40" s="39" t="str">
        <f>IF($V40=1,COUNTIF($V$2:$V40,1),"")</f>
        <v/>
      </c>
      <c r="X40" s="39">
        <f>IF($A40="","",IF(COUNTIF($A$2:$A40,$A40)=1,1,0))</f>
        <v>0</v>
      </c>
      <c r="Y40" s="39" t="str">
        <f>IF($X40=1,COUNTIF($X$2:$X40,1),"")</f>
        <v/>
      </c>
      <c r="Z40" s="39">
        <f>IF(AND($E40="timed",$N40&gt;Settings!$C$8),1,0)</f>
        <v>0</v>
      </c>
      <c r="AA40" s="39">
        <f t="shared" si="4"/>
        <v>0</v>
      </c>
      <c r="AB40" s="39">
        <f t="shared" si="5"/>
        <v>0</v>
      </c>
      <c r="AC40" s="39">
        <f t="shared" si="6"/>
        <v>39975023640040</v>
      </c>
      <c r="AD40" s="39">
        <f t="shared" si="7"/>
        <v>39</v>
      </c>
      <c r="AE40" s="39" t="str">
        <f t="shared" si="8"/>
        <v>Email</v>
      </c>
      <c r="AF40" s="106">
        <f t="shared" si="9"/>
        <v>46267.388472222221</v>
      </c>
      <c r="AG40" s="39">
        <f t="shared" si="10"/>
        <v>1</v>
      </c>
      <c r="AH40" s="39">
        <f t="shared" si="11"/>
        <v>0</v>
      </c>
      <c r="AI40" s="39">
        <f>IF(AND($E40="timed",$N40&gt;=Settings!$C$9),1,0)</f>
        <v>0</v>
      </c>
      <c r="AJ40" s="39">
        <f>IF(OR($S40="",Settings!$C$16=""),"",IF($S40&lt;=Settings!$C$16,1,2))</f>
        <v>1</v>
      </c>
      <c r="AK40" s="39">
        <f>IF($C40="","",IFERROR(IF(INDEX(Settings!$C$20:$C$59,MATCH($C40,Settings!$B$20:$B$59,0))="",Settings!$C$10,INDEX(Settings!$C$20:$C$59,MATCH($C40,Settings!$B$20:$B$59,0))),Settings!$C$10))</f>
        <v>38.42</v>
      </c>
      <c r="AL40" s="108">
        <f t="shared" si="12"/>
        <v>2.93</v>
      </c>
      <c r="AM40" s="39">
        <f t="shared" si="13"/>
        <v>46267</v>
      </c>
      <c r="AN40" s="39" t="str">
        <f t="shared" si="14"/>
        <v/>
      </c>
      <c r="AO40" s="39">
        <f t="shared" si="15"/>
        <v>39975026380040</v>
      </c>
      <c r="AP40" s="39">
        <f t="shared" si="16"/>
        <v>0</v>
      </c>
      <c r="AQ40" s="39">
        <f t="shared" si="17"/>
        <v>0</v>
      </c>
    </row>
    <row r="41" spans="1:43" x14ac:dyDescent="0.25">
      <c r="A41" s="113">
        <v>46267</v>
      </c>
      <c r="B41" t="s">
        <v>287</v>
      </c>
      <c r="C41" t="s">
        <v>287</v>
      </c>
      <c r="D41" t="s">
        <v>288</v>
      </c>
      <c r="E41" t="s">
        <v>289</v>
      </c>
      <c r="F41" t="s">
        <v>374</v>
      </c>
      <c r="G41" t="s">
        <v>375</v>
      </c>
      <c r="H41">
        <v>0.19</v>
      </c>
      <c r="I41">
        <v>1</v>
      </c>
      <c r="K41" t="s">
        <v>292</v>
      </c>
      <c r="N41" s="105">
        <f t="shared" si="0"/>
        <v>0.19</v>
      </c>
      <c r="O41" s="106">
        <f>IF($F41="","",IF(ISNUMBER($F41),$F41+Settings!$C$7/24,IFERROR(DATEVALUE(LEFT($F41,10))+TIMEVALUE(MID($F41,12,8))+Settings!$C$7/24,"")))</f>
        <v>46267.391655092593</v>
      </c>
      <c r="P41" s="106">
        <f>IF($G41="","",IF(ISNUMBER($G41),$G41+Settings!$C$7/24,IFERROR(DATEVALUE(LEFT($G41,10))+TIMEVALUE(MID($G41,12,8))+Settings!$C$7/24,"")))</f>
        <v>46267.391782407409</v>
      </c>
      <c r="Q41" s="39">
        <f t="shared" si="1"/>
        <v>9</v>
      </c>
      <c r="R41" s="39">
        <f t="shared" si="2"/>
        <v>3</v>
      </c>
      <c r="S41" s="107">
        <f t="shared" si="3"/>
        <v>46267</v>
      </c>
      <c r="T41" s="39">
        <f>IF($C41="","",IF(COUNTIF($C$2:$C41,$C41)=1,1,0))</f>
        <v>0</v>
      </c>
      <c r="U41" s="39" t="str">
        <f>IF($T41=1,COUNTIF($T$2:$T41,1),"")</f>
        <v/>
      </c>
      <c r="V41" s="39">
        <f>IF($B41="","",IF(COUNTIF($B$2:$B41,$B41)=1,1,0))</f>
        <v>0</v>
      </c>
      <c r="W41" s="39" t="str">
        <f>IF($V41=1,COUNTIF($V$2:$V41,1),"")</f>
        <v/>
      </c>
      <c r="X41" s="39">
        <f>IF($A41="","",IF(COUNTIF($A$2:$A41,$A41)=1,1,0))</f>
        <v>0</v>
      </c>
      <c r="Y41" s="39" t="str">
        <f>IF($X41=1,COUNTIF($X$2:$X41,1),"")</f>
        <v/>
      </c>
      <c r="Z41" s="39">
        <f>IF(AND($E41="timed",$N41&gt;Settings!$C$8),1,0)</f>
        <v>0</v>
      </c>
      <c r="AA41" s="39">
        <f t="shared" si="4"/>
        <v>0</v>
      </c>
      <c r="AB41" s="39">
        <f t="shared" si="5"/>
        <v>1</v>
      </c>
      <c r="AC41" s="39">
        <f t="shared" si="6"/>
        <v>39975026390041</v>
      </c>
      <c r="AD41" s="39">
        <f t="shared" si="7"/>
        <v>40</v>
      </c>
      <c r="AE41" s="39" t="str">
        <f t="shared" si="8"/>
        <v>Teams Communications</v>
      </c>
      <c r="AF41" s="106">
        <f t="shared" si="9"/>
        <v>46267.391643518517</v>
      </c>
      <c r="AG41" s="39">
        <f t="shared" si="10"/>
        <v>1</v>
      </c>
      <c r="AH41" s="39">
        <f t="shared" si="11"/>
        <v>0</v>
      </c>
      <c r="AI41" s="39">
        <f>IF(AND($E41="timed",$N41&gt;=Settings!$C$9),1,0)</f>
        <v>0</v>
      </c>
      <c r="AJ41" s="39">
        <f>IF(OR($S41="",Settings!$C$16=""),"",IF($S41&lt;=Settings!$C$16,1,2))</f>
        <v>1</v>
      </c>
      <c r="AK41" s="39">
        <f>IF($C41="","",IFERROR(IF(INDEX(Settings!$C$20:$C$59,MATCH($C41,Settings!$B$20:$B$59,0))="",Settings!$C$10,INDEX(Settings!$C$20:$C$59,MATCH($C41,Settings!$B$20:$B$59,0))),Settings!$C$10))</f>
        <v>38.42</v>
      </c>
      <c r="AL41" s="108">
        <f t="shared" si="12"/>
        <v>0.12</v>
      </c>
      <c r="AM41" s="39">
        <f t="shared" si="13"/>
        <v>46267</v>
      </c>
      <c r="AN41" s="39" t="str">
        <f t="shared" si="14"/>
        <v/>
      </c>
      <c r="AO41" s="39">
        <f t="shared" si="15"/>
        <v>39975026500041</v>
      </c>
      <c r="AP41" s="39">
        <f t="shared" si="16"/>
        <v>0</v>
      </c>
      <c r="AQ41" s="39">
        <f t="shared" si="17"/>
        <v>0</v>
      </c>
    </row>
    <row r="42" spans="1:43" x14ac:dyDescent="0.25">
      <c r="A42" s="113">
        <v>46267</v>
      </c>
      <c r="B42" t="s">
        <v>322</v>
      </c>
      <c r="C42" t="s">
        <v>322</v>
      </c>
      <c r="D42" t="s">
        <v>288</v>
      </c>
      <c r="E42" t="s">
        <v>289</v>
      </c>
      <c r="F42" t="s">
        <v>376</v>
      </c>
      <c r="G42" t="s">
        <v>377</v>
      </c>
      <c r="H42">
        <v>2.3199999999999998</v>
      </c>
      <c r="I42">
        <v>1</v>
      </c>
      <c r="K42" t="s">
        <v>292</v>
      </c>
      <c r="L42" t="s">
        <v>378</v>
      </c>
      <c r="N42" s="105">
        <f t="shared" si="0"/>
        <v>2.3199999999999998</v>
      </c>
      <c r="O42" s="106">
        <f>IF($F42="","",IF(ISNUMBER($F42),$F42+Settings!$C$7/24,IFERROR(DATEVALUE(LEFT($F42,10))+TIMEVALUE(MID($F42,12,8))+Settings!$C$7/24,"")))</f>
        <v>46267.391898148147</v>
      </c>
      <c r="P42" s="106">
        <f>IF($G42="","",IF(ISNUMBER($G42),$G42+Settings!$C$7/24,IFERROR(DATEVALUE(LEFT($G42,10))+TIMEVALUE(MID($G42,12,8))+Settings!$C$7/24,"")))</f>
        <v>46267.393506944441</v>
      </c>
      <c r="Q42" s="39">
        <f t="shared" si="1"/>
        <v>9</v>
      </c>
      <c r="R42" s="39">
        <f t="shared" si="2"/>
        <v>3</v>
      </c>
      <c r="S42" s="107">
        <f t="shared" si="3"/>
        <v>46267</v>
      </c>
      <c r="T42" s="39">
        <f>IF($C42="","",IF(COUNTIF($C$2:$C42,$C42)=1,1,0))</f>
        <v>0</v>
      </c>
      <c r="U42" s="39" t="str">
        <f>IF($T42=1,COUNTIF($T$2:$T42,1),"")</f>
        <v/>
      </c>
      <c r="V42" s="39">
        <f>IF($B42="","",IF(COUNTIF($B$2:$B42,$B42)=1,1,0))</f>
        <v>0</v>
      </c>
      <c r="W42" s="39" t="str">
        <f>IF($V42=1,COUNTIF($V$2:$V42,1),"")</f>
        <v/>
      </c>
      <c r="X42" s="39">
        <f>IF($A42="","",IF(COUNTIF($A$2:$A42,$A42)=1,1,0))</f>
        <v>0</v>
      </c>
      <c r="Y42" s="39" t="str">
        <f>IF($X42=1,COUNTIF($X$2:$X42,1),"")</f>
        <v/>
      </c>
      <c r="Z42" s="39">
        <f>IF(AND($E42="timed",$N42&gt;Settings!$C$8),1,0)</f>
        <v>0</v>
      </c>
      <c r="AA42" s="39">
        <f t="shared" si="4"/>
        <v>0</v>
      </c>
      <c r="AB42" s="39">
        <f t="shared" si="5"/>
        <v>1</v>
      </c>
      <c r="AC42" s="39">
        <f t="shared" si="6"/>
        <v>39975026600042</v>
      </c>
      <c r="AD42" s="39">
        <f t="shared" si="7"/>
        <v>41</v>
      </c>
      <c r="AE42" s="39" t="str">
        <f t="shared" si="8"/>
        <v>Email</v>
      </c>
      <c r="AF42" s="106">
        <f t="shared" si="9"/>
        <v>46267.391782407409</v>
      </c>
      <c r="AG42" s="39">
        <f t="shared" si="10"/>
        <v>1</v>
      </c>
      <c r="AH42" s="39">
        <f t="shared" si="11"/>
        <v>0</v>
      </c>
      <c r="AI42" s="39">
        <f>IF(AND($E42="timed",$N42&gt;=Settings!$C$9),1,0)</f>
        <v>0</v>
      </c>
      <c r="AJ42" s="39">
        <f>IF(OR($S42="",Settings!$C$16=""),"",IF($S42&lt;=Settings!$C$16,1,2))</f>
        <v>1</v>
      </c>
      <c r="AK42" s="39">
        <f>IF($C42="","",IFERROR(IF(INDEX(Settings!$C$20:$C$59,MATCH($C42,Settings!$B$20:$B$59,0))="",Settings!$C$10,INDEX(Settings!$C$20:$C$59,MATCH($C42,Settings!$B$20:$B$59,0))),Settings!$C$10))</f>
        <v>38.42</v>
      </c>
      <c r="AL42" s="108">
        <f t="shared" si="12"/>
        <v>1.49</v>
      </c>
      <c r="AM42" s="39">
        <f t="shared" si="13"/>
        <v>46267</v>
      </c>
      <c r="AN42" s="39" t="str">
        <f t="shared" si="14"/>
        <v/>
      </c>
      <c r="AO42" s="39">
        <f t="shared" si="15"/>
        <v>39975027990042</v>
      </c>
      <c r="AP42" s="39">
        <f t="shared" si="16"/>
        <v>0</v>
      </c>
      <c r="AQ42" s="39">
        <f t="shared" si="17"/>
        <v>0</v>
      </c>
    </row>
    <row r="43" spans="1:43" x14ac:dyDescent="0.25">
      <c r="A43" s="113">
        <v>46267</v>
      </c>
      <c r="B43" t="s">
        <v>296</v>
      </c>
      <c r="C43" t="s">
        <v>296</v>
      </c>
      <c r="D43" t="s">
        <v>288</v>
      </c>
      <c r="E43" t="s">
        <v>289</v>
      </c>
      <c r="F43" t="s">
        <v>377</v>
      </c>
      <c r="G43" t="s">
        <v>379</v>
      </c>
      <c r="H43">
        <v>3.68</v>
      </c>
      <c r="I43">
        <v>0</v>
      </c>
      <c r="K43" t="s">
        <v>292</v>
      </c>
      <c r="N43" s="105">
        <f t="shared" si="0"/>
        <v>3.68</v>
      </c>
      <c r="O43" s="106">
        <f>IF($F43="","",IF(ISNUMBER($F43),$F43+Settings!$C$7/24,IFERROR(DATEVALUE(LEFT($F43,10))+TIMEVALUE(MID($F43,12,8))+Settings!$C$7/24,"")))</f>
        <v>46267.393506944441</v>
      </c>
      <c r="P43" s="106">
        <f>IF($G43="","",IF(ISNUMBER($G43),$G43+Settings!$C$7/24,IFERROR(DATEVALUE(LEFT($G43,10))+TIMEVALUE(MID($G43,12,8))+Settings!$C$7/24,"")))</f>
        <v>46267.396064814813</v>
      </c>
      <c r="Q43" s="39">
        <f t="shared" si="1"/>
        <v>9</v>
      </c>
      <c r="R43" s="39">
        <f t="shared" si="2"/>
        <v>3</v>
      </c>
      <c r="S43" s="107">
        <f t="shared" si="3"/>
        <v>46267</v>
      </c>
      <c r="T43" s="39">
        <f>IF($C43="","",IF(COUNTIF($C$2:$C43,$C43)=1,1,0))</f>
        <v>0</v>
      </c>
      <c r="U43" s="39" t="str">
        <f>IF($T43=1,COUNTIF($T$2:$T43,1),"")</f>
        <v/>
      </c>
      <c r="V43" s="39">
        <f>IF($B43="","",IF(COUNTIF($B$2:$B43,$B43)=1,1,0))</f>
        <v>0</v>
      </c>
      <c r="W43" s="39" t="str">
        <f>IF($V43=1,COUNTIF($V$2:$V43,1),"")</f>
        <v/>
      </c>
      <c r="X43" s="39">
        <f>IF($A43="","",IF(COUNTIF($A$2:$A43,$A43)=1,1,0))</f>
        <v>0</v>
      </c>
      <c r="Y43" s="39" t="str">
        <f>IF($X43=1,COUNTIF($X$2:$X43,1),"")</f>
        <v/>
      </c>
      <c r="Z43" s="39">
        <f>IF(AND($E43="timed",$N43&gt;Settings!$C$8),1,0)</f>
        <v>0</v>
      </c>
      <c r="AA43" s="39">
        <f t="shared" si="4"/>
        <v>0</v>
      </c>
      <c r="AB43" s="39">
        <f t="shared" si="5"/>
        <v>0</v>
      </c>
      <c r="AC43" s="39">
        <f t="shared" si="6"/>
        <v>39975027990043</v>
      </c>
      <c r="AD43" s="39">
        <f t="shared" si="7"/>
        <v>42</v>
      </c>
      <c r="AE43" s="39" t="str">
        <f t="shared" si="8"/>
        <v>Admin</v>
      </c>
      <c r="AF43" s="106">
        <f t="shared" si="9"/>
        <v>46267.393506944441</v>
      </c>
      <c r="AG43" s="39">
        <f t="shared" si="10"/>
        <v>1</v>
      </c>
      <c r="AH43" s="39">
        <f t="shared" si="11"/>
        <v>0</v>
      </c>
      <c r="AI43" s="39">
        <f>IF(AND($E43="timed",$N43&gt;=Settings!$C$9),1,0)</f>
        <v>0</v>
      </c>
      <c r="AJ43" s="39">
        <f>IF(OR($S43="",Settings!$C$16=""),"",IF($S43&lt;=Settings!$C$16,1,2))</f>
        <v>1</v>
      </c>
      <c r="AK43" s="39">
        <f>IF($C43="","",IFERROR(IF(INDEX(Settings!$C$20:$C$59,MATCH($C43,Settings!$B$20:$B$59,0))="",Settings!$C$10,INDEX(Settings!$C$20:$C$59,MATCH($C43,Settings!$B$20:$B$59,0))),Settings!$C$10))</f>
        <v>38.42</v>
      </c>
      <c r="AL43" s="108">
        <f t="shared" si="12"/>
        <v>2.36</v>
      </c>
      <c r="AM43" s="39">
        <f t="shared" si="13"/>
        <v>46267</v>
      </c>
      <c r="AN43" s="39" t="str">
        <f t="shared" si="14"/>
        <v/>
      </c>
      <c r="AO43" s="39">
        <f t="shared" si="15"/>
        <v>39975030200043</v>
      </c>
      <c r="AP43" s="39">
        <f t="shared" si="16"/>
        <v>0</v>
      </c>
      <c r="AQ43" s="39">
        <f t="shared" si="17"/>
        <v>0</v>
      </c>
    </row>
    <row r="44" spans="1:43" x14ac:dyDescent="0.25">
      <c r="A44" s="113">
        <v>46267</v>
      </c>
      <c r="B44" t="s">
        <v>322</v>
      </c>
      <c r="C44" t="s">
        <v>322</v>
      </c>
      <c r="D44" t="s">
        <v>288</v>
      </c>
      <c r="E44" t="s">
        <v>289</v>
      </c>
      <c r="F44" t="s">
        <v>380</v>
      </c>
      <c r="G44" t="s">
        <v>381</v>
      </c>
      <c r="H44">
        <v>11.3</v>
      </c>
      <c r="I44">
        <v>1</v>
      </c>
      <c r="K44" t="s">
        <v>292</v>
      </c>
      <c r="L44" t="s">
        <v>378</v>
      </c>
      <c r="N44" s="105">
        <f t="shared" si="0"/>
        <v>11.3</v>
      </c>
      <c r="O44" s="106">
        <f>IF($F44="","",IF(ISNUMBER($F44),$F44+Settings!$C$7/24,IFERROR(DATEVALUE(LEFT($F44,10))+TIMEVALUE(MID($F44,12,8))+Settings!$C$7/24,"")))</f>
        <v>46267.396087962959</v>
      </c>
      <c r="P44" s="106">
        <f>IF($G44="","",IF(ISNUMBER($G44),$G44+Settings!$C$7/24,IFERROR(DATEVALUE(LEFT($G44,10))+TIMEVALUE(MID($G44,12,8))+Settings!$C$7/24,"")))</f>
        <v>46267.403935185182</v>
      </c>
      <c r="Q44" s="39">
        <f t="shared" si="1"/>
        <v>9</v>
      </c>
      <c r="R44" s="39">
        <f t="shared" si="2"/>
        <v>3</v>
      </c>
      <c r="S44" s="107">
        <f t="shared" si="3"/>
        <v>46267</v>
      </c>
      <c r="T44" s="39">
        <f>IF($C44="","",IF(COUNTIF($C$2:$C44,$C44)=1,1,0))</f>
        <v>0</v>
      </c>
      <c r="U44" s="39" t="str">
        <f>IF($T44=1,COUNTIF($T$2:$T44,1),"")</f>
        <v/>
      </c>
      <c r="V44" s="39">
        <f>IF($B44="","",IF(COUNTIF($B$2:$B44,$B44)=1,1,0))</f>
        <v>0</v>
      </c>
      <c r="W44" s="39" t="str">
        <f>IF($V44=1,COUNTIF($V$2:$V44,1),"")</f>
        <v/>
      </c>
      <c r="X44" s="39">
        <f>IF($A44="","",IF(COUNTIF($A$2:$A44,$A44)=1,1,0))</f>
        <v>0</v>
      </c>
      <c r="Y44" s="39" t="str">
        <f>IF($X44=1,COUNTIF($X$2:$X44,1),"")</f>
        <v/>
      </c>
      <c r="Z44" s="39">
        <f>IF(AND($E44="timed",$N44&gt;Settings!$C$8),1,0)</f>
        <v>0</v>
      </c>
      <c r="AA44" s="39">
        <f t="shared" si="4"/>
        <v>0</v>
      </c>
      <c r="AB44" s="39">
        <f t="shared" si="5"/>
        <v>1</v>
      </c>
      <c r="AC44" s="39">
        <f t="shared" si="6"/>
        <v>39975030220044</v>
      </c>
      <c r="AD44" s="39">
        <f t="shared" si="7"/>
        <v>43</v>
      </c>
      <c r="AE44" s="39" t="str">
        <f t="shared" si="8"/>
        <v>Teams Communications</v>
      </c>
      <c r="AF44" s="106">
        <f t="shared" si="9"/>
        <v>46267.396064814813</v>
      </c>
      <c r="AG44" s="39">
        <f t="shared" si="10"/>
        <v>1</v>
      </c>
      <c r="AH44" s="39">
        <f t="shared" si="11"/>
        <v>0</v>
      </c>
      <c r="AI44" s="39">
        <f>IF(AND($E44="timed",$N44&gt;=Settings!$C$9),1,0)</f>
        <v>0</v>
      </c>
      <c r="AJ44" s="39">
        <f>IF(OR($S44="",Settings!$C$16=""),"",IF($S44&lt;=Settings!$C$16,1,2))</f>
        <v>1</v>
      </c>
      <c r="AK44" s="39">
        <f>IF($C44="","",IFERROR(IF(INDEX(Settings!$C$20:$C$59,MATCH($C44,Settings!$B$20:$B$59,0))="",Settings!$C$10,INDEX(Settings!$C$20:$C$59,MATCH($C44,Settings!$B$20:$B$59,0))),Settings!$C$10))</f>
        <v>38.42</v>
      </c>
      <c r="AL44" s="108">
        <f t="shared" si="12"/>
        <v>7.24</v>
      </c>
      <c r="AM44" s="39">
        <f t="shared" si="13"/>
        <v>46267</v>
      </c>
      <c r="AN44" s="39" t="str">
        <f t="shared" si="14"/>
        <v/>
      </c>
      <c r="AO44" s="39">
        <f t="shared" si="15"/>
        <v>39975037000044</v>
      </c>
      <c r="AP44" s="39">
        <f t="shared" si="16"/>
        <v>0</v>
      </c>
      <c r="AQ44" s="39">
        <f t="shared" si="17"/>
        <v>0</v>
      </c>
    </row>
    <row r="45" spans="1:43" x14ac:dyDescent="0.25">
      <c r="A45" s="113">
        <v>46267</v>
      </c>
      <c r="B45" t="s">
        <v>382</v>
      </c>
      <c r="C45" t="s">
        <v>382</v>
      </c>
      <c r="D45" t="s">
        <v>288</v>
      </c>
      <c r="E45" t="s">
        <v>289</v>
      </c>
      <c r="F45" t="s">
        <v>383</v>
      </c>
      <c r="G45" t="s">
        <v>384</v>
      </c>
      <c r="H45">
        <v>13.74</v>
      </c>
      <c r="I45">
        <v>0</v>
      </c>
      <c r="K45" t="s">
        <v>292</v>
      </c>
      <c r="L45" t="s">
        <v>385</v>
      </c>
      <c r="N45" s="105">
        <f t="shared" si="0"/>
        <v>13.74</v>
      </c>
      <c r="O45" s="106">
        <f>IF($F45="","",IF(ISNUMBER($F45),$F45+Settings!$C$7/24,IFERROR(DATEVALUE(LEFT($F45,10))+TIMEVALUE(MID($F45,12,8))+Settings!$C$7/24,"")))</f>
        <v>46267.405115740738</v>
      </c>
      <c r="P45" s="106">
        <f>IF($G45="","",IF(ISNUMBER($G45),$G45+Settings!$C$7/24,IFERROR(DATEVALUE(LEFT($G45,10))+TIMEVALUE(MID($G45,12,8))+Settings!$C$7/24,"")))</f>
        <v>46267.414664351854</v>
      </c>
      <c r="Q45" s="39">
        <f t="shared" si="1"/>
        <v>9</v>
      </c>
      <c r="R45" s="39">
        <f t="shared" si="2"/>
        <v>3</v>
      </c>
      <c r="S45" s="107">
        <f t="shared" si="3"/>
        <v>46267</v>
      </c>
      <c r="T45" s="39">
        <f>IF($C45="","",IF(COUNTIF($C$2:$C45,$C45)=1,1,0))</f>
        <v>1</v>
      </c>
      <c r="U45" s="39">
        <f>IF($T45=1,COUNTIF($T$2:$T45,1),"")</f>
        <v>8</v>
      </c>
      <c r="V45" s="39">
        <f>IF($B45="","",IF(COUNTIF($B$2:$B45,$B45)=1,1,0))</f>
        <v>1</v>
      </c>
      <c r="W45" s="39">
        <f>IF($V45=1,COUNTIF($V$2:$V45,1),"")</f>
        <v>8</v>
      </c>
      <c r="X45" s="39">
        <f>IF($A45="","",IF(COUNTIF($A$2:$A45,$A45)=1,1,0))</f>
        <v>0</v>
      </c>
      <c r="Y45" s="39" t="str">
        <f>IF($X45=1,COUNTIF($X$2:$X45,1),"")</f>
        <v/>
      </c>
      <c r="Z45" s="39">
        <f>IF(AND($E45="timed",$N45&gt;Settings!$C$8),1,0)</f>
        <v>0</v>
      </c>
      <c r="AA45" s="39">
        <f t="shared" si="4"/>
        <v>0</v>
      </c>
      <c r="AB45" s="39">
        <f t="shared" si="5"/>
        <v>0</v>
      </c>
      <c r="AC45" s="39">
        <f t="shared" si="6"/>
        <v>39975038020045</v>
      </c>
      <c r="AD45" s="39">
        <f t="shared" si="7"/>
        <v>44</v>
      </c>
      <c r="AE45" s="39" t="str">
        <f t="shared" si="8"/>
        <v>Admin</v>
      </c>
      <c r="AF45" s="106">
        <f t="shared" si="9"/>
        <v>46267.403935185182</v>
      </c>
      <c r="AG45" s="39">
        <f t="shared" si="10"/>
        <v>1</v>
      </c>
      <c r="AH45" s="39">
        <f t="shared" si="11"/>
        <v>2</v>
      </c>
      <c r="AI45" s="39">
        <f>IF(AND($E45="timed",$N45&gt;=Settings!$C$9),1,0)</f>
        <v>0</v>
      </c>
      <c r="AJ45" s="39">
        <f>IF(OR($S45="",Settings!$C$16=""),"",IF($S45&lt;=Settings!$C$16,1,2))</f>
        <v>1</v>
      </c>
      <c r="AK45" s="39">
        <f>IF($C45="","",IFERROR(IF(INDEX(Settings!$C$20:$C$59,MATCH($C45,Settings!$B$20:$B$59,0))="",Settings!$C$10,INDEX(Settings!$C$20:$C$59,MATCH($C45,Settings!$B$20:$B$59,0))),Settings!$C$10))</f>
        <v>38.42</v>
      </c>
      <c r="AL45" s="108">
        <f t="shared" si="12"/>
        <v>8.8000000000000007</v>
      </c>
      <c r="AM45" s="39">
        <f t="shared" si="13"/>
        <v>46267</v>
      </c>
      <c r="AN45" s="39" t="str">
        <f t="shared" si="14"/>
        <v/>
      </c>
      <c r="AO45" s="39">
        <f t="shared" si="15"/>
        <v>39975046270045</v>
      </c>
      <c r="AP45" s="39">
        <f t="shared" si="16"/>
        <v>0</v>
      </c>
      <c r="AQ45" s="39">
        <f t="shared" si="17"/>
        <v>0</v>
      </c>
    </row>
    <row r="46" spans="1:43" x14ac:dyDescent="0.25">
      <c r="A46" s="113">
        <v>46267</v>
      </c>
      <c r="B46" t="s">
        <v>322</v>
      </c>
      <c r="C46" t="s">
        <v>322</v>
      </c>
      <c r="D46" t="s">
        <v>288</v>
      </c>
      <c r="E46" t="s">
        <v>289</v>
      </c>
      <c r="F46" t="s">
        <v>386</v>
      </c>
      <c r="G46" t="s">
        <v>387</v>
      </c>
      <c r="H46">
        <v>131.65</v>
      </c>
      <c r="I46">
        <v>0</v>
      </c>
      <c r="K46" t="s">
        <v>292</v>
      </c>
      <c r="N46" s="105">
        <f t="shared" si="0"/>
        <v>131.65</v>
      </c>
      <c r="O46" s="106">
        <f>IF($F46="","",IF(ISNUMBER($F46),$F46+Settings!$C$7/24,IFERROR(DATEVALUE(LEFT($F46,10))+TIMEVALUE(MID($F46,12,8))+Settings!$C$7/24,"")))</f>
        <v>46267.41474537037</v>
      </c>
      <c r="P46" s="106">
        <f>IF($G46="","",IF(ISNUMBER($G46),$G46+Settings!$C$7/24,IFERROR(DATEVALUE(LEFT($G46,10))+TIMEVALUE(MID($G46,12,8))+Settings!$C$7/24,"")))</f>
        <v>46267.506180555552</v>
      </c>
      <c r="Q46" s="39">
        <f t="shared" si="1"/>
        <v>9</v>
      </c>
      <c r="R46" s="39">
        <f t="shared" si="2"/>
        <v>3</v>
      </c>
      <c r="S46" s="107">
        <f t="shared" si="3"/>
        <v>46267</v>
      </c>
      <c r="T46" s="39">
        <f>IF($C46="","",IF(COUNTIF($C$2:$C46,$C46)=1,1,0))</f>
        <v>0</v>
      </c>
      <c r="U46" s="39" t="str">
        <f>IF($T46=1,COUNTIF($T$2:$T46,1),"")</f>
        <v/>
      </c>
      <c r="V46" s="39">
        <f>IF($B46="","",IF(COUNTIF($B$2:$B46,$B46)=1,1,0))</f>
        <v>0</v>
      </c>
      <c r="W46" s="39" t="str">
        <f>IF($V46=1,COUNTIF($V$2:$V46,1),"")</f>
        <v/>
      </c>
      <c r="X46" s="39">
        <f>IF($A46="","",IF(COUNTIF($A$2:$A46,$A46)=1,1,0))</f>
        <v>0</v>
      </c>
      <c r="Y46" s="39" t="str">
        <f>IF($X46=1,COUNTIF($X$2:$X46,1),"")</f>
        <v/>
      </c>
      <c r="Z46" s="39">
        <f>IF(AND($E46="timed",$N46&gt;Settings!$C$8),1,0)</f>
        <v>0</v>
      </c>
      <c r="AA46" s="39">
        <f t="shared" si="4"/>
        <v>0</v>
      </c>
      <c r="AB46" s="39">
        <f t="shared" si="5"/>
        <v>0</v>
      </c>
      <c r="AC46" s="39">
        <f t="shared" si="6"/>
        <v>39975046340046</v>
      </c>
      <c r="AD46" s="39">
        <f t="shared" si="7"/>
        <v>45</v>
      </c>
      <c r="AE46" s="39" t="str">
        <f t="shared" si="8"/>
        <v>Meetings</v>
      </c>
      <c r="AF46" s="106">
        <f t="shared" si="9"/>
        <v>46267.414664351854</v>
      </c>
      <c r="AG46" s="39">
        <f t="shared" si="10"/>
        <v>1</v>
      </c>
      <c r="AH46" s="39">
        <f t="shared" si="11"/>
        <v>0</v>
      </c>
      <c r="AI46" s="39">
        <f>IF(AND($E46="timed",$N46&gt;=Settings!$C$9),1,0)</f>
        <v>1</v>
      </c>
      <c r="AJ46" s="39">
        <f>IF(OR($S46="",Settings!$C$16=""),"",IF($S46&lt;=Settings!$C$16,1,2))</f>
        <v>1</v>
      </c>
      <c r="AK46" s="39">
        <f>IF($C46="","",IFERROR(IF(INDEX(Settings!$C$20:$C$59,MATCH($C46,Settings!$B$20:$B$59,0))="",Settings!$C$10,INDEX(Settings!$C$20:$C$59,MATCH($C46,Settings!$B$20:$B$59,0))),Settings!$C$10))</f>
        <v>38.42</v>
      </c>
      <c r="AL46" s="108">
        <f t="shared" si="12"/>
        <v>84.3</v>
      </c>
      <c r="AM46" s="39">
        <f t="shared" si="13"/>
        <v>46267</v>
      </c>
      <c r="AN46" s="39" t="str">
        <f t="shared" si="14"/>
        <v/>
      </c>
      <c r="AO46" s="39">
        <f t="shared" si="15"/>
        <v>39975125340046</v>
      </c>
      <c r="AP46" s="39">
        <f t="shared" si="16"/>
        <v>0</v>
      </c>
      <c r="AQ46" s="39">
        <f t="shared" si="17"/>
        <v>0</v>
      </c>
    </row>
    <row r="47" spans="1:43" x14ac:dyDescent="0.25">
      <c r="A47" s="113">
        <v>46267</v>
      </c>
      <c r="B47" t="s">
        <v>342</v>
      </c>
      <c r="C47" t="s">
        <v>342</v>
      </c>
      <c r="D47" t="s">
        <v>288</v>
      </c>
      <c r="E47" t="s">
        <v>289</v>
      </c>
      <c r="F47" t="s">
        <v>388</v>
      </c>
      <c r="G47" t="s">
        <v>389</v>
      </c>
      <c r="H47">
        <v>48.32</v>
      </c>
      <c r="I47">
        <v>0</v>
      </c>
      <c r="K47" t="s">
        <v>292</v>
      </c>
      <c r="N47" s="105">
        <f t="shared" si="0"/>
        <v>48.32</v>
      </c>
      <c r="O47" s="106">
        <f>IF($F47="","",IF(ISNUMBER($F47),$F47+Settings!$C$7/24,IFERROR(DATEVALUE(LEFT($F47,10))+TIMEVALUE(MID($F47,12,8))+Settings!$C$7/24,"")))</f>
        <v>46267.506192129629</v>
      </c>
      <c r="P47" s="106">
        <f>IF($G47="","",IF(ISNUMBER($G47),$G47+Settings!$C$7/24,IFERROR(DATEVALUE(LEFT($G47,10))+TIMEVALUE(MID($G47,12,8))+Settings!$C$7/24,"")))</f>
        <v>46267.539756944447</v>
      </c>
      <c r="Q47" s="39">
        <f t="shared" si="1"/>
        <v>12</v>
      </c>
      <c r="R47" s="39">
        <f t="shared" si="2"/>
        <v>3</v>
      </c>
      <c r="S47" s="107">
        <f t="shared" si="3"/>
        <v>46267</v>
      </c>
      <c r="T47" s="39">
        <f>IF($C47="","",IF(COUNTIF($C$2:$C47,$C47)=1,1,0))</f>
        <v>0</v>
      </c>
      <c r="U47" s="39" t="str">
        <f>IF($T47=1,COUNTIF($T$2:$T47,1),"")</f>
        <v/>
      </c>
      <c r="V47" s="39">
        <f>IF($B47="","",IF(COUNTIF($B$2:$B47,$B47)=1,1,0))</f>
        <v>0</v>
      </c>
      <c r="W47" s="39" t="str">
        <f>IF($V47=1,COUNTIF($V$2:$V47,1),"")</f>
        <v/>
      </c>
      <c r="X47" s="39">
        <f>IF($A47="","",IF(COUNTIF($A$2:$A47,$A47)=1,1,0))</f>
        <v>0</v>
      </c>
      <c r="Y47" s="39" t="str">
        <f>IF($X47=1,COUNTIF($X$2:$X47,1),"")</f>
        <v/>
      </c>
      <c r="Z47" s="39">
        <f>IF(AND($E47="timed",$N47&gt;Settings!$C$8),1,0)</f>
        <v>0</v>
      </c>
      <c r="AA47" s="39">
        <f t="shared" si="4"/>
        <v>0</v>
      </c>
      <c r="AB47" s="39">
        <f t="shared" si="5"/>
        <v>0</v>
      </c>
      <c r="AC47" s="39">
        <f t="shared" si="6"/>
        <v>39975125350047</v>
      </c>
      <c r="AD47" s="39">
        <f t="shared" si="7"/>
        <v>46</v>
      </c>
      <c r="AE47" s="39" t="str">
        <f t="shared" si="8"/>
        <v>Admin</v>
      </c>
      <c r="AF47" s="106">
        <f t="shared" si="9"/>
        <v>46267.506180555552</v>
      </c>
      <c r="AG47" s="39">
        <f t="shared" si="10"/>
        <v>1</v>
      </c>
      <c r="AH47" s="39">
        <f t="shared" si="11"/>
        <v>0</v>
      </c>
      <c r="AI47" s="39">
        <f>IF(AND($E47="timed",$N47&gt;=Settings!$C$9),1,0)</f>
        <v>1</v>
      </c>
      <c r="AJ47" s="39">
        <f>IF(OR($S47="",Settings!$C$16=""),"",IF($S47&lt;=Settings!$C$16,1,2))</f>
        <v>1</v>
      </c>
      <c r="AK47" s="39">
        <f>IF($C47="","",IFERROR(IF(INDEX(Settings!$C$20:$C$59,MATCH($C47,Settings!$B$20:$B$59,0))="",Settings!$C$10,INDEX(Settings!$C$20:$C$59,MATCH($C47,Settings!$B$20:$B$59,0))),Settings!$C$10))</f>
        <v>38.42</v>
      </c>
      <c r="AL47" s="108">
        <f t="shared" si="12"/>
        <v>30.94</v>
      </c>
      <c r="AM47" s="39">
        <f t="shared" si="13"/>
        <v>46267</v>
      </c>
      <c r="AN47" s="39" t="str">
        <f t="shared" si="14"/>
        <v/>
      </c>
      <c r="AO47" s="39">
        <f t="shared" si="15"/>
        <v>39975154350047</v>
      </c>
      <c r="AP47" s="39">
        <f t="shared" si="16"/>
        <v>0</v>
      </c>
      <c r="AQ47" s="39">
        <f t="shared" si="17"/>
        <v>0</v>
      </c>
    </row>
    <row r="48" spans="1:43" x14ac:dyDescent="0.25">
      <c r="A48" s="113">
        <v>46267</v>
      </c>
      <c r="B48" t="s">
        <v>311</v>
      </c>
      <c r="C48" t="s">
        <v>311</v>
      </c>
      <c r="D48" t="s">
        <v>288</v>
      </c>
      <c r="E48" t="s">
        <v>289</v>
      </c>
      <c r="F48" t="s">
        <v>390</v>
      </c>
      <c r="G48" t="s">
        <v>391</v>
      </c>
      <c r="H48">
        <v>40.85</v>
      </c>
      <c r="I48">
        <v>0</v>
      </c>
      <c r="K48" t="s">
        <v>292</v>
      </c>
      <c r="N48" s="105">
        <f t="shared" si="0"/>
        <v>40.85</v>
      </c>
      <c r="O48" s="106">
        <f>IF($F48="","",IF(ISNUMBER($F48),$F48+Settings!$C$7/24,IFERROR(DATEVALUE(LEFT($F48,10))+TIMEVALUE(MID($F48,12,8))+Settings!$C$7/24,"")))</f>
        <v>46267.53979166667</v>
      </c>
      <c r="P48" s="106">
        <f>IF($G48="","",IF(ISNUMBER($G48),$G48+Settings!$C$7/24,IFERROR(DATEVALUE(LEFT($G48,10))+TIMEVALUE(MID($G48,12,8))+Settings!$C$7/24,"")))</f>
        <v>46267.568159722221</v>
      </c>
      <c r="Q48" s="39">
        <f t="shared" si="1"/>
        <v>12</v>
      </c>
      <c r="R48" s="39">
        <f t="shared" si="2"/>
        <v>3</v>
      </c>
      <c r="S48" s="107">
        <f t="shared" si="3"/>
        <v>46267</v>
      </c>
      <c r="T48" s="39">
        <f>IF($C48="","",IF(COUNTIF($C$2:$C48,$C48)=1,1,0))</f>
        <v>0</v>
      </c>
      <c r="U48" s="39" t="str">
        <f>IF($T48=1,COUNTIF($T$2:$T48,1),"")</f>
        <v/>
      </c>
      <c r="V48" s="39">
        <f>IF($B48="","",IF(COUNTIF($B$2:$B48,$B48)=1,1,0))</f>
        <v>0</v>
      </c>
      <c r="W48" s="39" t="str">
        <f>IF($V48=1,COUNTIF($V$2:$V48,1),"")</f>
        <v/>
      </c>
      <c r="X48" s="39">
        <f>IF($A48="","",IF(COUNTIF($A$2:$A48,$A48)=1,1,0))</f>
        <v>0</v>
      </c>
      <c r="Y48" s="39" t="str">
        <f>IF($X48=1,COUNTIF($X$2:$X48,1),"")</f>
        <v/>
      </c>
      <c r="Z48" s="39">
        <f>IF(AND($E48="timed",$N48&gt;Settings!$C$8),1,0)</f>
        <v>0</v>
      </c>
      <c r="AA48" s="39">
        <f t="shared" si="4"/>
        <v>0</v>
      </c>
      <c r="AB48" s="39">
        <f t="shared" si="5"/>
        <v>0</v>
      </c>
      <c r="AC48" s="39">
        <f t="shared" si="6"/>
        <v>39975154380048</v>
      </c>
      <c r="AD48" s="39">
        <f t="shared" si="7"/>
        <v>47</v>
      </c>
      <c r="AE48" s="39" t="str">
        <f t="shared" si="8"/>
        <v>Project work</v>
      </c>
      <c r="AF48" s="106">
        <f t="shared" si="9"/>
        <v>46267.539756944447</v>
      </c>
      <c r="AG48" s="39">
        <f t="shared" si="10"/>
        <v>1</v>
      </c>
      <c r="AH48" s="39">
        <f t="shared" si="11"/>
        <v>0</v>
      </c>
      <c r="AI48" s="39">
        <f>IF(AND($E48="timed",$N48&gt;=Settings!$C$9),1,0)</f>
        <v>0</v>
      </c>
      <c r="AJ48" s="39">
        <f>IF(OR($S48="",Settings!$C$16=""),"",IF($S48&lt;=Settings!$C$16,1,2))</f>
        <v>1</v>
      </c>
      <c r="AK48" s="39">
        <f>IF($C48="","",IFERROR(IF(INDEX(Settings!$C$20:$C$59,MATCH($C48,Settings!$B$20:$B$59,0))="",Settings!$C$10,INDEX(Settings!$C$20:$C$59,MATCH($C48,Settings!$B$20:$B$59,0))),Settings!$C$10))</f>
        <v>38.42</v>
      </c>
      <c r="AL48" s="108">
        <f t="shared" si="12"/>
        <v>26.16</v>
      </c>
      <c r="AM48" s="39">
        <f t="shared" si="13"/>
        <v>46267</v>
      </c>
      <c r="AN48" s="39" t="str">
        <f t="shared" si="14"/>
        <v/>
      </c>
      <c r="AO48" s="39">
        <f t="shared" si="15"/>
        <v>39975178890048</v>
      </c>
      <c r="AP48" s="39">
        <f t="shared" si="16"/>
        <v>0</v>
      </c>
      <c r="AQ48" s="39">
        <f t="shared" si="17"/>
        <v>0</v>
      </c>
    </row>
    <row r="49" spans="1:43" x14ac:dyDescent="0.25">
      <c r="A49" s="113">
        <v>46267</v>
      </c>
      <c r="B49" t="s">
        <v>322</v>
      </c>
      <c r="C49" t="s">
        <v>322</v>
      </c>
      <c r="D49" t="s">
        <v>288</v>
      </c>
      <c r="E49" t="s">
        <v>289</v>
      </c>
      <c r="F49" t="s">
        <v>392</v>
      </c>
      <c r="G49" t="s">
        <v>393</v>
      </c>
      <c r="H49">
        <v>81.099999999999994</v>
      </c>
      <c r="I49">
        <v>0</v>
      </c>
      <c r="K49" t="s">
        <v>292</v>
      </c>
      <c r="N49" s="105">
        <f t="shared" si="0"/>
        <v>81.099999999999994</v>
      </c>
      <c r="O49" s="106">
        <f>IF($F49="","",IF(ISNUMBER($F49),$F49+Settings!$C$7/24,IFERROR(DATEVALUE(LEFT($F49,10))+TIMEVALUE(MID($F49,12,8))+Settings!$C$7/24,"")))</f>
        <v>46267.568229166667</v>
      </c>
      <c r="P49" s="106">
        <f>IF($G49="","",IF(ISNUMBER($G49),$G49+Settings!$C$7/24,IFERROR(DATEVALUE(LEFT($G49,10))+TIMEVALUE(MID($G49,12,8))+Settings!$C$7/24,"")))</f>
        <v>46267.624548611115</v>
      </c>
      <c r="Q49" s="39">
        <f t="shared" si="1"/>
        <v>13</v>
      </c>
      <c r="R49" s="39">
        <f t="shared" si="2"/>
        <v>3</v>
      </c>
      <c r="S49" s="107">
        <f t="shared" si="3"/>
        <v>46267</v>
      </c>
      <c r="T49" s="39">
        <f>IF($C49="","",IF(COUNTIF($C$2:$C49,$C49)=1,1,0))</f>
        <v>0</v>
      </c>
      <c r="U49" s="39" t="str">
        <f>IF($T49=1,COUNTIF($T$2:$T49,1),"")</f>
        <v/>
      </c>
      <c r="V49" s="39">
        <f>IF($B49="","",IF(COUNTIF($B$2:$B49,$B49)=1,1,0))</f>
        <v>0</v>
      </c>
      <c r="W49" s="39" t="str">
        <f>IF($V49=1,COUNTIF($V$2:$V49,1),"")</f>
        <v/>
      </c>
      <c r="X49" s="39">
        <f>IF($A49="","",IF(COUNTIF($A$2:$A49,$A49)=1,1,0))</f>
        <v>0</v>
      </c>
      <c r="Y49" s="39" t="str">
        <f>IF($X49=1,COUNTIF($X$2:$X49,1),"")</f>
        <v/>
      </c>
      <c r="Z49" s="39">
        <f>IF(AND($E49="timed",$N49&gt;Settings!$C$8),1,0)</f>
        <v>0</v>
      </c>
      <c r="AA49" s="39">
        <f t="shared" si="4"/>
        <v>0</v>
      </c>
      <c r="AB49" s="39">
        <f t="shared" si="5"/>
        <v>0</v>
      </c>
      <c r="AC49" s="39">
        <f t="shared" si="6"/>
        <v>39975178950049</v>
      </c>
      <c r="AD49" s="39">
        <f t="shared" si="7"/>
        <v>48</v>
      </c>
      <c r="AE49" s="39" t="str">
        <f t="shared" si="8"/>
        <v>Lunch Break</v>
      </c>
      <c r="AF49" s="106">
        <f t="shared" si="9"/>
        <v>46267.568159722221</v>
      </c>
      <c r="AG49" s="39">
        <f t="shared" si="10"/>
        <v>1</v>
      </c>
      <c r="AH49" s="39">
        <f t="shared" si="11"/>
        <v>0</v>
      </c>
      <c r="AI49" s="39">
        <f>IF(AND($E49="timed",$N49&gt;=Settings!$C$9),1,0)</f>
        <v>1</v>
      </c>
      <c r="AJ49" s="39">
        <f>IF(OR($S49="",Settings!$C$16=""),"",IF($S49&lt;=Settings!$C$16,1,2))</f>
        <v>1</v>
      </c>
      <c r="AK49" s="39">
        <f>IF($C49="","",IFERROR(IF(INDEX(Settings!$C$20:$C$59,MATCH($C49,Settings!$B$20:$B$59,0))="",Settings!$C$10,INDEX(Settings!$C$20:$C$59,MATCH($C49,Settings!$B$20:$B$59,0))),Settings!$C$10))</f>
        <v>38.42</v>
      </c>
      <c r="AL49" s="108">
        <f t="shared" si="12"/>
        <v>51.93</v>
      </c>
      <c r="AM49" s="39">
        <f t="shared" si="13"/>
        <v>46267</v>
      </c>
      <c r="AN49" s="39" t="str">
        <f t="shared" si="14"/>
        <v/>
      </c>
      <c r="AO49" s="39">
        <f t="shared" si="15"/>
        <v>39975227610049</v>
      </c>
      <c r="AP49" s="39">
        <f t="shared" si="16"/>
        <v>0</v>
      </c>
      <c r="AQ49" s="39">
        <f t="shared" si="17"/>
        <v>0</v>
      </c>
    </row>
    <row r="50" spans="1:43" x14ac:dyDescent="0.25">
      <c r="A50" s="113">
        <v>46267</v>
      </c>
      <c r="B50" t="s">
        <v>342</v>
      </c>
      <c r="C50" t="s">
        <v>342</v>
      </c>
      <c r="D50" t="s">
        <v>288</v>
      </c>
      <c r="E50" t="s">
        <v>289</v>
      </c>
      <c r="F50" t="s">
        <v>394</v>
      </c>
      <c r="G50" t="s">
        <v>395</v>
      </c>
      <c r="H50">
        <v>9.14</v>
      </c>
      <c r="I50">
        <v>0</v>
      </c>
      <c r="K50" t="s">
        <v>292</v>
      </c>
      <c r="N50" s="105">
        <f t="shared" si="0"/>
        <v>9.14</v>
      </c>
      <c r="O50" s="106">
        <f>IF($F50="","",IF(ISNUMBER($F50),$F50+Settings!$C$7/24,IFERROR(DATEVALUE(LEFT($F50,10))+TIMEVALUE(MID($F50,12,8))+Settings!$C$7/24,"")))</f>
        <v>46267.652349537035</v>
      </c>
      <c r="P50" s="106">
        <f>IF($G50="","",IF(ISNUMBER($G50),$G50+Settings!$C$7/24,IFERROR(DATEVALUE(LEFT($G50,10))+TIMEVALUE(MID($G50,12,8))+Settings!$C$7/24,"")))</f>
        <v>46267.658692129633</v>
      </c>
      <c r="Q50" s="39">
        <f t="shared" si="1"/>
        <v>15</v>
      </c>
      <c r="R50" s="39">
        <f t="shared" si="2"/>
        <v>3</v>
      </c>
      <c r="S50" s="107">
        <f t="shared" si="3"/>
        <v>46267</v>
      </c>
      <c r="T50" s="39">
        <f>IF($C50="","",IF(COUNTIF($C$2:$C50,$C50)=1,1,0))</f>
        <v>0</v>
      </c>
      <c r="U50" s="39" t="str">
        <f>IF($T50=1,COUNTIF($T$2:$T50,1),"")</f>
        <v/>
      </c>
      <c r="V50" s="39">
        <f>IF($B50="","",IF(COUNTIF($B$2:$B50,$B50)=1,1,0))</f>
        <v>0</v>
      </c>
      <c r="W50" s="39" t="str">
        <f>IF($V50=1,COUNTIF($V$2:$V50,1),"")</f>
        <v/>
      </c>
      <c r="X50" s="39">
        <f>IF($A50="","",IF(COUNTIF($A$2:$A50,$A50)=1,1,0))</f>
        <v>0</v>
      </c>
      <c r="Y50" s="39" t="str">
        <f>IF($X50=1,COUNTIF($X$2:$X50,1),"")</f>
        <v/>
      </c>
      <c r="Z50" s="39">
        <f>IF(AND($E50="timed",$N50&gt;Settings!$C$8),1,0)</f>
        <v>0</v>
      </c>
      <c r="AA50" s="39">
        <f t="shared" si="4"/>
        <v>0</v>
      </c>
      <c r="AB50" s="39">
        <f t="shared" si="5"/>
        <v>0</v>
      </c>
      <c r="AC50" s="39">
        <f t="shared" si="6"/>
        <v>39975251630050</v>
      </c>
      <c r="AD50" s="39">
        <f t="shared" si="7"/>
        <v>49</v>
      </c>
      <c r="AE50" s="39" t="str">
        <f t="shared" si="8"/>
        <v>Admin</v>
      </c>
      <c r="AF50" s="106">
        <f t="shared" si="9"/>
        <v>46267.624548611115</v>
      </c>
      <c r="AG50" s="39">
        <f t="shared" si="10"/>
        <v>1</v>
      </c>
      <c r="AH50" s="39">
        <f t="shared" si="11"/>
        <v>40</v>
      </c>
      <c r="AI50" s="39">
        <f>IF(AND($E50="timed",$N50&gt;=Settings!$C$9),1,0)</f>
        <v>0</v>
      </c>
      <c r="AJ50" s="39">
        <f>IF(OR($S50="",Settings!$C$16=""),"",IF($S50&lt;=Settings!$C$16,1,2))</f>
        <v>1</v>
      </c>
      <c r="AK50" s="39">
        <f>IF($C50="","",IFERROR(IF(INDEX(Settings!$C$20:$C$59,MATCH($C50,Settings!$B$20:$B$59,0))="",Settings!$C$10,INDEX(Settings!$C$20:$C$59,MATCH($C50,Settings!$B$20:$B$59,0))),Settings!$C$10))</f>
        <v>38.42</v>
      </c>
      <c r="AL50" s="108">
        <f t="shared" si="12"/>
        <v>5.85</v>
      </c>
      <c r="AM50" s="39">
        <f t="shared" si="13"/>
        <v>46267</v>
      </c>
      <c r="AN50" s="39" t="str">
        <f t="shared" si="14"/>
        <v/>
      </c>
      <c r="AO50" s="39">
        <f t="shared" si="15"/>
        <v>39975257110050</v>
      </c>
      <c r="AP50" s="39">
        <f t="shared" si="16"/>
        <v>0</v>
      </c>
      <c r="AQ50" s="39">
        <f t="shared" si="17"/>
        <v>0</v>
      </c>
    </row>
    <row r="51" spans="1:43" x14ac:dyDescent="0.25">
      <c r="A51" s="113">
        <v>46267</v>
      </c>
      <c r="B51" t="s">
        <v>322</v>
      </c>
      <c r="C51" t="s">
        <v>322</v>
      </c>
      <c r="D51" t="s">
        <v>288</v>
      </c>
      <c r="E51" t="s">
        <v>289</v>
      </c>
      <c r="F51" t="s">
        <v>396</v>
      </c>
      <c r="G51" t="s">
        <v>397</v>
      </c>
      <c r="H51">
        <v>1</v>
      </c>
      <c r="I51">
        <v>0</v>
      </c>
      <c r="J51" s="113">
        <v>46267</v>
      </c>
      <c r="K51" t="s">
        <v>292</v>
      </c>
      <c r="N51" s="105">
        <f t="shared" si="0"/>
        <v>1</v>
      </c>
      <c r="O51" s="106">
        <f>IF($F51="","",IF(ISNUMBER($F51),$F51+Settings!$C$7/24,IFERROR(DATEVALUE(LEFT($F51,10))+TIMEVALUE(MID($F51,12,8))+Settings!$C$7/24,"")))</f>
        <v>46267.65902777778</v>
      </c>
      <c r="P51" s="106">
        <f>IF($G51="","",IF(ISNUMBER($G51),$G51+Settings!$C$7/24,IFERROR(DATEVALUE(LEFT($G51,10))+TIMEVALUE(MID($G51,12,8))+Settings!$C$7/24,"")))</f>
        <v>46267.659722222219</v>
      </c>
      <c r="Q51" s="39">
        <f t="shared" si="1"/>
        <v>15</v>
      </c>
      <c r="R51" s="39">
        <f t="shared" si="2"/>
        <v>3</v>
      </c>
      <c r="S51" s="107">
        <f t="shared" si="3"/>
        <v>46267</v>
      </c>
      <c r="T51" s="39">
        <f>IF($C51="","",IF(COUNTIF($C$2:$C51,$C51)=1,1,0))</f>
        <v>0</v>
      </c>
      <c r="U51" s="39" t="str">
        <f>IF($T51=1,COUNTIF($T$2:$T51,1),"")</f>
        <v/>
      </c>
      <c r="V51" s="39">
        <f>IF($B51="","",IF(COUNTIF($B$2:$B51,$B51)=1,1,0))</f>
        <v>0</v>
      </c>
      <c r="W51" s="39" t="str">
        <f>IF($V51=1,COUNTIF($V$2:$V51,1),"")</f>
        <v/>
      </c>
      <c r="X51" s="39">
        <f>IF($A51="","",IF(COUNTIF($A$2:$A51,$A51)=1,1,0))</f>
        <v>0</v>
      </c>
      <c r="Y51" s="39" t="str">
        <f>IF($X51=1,COUNTIF($X$2:$X51,1),"")</f>
        <v/>
      </c>
      <c r="Z51" s="39">
        <f>IF(AND($E51="timed",$N51&gt;Settings!$C$8),1,0)</f>
        <v>0</v>
      </c>
      <c r="AA51" s="39">
        <f t="shared" si="4"/>
        <v>0</v>
      </c>
      <c r="AB51" s="39">
        <f t="shared" si="5"/>
        <v>0</v>
      </c>
      <c r="AC51" s="39">
        <f t="shared" si="6"/>
        <v>39975257400051</v>
      </c>
      <c r="AD51" s="39">
        <f t="shared" si="7"/>
        <v>50</v>
      </c>
      <c r="AE51" s="39" t="str">
        <f t="shared" si="8"/>
        <v>Project work</v>
      </c>
      <c r="AF51" s="106">
        <f t="shared" si="9"/>
        <v>46267.658692129633</v>
      </c>
      <c r="AG51" s="39">
        <f t="shared" si="10"/>
        <v>1</v>
      </c>
      <c r="AH51" s="39">
        <f t="shared" si="11"/>
        <v>0</v>
      </c>
      <c r="AI51" s="39">
        <f>IF(AND($E51="timed",$N51&gt;=Settings!$C$9),1,0)</f>
        <v>0</v>
      </c>
      <c r="AJ51" s="39">
        <f>IF(OR($S51="",Settings!$C$16=""),"",IF($S51&lt;=Settings!$C$16,1,2))</f>
        <v>1</v>
      </c>
      <c r="AK51" s="39">
        <f>IF($C51="","",IFERROR(IF(INDEX(Settings!$C$20:$C$59,MATCH($C51,Settings!$B$20:$B$59,0))="",Settings!$C$10,INDEX(Settings!$C$20:$C$59,MATCH($C51,Settings!$B$20:$B$59,0))),Settings!$C$10))</f>
        <v>38.42</v>
      </c>
      <c r="AL51" s="108">
        <f t="shared" si="12"/>
        <v>0.64</v>
      </c>
      <c r="AM51" s="39">
        <f t="shared" si="13"/>
        <v>46267</v>
      </c>
      <c r="AN51" s="39" t="str">
        <f t="shared" si="14"/>
        <v/>
      </c>
      <c r="AO51" s="39">
        <f t="shared" si="15"/>
        <v>39975258000051</v>
      </c>
      <c r="AP51" s="39">
        <f t="shared" si="16"/>
        <v>0</v>
      </c>
      <c r="AQ51" s="39">
        <f t="shared" si="17"/>
        <v>1</v>
      </c>
    </row>
    <row r="52" spans="1:43" x14ac:dyDescent="0.25">
      <c r="A52" s="113">
        <v>46268</v>
      </c>
      <c r="B52" t="s">
        <v>287</v>
      </c>
      <c r="C52" t="s">
        <v>287</v>
      </c>
      <c r="D52" t="s">
        <v>288</v>
      </c>
      <c r="E52" t="s">
        <v>289</v>
      </c>
      <c r="F52" t="s">
        <v>398</v>
      </c>
      <c r="G52" t="s">
        <v>399</v>
      </c>
      <c r="H52">
        <v>34.549999999999997</v>
      </c>
      <c r="I52">
        <v>0</v>
      </c>
      <c r="K52" t="s">
        <v>292</v>
      </c>
      <c r="N52" s="105">
        <f t="shared" si="0"/>
        <v>34.549999999999997</v>
      </c>
      <c r="O52" s="106">
        <f>IF($F52="","",IF(ISNUMBER($F52),$F52+Settings!$C$7/24,IFERROR(DATEVALUE(LEFT($F52,10))+TIMEVALUE(MID($F52,12,8))+Settings!$C$7/24,"")))</f>
        <v>46268.308275462965</v>
      </c>
      <c r="P52" s="106">
        <f>IF($G52="","",IF(ISNUMBER($G52),$G52+Settings!$C$7/24,IFERROR(DATEVALUE(LEFT($G52,10))+TIMEVALUE(MID($G52,12,8))+Settings!$C$7/24,"")))</f>
        <v>46268.332256944443</v>
      </c>
      <c r="Q52" s="39">
        <f t="shared" si="1"/>
        <v>7</v>
      </c>
      <c r="R52" s="39">
        <f t="shared" si="2"/>
        <v>4</v>
      </c>
      <c r="S52" s="107">
        <f t="shared" si="3"/>
        <v>46268</v>
      </c>
      <c r="T52" s="39">
        <f>IF($C52="","",IF(COUNTIF($C$2:$C52,$C52)=1,1,0))</f>
        <v>0</v>
      </c>
      <c r="U52" s="39" t="str">
        <f>IF($T52=1,COUNTIF($T$2:$T52,1),"")</f>
        <v/>
      </c>
      <c r="V52" s="39">
        <f>IF($B52="","",IF(COUNTIF($B$2:$B52,$B52)=1,1,0))</f>
        <v>0</v>
      </c>
      <c r="W52" s="39" t="str">
        <f>IF($V52=1,COUNTIF($V$2:$V52,1),"")</f>
        <v/>
      </c>
      <c r="X52" s="39">
        <f>IF($A52="","",IF(COUNTIF($A$2:$A52,$A52)=1,1,0))</f>
        <v>1</v>
      </c>
      <c r="Y52" s="39">
        <f>IF($X52=1,COUNTIF($X$2:$X52,1),"")</f>
        <v>4</v>
      </c>
      <c r="Z52" s="39">
        <f>IF(AND($E52="timed",$N52&gt;Settings!$C$8),1,0)</f>
        <v>0</v>
      </c>
      <c r="AA52" s="39">
        <f t="shared" si="4"/>
        <v>0</v>
      </c>
      <c r="AB52" s="39">
        <f t="shared" si="5"/>
        <v>0</v>
      </c>
      <c r="AC52" s="39">
        <f t="shared" si="6"/>
        <v>39975818350052</v>
      </c>
      <c r="AD52" s="39">
        <f t="shared" si="7"/>
        <v>51</v>
      </c>
      <c r="AE52" s="39" t="str">
        <f t="shared" si="8"/>
        <v/>
      </c>
      <c r="AF52" s="106" t="str">
        <f t="shared" si="9"/>
        <v/>
      </c>
      <c r="AG52" s="39">
        <f t="shared" si="10"/>
        <v>0</v>
      </c>
      <c r="AH52" s="39" t="str">
        <f t="shared" si="11"/>
        <v/>
      </c>
      <c r="AI52" s="39">
        <f>IF(AND($E52="timed",$N52&gt;=Settings!$C$9),1,0)</f>
        <v>0</v>
      </c>
      <c r="AJ52" s="39">
        <f>IF(OR($S52="",Settings!$C$16=""),"",IF($S52&lt;=Settings!$C$16,1,2))</f>
        <v>2</v>
      </c>
      <c r="AK52" s="39">
        <f>IF($C52="","",IFERROR(IF(INDEX(Settings!$C$20:$C$59,MATCH($C52,Settings!$B$20:$B$59,0))="",Settings!$C$10,INDEX(Settings!$C$20:$C$59,MATCH($C52,Settings!$B$20:$B$59,0))),Settings!$C$10))</f>
        <v>38.42</v>
      </c>
      <c r="AL52" s="108">
        <f t="shared" si="12"/>
        <v>22.12</v>
      </c>
      <c r="AM52" s="39">
        <f t="shared" si="13"/>
        <v>46267</v>
      </c>
      <c r="AN52" s="39" t="str">
        <f t="shared" si="14"/>
        <v/>
      </c>
      <c r="AO52" s="39">
        <f t="shared" si="15"/>
        <v>39975839070052</v>
      </c>
      <c r="AP52" s="39">
        <f t="shared" si="16"/>
        <v>1</v>
      </c>
      <c r="AQ52" s="39">
        <f t="shared" si="17"/>
        <v>0</v>
      </c>
    </row>
    <row r="53" spans="1:43" x14ac:dyDescent="0.25">
      <c r="A53" s="113">
        <v>46268</v>
      </c>
      <c r="B53" t="s">
        <v>293</v>
      </c>
      <c r="C53" t="s">
        <v>293</v>
      </c>
      <c r="D53" t="s">
        <v>288</v>
      </c>
      <c r="E53" t="s">
        <v>289</v>
      </c>
      <c r="F53" t="s">
        <v>400</v>
      </c>
      <c r="G53" t="s">
        <v>401</v>
      </c>
      <c r="H53">
        <v>78.349999999999994</v>
      </c>
      <c r="I53">
        <v>0</v>
      </c>
      <c r="K53" t="s">
        <v>292</v>
      </c>
      <c r="N53" s="105">
        <f t="shared" si="0"/>
        <v>78.349999999999994</v>
      </c>
      <c r="O53" s="106">
        <f>IF($F53="","",IF(ISNUMBER($F53),$F53+Settings!$C$7/24,IFERROR(DATEVALUE(LEFT($F53,10))+TIMEVALUE(MID($F53,12,8))+Settings!$C$7/24,"")))</f>
        <v>46268.332291666666</v>
      </c>
      <c r="P53" s="106">
        <f>IF($G53="","",IF(ISNUMBER($G53),$G53+Settings!$C$7/24,IFERROR(DATEVALUE(LEFT($G53,10))+TIMEVALUE(MID($G53,12,8))+Settings!$C$7/24,"")))</f>
        <v>46268.386701388888</v>
      </c>
      <c r="Q53" s="39">
        <f t="shared" si="1"/>
        <v>7</v>
      </c>
      <c r="R53" s="39">
        <f t="shared" si="2"/>
        <v>4</v>
      </c>
      <c r="S53" s="107">
        <f t="shared" si="3"/>
        <v>46268</v>
      </c>
      <c r="T53" s="39">
        <f>IF($C53="","",IF(COUNTIF($C$2:$C53,$C53)=1,1,0))</f>
        <v>0</v>
      </c>
      <c r="U53" s="39" t="str">
        <f>IF($T53=1,COUNTIF($T$2:$T53,1),"")</f>
        <v/>
      </c>
      <c r="V53" s="39">
        <f>IF($B53="","",IF(COUNTIF($B$2:$B53,$B53)=1,1,0))</f>
        <v>0</v>
      </c>
      <c r="W53" s="39" t="str">
        <f>IF($V53=1,COUNTIF($V$2:$V53,1),"")</f>
        <v/>
      </c>
      <c r="X53" s="39">
        <f>IF($A53="","",IF(COUNTIF($A$2:$A53,$A53)=1,1,0))</f>
        <v>0</v>
      </c>
      <c r="Y53" s="39" t="str">
        <f>IF($X53=1,COUNTIF($X$2:$X53,1),"")</f>
        <v/>
      </c>
      <c r="Z53" s="39">
        <f>IF(AND($E53="timed",$N53&gt;Settings!$C$8),1,0)</f>
        <v>0</v>
      </c>
      <c r="AA53" s="39">
        <f t="shared" si="4"/>
        <v>0</v>
      </c>
      <c r="AB53" s="39">
        <f t="shared" si="5"/>
        <v>0</v>
      </c>
      <c r="AC53" s="39">
        <f t="shared" si="6"/>
        <v>39975839100053</v>
      </c>
      <c r="AD53" s="39">
        <f t="shared" si="7"/>
        <v>52</v>
      </c>
      <c r="AE53" s="39" t="str">
        <f t="shared" si="8"/>
        <v>Email</v>
      </c>
      <c r="AF53" s="106">
        <f t="shared" si="9"/>
        <v>46268.332256944443</v>
      </c>
      <c r="AG53" s="39">
        <f t="shared" si="10"/>
        <v>1</v>
      </c>
      <c r="AH53" s="39">
        <f t="shared" si="11"/>
        <v>0</v>
      </c>
      <c r="AI53" s="39">
        <f>IF(AND($E53="timed",$N53&gt;=Settings!$C$9),1,0)</f>
        <v>1</v>
      </c>
      <c r="AJ53" s="39">
        <f>IF(OR($S53="",Settings!$C$16=""),"",IF($S53&lt;=Settings!$C$16,1,2))</f>
        <v>2</v>
      </c>
      <c r="AK53" s="39">
        <f>IF($C53="","",IFERROR(IF(INDEX(Settings!$C$20:$C$59,MATCH($C53,Settings!$B$20:$B$59,0))="",Settings!$C$10,INDEX(Settings!$C$20:$C$59,MATCH($C53,Settings!$B$20:$B$59,0))),Settings!$C$10))</f>
        <v>38.42</v>
      </c>
      <c r="AL53" s="108">
        <f t="shared" si="12"/>
        <v>50.17</v>
      </c>
      <c r="AM53" s="39">
        <f t="shared" si="13"/>
        <v>46268</v>
      </c>
      <c r="AN53" s="39" t="str">
        <f t="shared" si="14"/>
        <v/>
      </c>
      <c r="AO53" s="39">
        <f t="shared" si="15"/>
        <v>39975886110053</v>
      </c>
      <c r="AP53" s="39">
        <f t="shared" si="16"/>
        <v>0</v>
      </c>
      <c r="AQ53" s="39">
        <f t="shared" si="17"/>
        <v>0</v>
      </c>
    </row>
    <row r="54" spans="1:43" x14ac:dyDescent="0.25">
      <c r="A54" s="113">
        <v>46268</v>
      </c>
      <c r="B54" t="s">
        <v>296</v>
      </c>
      <c r="C54" t="s">
        <v>296</v>
      </c>
      <c r="D54" t="s">
        <v>288</v>
      </c>
      <c r="E54" t="s">
        <v>289</v>
      </c>
      <c r="F54" t="s">
        <v>402</v>
      </c>
      <c r="G54" t="s">
        <v>403</v>
      </c>
      <c r="H54">
        <v>32.89</v>
      </c>
      <c r="I54">
        <v>0</v>
      </c>
      <c r="K54" t="s">
        <v>292</v>
      </c>
      <c r="L54" t="s">
        <v>404</v>
      </c>
      <c r="N54" s="105">
        <f t="shared" si="0"/>
        <v>32.89</v>
      </c>
      <c r="O54" s="106">
        <f>IF($F54="","",IF(ISNUMBER($F54),$F54+Settings!$C$7/24,IFERROR(DATEVALUE(LEFT($F54,10))+TIMEVALUE(MID($F54,12,8))+Settings!$C$7/24,"")))</f>
        <v>46268.386736111112</v>
      </c>
      <c r="P54" s="106">
        <f>IF($G54="","",IF(ISNUMBER($G54),$G54+Settings!$C$7/24,IFERROR(DATEVALUE(LEFT($G54,10))+TIMEVALUE(MID($G54,12,8))+Settings!$C$7/24,"")))</f>
        <v>46268.409583333334</v>
      </c>
      <c r="Q54" s="39">
        <f t="shared" si="1"/>
        <v>9</v>
      </c>
      <c r="R54" s="39">
        <f t="shared" si="2"/>
        <v>4</v>
      </c>
      <c r="S54" s="107">
        <f t="shared" si="3"/>
        <v>46268</v>
      </c>
      <c r="T54" s="39">
        <f>IF($C54="","",IF(COUNTIF($C$2:$C54,$C54)=1,1,0))</f>
        <v>0</v>
      </c>
      <c r="U54" s="39" t="str">
        <f>IF($T54=1,COUNTIF($T$2:$T54,1),"")</f>
        <v/>
      </c>
      <c r="V54" s="39">
        <f>IF($B54="","",IF(COUNTIF($B$2:$B54,$B54)=1,1,0))</f>
        <v>0</v>
      </c>
      <c r="W54" s="39" t="str">
        <f>IF($V54=1,COUNTIF($V$2:$V54,1),"")</f>
        <v/>
      </c>
      <c r="X54" s="39">
        <f>IF($A54="","",IF(COUNTIF($A$2:$A54,$A54)=1,1,0))</f>
        <v>0</v>
      </c>
      <c r="Y54" s="39" t="str">
        <f>IF($X54=1,COUNTIF($X$2:$X54,1),"")</f>
        <v/>
      </c>
      <c r="Z54" s="39">
        <f>IF(AND($E54="timed",$N54&gt;Settings!$C$8),1,0)</f>
        <v>0</v>
      </c>
      <c r="AA54" s="39">
        <f t="shared" si="4"/>
        <v>0</v>
      </c>
      <c r="AB54" s="39">
        <f t="shared" si="5"/>
        <v>0</v>
      </c>
      <c r="AC54" s="39">
        <f t="shared" si="6"/>
        <v>39975886140054</v>
      </c>
      <c r="AD54" s="39">
        <f t="shared" si="7"/>
        <v>53</v>
      </c>
      <c r="AE54" s="39" t="str">
        <f t="shared" si="8"/>
        <v>Zendesk Tickets</v>
      </c>
      <c r="AF54" s="106">
        <f t="shared" si="9"/>
        <v>46268.386701388888</v>
      </c>
      <c r="AG54" s="39">
        <f t="shared" si="10"/>
        <v>1</v>
      </c>
      <c r="AH54" s="39">
        <f t="shared" si="11"/>
        <v>0</v>
      </c>
      <c r="AI54" s="39">
        <f>IF(AND($E54="timed",$N54&gt;=Settings!$C$9),1,0)</f>
        <v>0</v>
      </c>
      <c r="AJ54" s="39">
        <f>IF(OR($S54="",Settings!$C$16=""),"",IF($S54&lt;=Settings!$C$16,1,2))</f>
        <v>2</v>
      </c>
      <c r="AK54" s="39">
        <f>IF($C54="","",IFERROR(IF(INDEX(Settings!$C$20:$C$59,MATCH($C54,Settings!$B$20:$B$59,0))="",Settings!$C$10,INDEX(Settings!$C$20:$C$59,MATCH($C54,Settings!$B$20:$B$59,0))),Settings!$C$10))</f>
        <v>38.42</v>
      </c>
      <c r="AL54" s="108">
        <f t="shared" si="12"/>
        <v>21.06</v>
      </c>
      <c r="AM54" s="39">
        <f t="shared" si="13"/>
        <v>46268</v>
      </c>
      <c r="AN54" s="39" t="str">
        <f t="shared" si="14"/>
        <v/>
      </c>
      <c r="AO54" s="39">
        <f t="shared" si="15"/>
        <v>39975905880054</v>
      </c>
      <c r="AP54" s="39">
        <f t="shared" si="16"/>
        <v>0</v>
      </c>
      <c r="AQ54" s="39">
        <f t="shared" si="17"/>
        <v>0</v>
      </c>
    </row>
    <row r="55" spans="1:43" x14ac:dyDescent="0.25">
      <c r="A55" s="113">
        <v>46268</v>
      </c>
      <c r="B55" t="s">
        <v>303</v>
      </c>
      <c r="C55" t="s">
        <v>303</v>
      </c>
      <c r="D55" t="s">
        <v>288</v>
      </c>
      <c r="E55" t="s">
        <v>289</v>
      </c>
      <c r="F55" t="s">
        <v>405</v>
      </c>
      <c r="G55" t="s">
        <v>406</v>
      </c>
      <c r="H55">
        <v>44.6</v>
      </c>
      <c r="I55">
        <v>0</v>
      </c>
      <c r="K55" t="s">
        <v>292</v>
      </c>
      <c r="N55" s="105">
        <f t="shared" si="0"/>
        <v>44.6</v>
      </c>
      <c r="O55" s="106">
        <f>IF($F55="","",IF(ISNUMBER($F55),$F55+Settings!$C$7/24,IFERROR(DATEVALUE(LEFT($F55,10))+TIMEVALUE(MID($F55,12,8))+Settings!$C$7/24,"")))</f>
        <v>46268.409594907411</v>
      </c>
      <c r="P55" s="106">
        <f>IF($G55="","",IF(ISNUMBER($G55),$G55+Settings!$C$7/24,IFERROR(DATEVALUE(LEFT($G55,10))+TIMEVALUE(MID($G55,12,8))+Settings!$C$7/24,"")))</f>
        <v>46268.440567129626</v>
      </c>
      <c r="Q55" s="39">
        <f t="shared" si="1"/>
        <v>9</v>
      </c>
      <c r="R55" s="39">
        <f t="shared" si="2"/>
        <v>4</v>
      </c>
      <c r="S55" s="107">
        <f t="shared" si="3"/>
        <v>46268</v>
      </c>
      <c r="T55" s="39">
        <f>IF($C55="","",IF(COUNTIF($C$2:$C55,$C55)=1,1,0))</f>
        <v>0</v>
      </c>
      <c r="U55" s="39" t="str">
        <f>IF($T55=1,COUNTIF($T$2:$T55,1),"")</f>
        <v/>
      </c>
      <c r="V55" s="39">
        <f>IF($B55="","",IF(COUNTIF($B$2:$B55,$B55)=1,1,0))</f>
        <v>0</v>
      </c>
      <c r="W55" s="39" t="str">
        <f>IF($V55=1,COUNTIF($V$2:$V55,1),"")</f>
        <v/>
      </c>
      <c r="X55" s="39">
        <f>IF($A55="","",IF(COUNTIF($A$2:$A55,$A55)=1,1,0))</f>
        <v>0</v>
      </c>
      <c r="Y55" s="39" t="str">
        <f>IF($X55=1,COUNTIF($X$2:$X55,1),"")</f>
        <v/>
      </c>
      <c r="Z55" s="39">
        <f>IF(AND($E55="timed",$N55&gt;Settings!$C$8),1,0)</f>
        <v>0</v>
      </c>
      <c r="AA55" s="39">
        <f t="shared" si="4"/>
        <v>0</v>
      </c>
      <c r="AB55" s="39">
        <f t="shared" si="5"/>
        <v>0</v>
      </c>
      <c r="AC55" s="39">
        <f t="shared" si="6"/>
        <v>39975905890055</v>
      </c>
      <c r="AD55" s="39">
        <f t="shared" si="7"/>
        <v>54</v>
      </c>
      <c r="AE55" s="39" t="str">
        <f t="shared" si="8"/>
        <v>Teams Communications</v>
      </c>
      <c r="AF55" s="106">
        <f t="shared" si="9"/>
        <v>46268.409583333334</v>
      </c>
      <c r="AG55" s="39">
        <f t="shared" si="10"/>
        <v>1</v>
      </c>
      <c r="AH55" s="39">
        <f t="shared" si="11"/>
        <v>0</v>
      </c>
      <c r="AI55" s="39">
        <f>IF(AND($E55="timed",$N55&gt;=Settings!$C$9),1,0)</f>
        <v>0</v>
      </c>
      <c r="AJ55" s="39">
        <f>IF(OR($S55="",Settings!$C$16=""),"",IF($S55&lt;=Settings!$C$16,1,2))</f>
        <v>2</v>
      </c>
      <c r="AK55" s="39">
        <f>IF($C55="","",IFERROR(IF(INDEX(Settings!$C$20:$C$59,MATCH($C55,Settings!$B$20:$B$59,0))="",Settings!$C$10,INDEX(Settings!$C$20:$C$59,MATCH($C55,Settings!$B$20:$B$59,0))),Settings!$C$10))</f>
        <v>38.42</v>
      </c>
      <c r="AL55" s="108">
        <f t="shared" si="12"/>
        <v>28.56</v>
      </c>
      <c r="AM55" s="39">
        <f t="shared" si="13"/>
        <v>46268</v>
      </c>
      <c r="AN55" s="39" t="str">
        <f t="shared" si="14"/>
        <v/>
      </c>
      <c r="AO55" s="39">
        <f t="shared" si="15"/>
        <v>39975932650055</v>
      </c>
      <c r="AP55" s="39">
        <f t="shared" si="16"/>
        <v>0</v>
      </c>
      <c r="AQ55" s="39">
        <f t="shared" si="17"/>
        <v>0</v>
      </c>
    </row>
    <row r="56" spans="1:43" x14ac:dyDescent="0.25">
      <c r="A56" s="113">
        <v>46268</v>
      </c>
      <c r="B56" t="s">
        <v>293</v>
      </c>
      <c r="C56" t="s">
        <v>293</v>
      </c>
      <c r="D56" t="s">
        <v>288</v>
      </c>
      <c r="E56" t="s">
        <v>289</v>
      </c>
      <c r="F56" t="s">
        <v>407</v>
      </c>
      <c r="G56" t="s">
        <v>408</v>
      </c>
      <c r="H56">
        <v>172.41</v>
      </c>
      <c r="I56">
        <v>0</v>
      </c>
      <c r="K56" t="s">
        <v>292</v>
      </c>
      <c r="L56" t="s">
        <v>409</v>
      </c>
      <c r="N56" s="105">
        <f t="shared" si="0"/>
        <v>172.41</v>
      </c>
      <c r="O56" s="106">
        <f>IF($F56="","",IF(ISNUMBER($F56),$F56+Settings!$C$7/24,IFERROR(DATEVALUE(LEFT($F56,10))+TIMEVALUE(MID($F56,12,8))+Settings!$C$7/24,"")))</f>
        <v>46268.440578703703</v>
      </c>
      <c r="P56" s="106">
        <f>IF($G56="","",IF(ISNUMBER($G56),$G56+Settings!$C$7/24,IFERROR(DATEVALUE(LEFT($G56,10))+TIMEVALUE(MID($G56,12,8))+Settings!$C$7/24,"")))</f>
        <v>46268.560312499998</v>
      </c>
      <c r="Q56" s="39">
        <f t="shared" si="1"/>
        <v>10</v>
      </c>
      <c r="R56" s="39">
        <f t="shared" si="2"/>
        <v>4</v>
      </c>
      <c r="S56" s="107">
        <f t="shared" si="3"/>
        <v>46268</v>
      </c>
      <c r="T56" s="39">
        <f>IF($C56="","",IF(COUNTIF($C$2:$C56,$C56)=1,1,0))</f>
        <v>0</v>
      </c>
      <c r="U56" s="39" t="str">
        <f>IF($T56=1,COUNTIF($T$2:$T56,1),"")</f>
        <v/>
      </c>
      <c r="V56" s="39">
        <f>IF($B56="","",IF(COUNTIF($B$2:$B56,$B56)=1,1,0))</f>
        <v>0</v>
      </c>
      <c r="W56" s="39" t="str">
        <f>IF($V56=1,COUNTIF($V$2:$V56,1),"")</f>
        <v/>
      </c>
      <c r="X56" s="39">
        <f>IF($A56="","",IF(COUNTIF($A$2:$A56,$A56)=1,1,0))</f>
        <v>0</v>
      </c>
      <c r="Y56" s="39" t="str">
        <f>IF($X56=1,COUNTIF($X$2:$X56,1),"")</f>
        <v/>
      </c>
      <c r="Z56" s="39">
        <f>IF(AND($E56="timed",$N56&gt;Settings!$C$8),1,0)</f>
        <v>0</v>
      </c>
      <c r="AA56" s="39">
        <f t="shared" si="4"/>
        <v>0</v>
      </c>
      <c r="AB56" s="39">
        <f t="shared" si="5"/>
        <v>0</v>
      </c>
      <c r="AC56" s="39">
        <f t="shared" si="6"/>
        <v>39975932660056</v>
      </c>
      <c r="AD56" s="39">
        <f t="shared" si="7"/>
        <v>55</v>
      </c>
      <c r="AE56" s="39" t="str">
        <f t="shared" si="8"/>
        <v>Dev Tickets - ADO's</v>
      </c>
      <c r="AF56" s="106">
        <f t="shared" si="9"/>
        <v>46268.440567129626</v>
      </c>
      <c r="AG56" s="39">
        <f t="shared" si="10"/>
        <v>1</v>
      </c>
      <c r="AH56" s="39">
        <f t="shared" si="11"/>
        <v>0</v>
      </c>
      <c r="AI56" s="39">
        <f>IF(AND($E56="timed",$N56&gt;=Settings!$C$9),1,0)</f>
        <v>1</v>
      </c>
      <c r="AJ56" s="39">
        <f>IF(OR($S56="",Settings!$C$16=""),"",IF($S56&lt;=Settings!$C$16,1,2))</f>
        <v>2</v>
      </c>
      <c r="AK56" s="39">
        <f>IF($C56="","",IFERROR(IF(INDEX(Settings!$C$20:$C$59,MATCH($C56,Settings!$B$20:$B$59,0))="",Settings!$C$10,INDEX(Settings!$C$20:$C$59,MATCH($C56,Settings!$B$20:$B$59,0))),Settings!$C$10))</f>
        <v>38.42</v>
      </c>
      <c r="AL56" s="108">
        <f t="shared" si="12"/>
        <v>110.4</v>
      </c>
      <c r="AM56" s="39">
        <f t="shared" si="13"/>
        <v>46268</v>
      </c>
      <c r="AN56" s="39" t="str">
        <f t="shared" si="14"/>
        <v/>
      </c>
      <c r="AO56" s="39">
        <f t="shared" si="15"/>
        <v>39976036110056</v>
      </c>
      <c r="AP56" s="39">
        <f t="shared" si="16"/>
        <v>0</v>
      </c>
      <c r="AQ56" s="39">
        <f t="shared" si="17"/>
        <v>0</v>
      </c>
    </row>
    <row r="57" spans="1:43" x14ac:dyDescent="0.25">
      <c r="A57" s="113">
        <v>46268</v>
      </c>
      <c r="B57" t="s">
        <v>311</v>
      </c>
      <c r="C57" t="s">
        <v>311</v>
      </c>
      <c r="D57" t="s">
        <v>288</v>
      </c>
      <c r="E57" t="s">
        <v>289</v>
      </c>
      <c r="F57" t="s">
        <v>410</v>
      </c>
      <c r="G57" t="s">
        <v>411</v>
      </c>
      <c r="H57">
        <v>48.75</v>
      </c>
      <c r="I57">
        <v>0</v>
      </c>
      <c r="K57" t="s">
        <v>292</v>
      </c>
      <c r="N57" s="105">
        <f t="shared" si="0"/>
        <v>48.75</v>
      </c>
      <c r="O57" s="106">
        <f>IF($F57="","",IF(ISNUMBER($F57),$F57+Settings!$C$7/24,IFERROR(DATEVALUE(LEFT($F57,10))+TIMEVALUE(MID($F57,12,8))+Settings!$C$7/24,"")))</f>
        <v>46268.560324074075</v>
      </c>
      <c r="P57" s="106">
        <f>IF($G57="","",IF(ISNUMBER($G57),$G57+Settings!$C$7/24,IFERROR(DATEVALUE(LEFT($G57,10))+TIMEVALUE(MID($G57,12,8))+Settings!$C$7/24,"")))</f>
        <v>46268.594178240739</v>
      </c>
      <c r="Q57" s="39">
        <f t="shared" si="1"/>
        <v>13</v>
      </c>
      <c r="R57" s="39">
        <f t="shared" si="2"/>
        <v>4</v>
      </c>
      <c r="S57" s="107">
        <f t="shared" si="3"/>
        <v>46268</v>
      </c>
      <c r="T57" s="39">
        <f>IF($C57="","",IF(COUNTIF($C$2:$C57,$C57)=1,1,0))</f>
        <v>0</v>
      </c>
      <c r="U57" s="39" t="str">
        <f>IF($T57=1,COUNTIF($T$2:$T57,1),"")</f>
        <v/>
      </c>
      <c r="V57" s="39">
        <f>IF($B57="","",IF(COUNTIF($B$2:$B57,$B57)=1,1,0))</f>
        <v>0</v>
      </c>
      <c r="W57" s="39" t="str">
        <f>IF($V57=1,COUNTIF($V$2:$V57,1),"")</f>
        <v/>
      </c>
      <c r="X57" s="39">
        <f>IF($A57="","",IF(COUNTIF($A$2:$A57,$A57)=1,1,0))</f>
        <v>0</v>
      </c>
      <c r="Y57" s="39" t="str">
        <f>IF($X57=1,COUNTIF($X$2:$X57,1),"")</f>
        <v/>
      </c>
      <c r="Z57" s="39">
        <f>IF(AND($E57="timed",$N57&gt;Settings!$C$8),1,0)</f>
        <v>0</v>
      </c>
      <c r="AA57" s="39">
        <f t="shared" si="4"/>
        <v>0</v>
      </c>
      <c r="AB57" s="39">
        <f t="shared" si="5"/>
        <v>0</v>
      </c>
      <c r="AC57" s="39">
        <f t="shared" si="6"/>
        <v>39976036120057</v>
      </c>
      <c r="AD57" s="39">
        <f t="shared" si="7"/>
        <v>56</v>
      </c>
      <c r="AE57" s="39" t="str">
        <f t="shared" si="8"/>
        <v>Zendesk Tickets</v>
      </c>
      <c r="AF57" s="106">
        <f t="shared" si="9"/>
        <v>46268.560312499998</v>
      </c>
      <c r="AG57" s="39">
        <f t="shared" si="10"/>
        <v>1</v>
      </c>
      <c r="AH57" s="39">
        <f t="shared" si="11"/>
        <v>0</v>
      </c>
      <c r="AI57" s="39">
        <f>IF(AND($E57="timed",$N57&gt;=Settings!$C$9),1,0)</f>
        <v>1</v>
      </c>
      <c r="AJ57" s="39">
        <f>IF(OR($S57="",Settings!$C$16=""),"",IF($S57&lt;=Settings!$C$16,1,2))</f>
        <v>2</v>
      </c>
      <c r="AK57" s="39">
        <f>IF($C57="","",IFERROR(IF(INDEX(Settings!$C$20:$C$59,MATCH($C57,Settings!$B$20:$B$59,0))="",Settings!$C$10,INDEX(Settings!$C$20:$C$59,MATCH($C57,Settings!$B$20:$B$59,0))),Settings!$C$10))</f>
        <v>38.42</v>
      </c>
      <c r="AL57" s="108">
        <f t="shared" si="12"/>
        <v>31.22</v>
      </c>
      <c r="AM57" s="39">
        <f t="shared" si="13"/>
        <v>46268</v>
      </c>
      <c r="AN57" s="39" t="str">
        <f t="shared" si="14"/>
        <v/>
      </c>
      <c r="AO57" s="39">
        <f t="shared" si="15"/>
        <v>39976065370057</v>
      </c>
      <c r="AP57" s="39">
        <f t="shared" si="16"/>
        <v>0</v>
      </c>
      <c r="AQ57" s="39">
        <f t="shared" si="17"/>
        <v>0</v>
      </c>
    </row>
    <row r="58" spans="1:43" x14ac:dyDescent="0.25">
      <c r="A58" s="113">
        <v>46268</v>
      </c>
      <c r="B58" t="s">
        <v>322</v>
      </c>
      <c r="C58" t="s">
        <v>322</v>
      </c>
      <c r="D58" t="s">
        <v>288</v>
      </c>
      <c r="E58" t="s">
        <v>289</v>
      </c>
      <c r="F58" t="s">
        <v>412</v>
      </c>
      <c r="G58" t="s">
        <v>413</v>
      </c>
      <c r="H58">
        <v>66.08</v>
      </c>
      <c r="I58">
        <v>0</v>
      </c>
      <c r="K58" t="s">
        <v>292</v>
      </c>
      <c r="N58" s="105">
        <f t="shared" si="0"/>
        <v>66.08</v>
      </c>
      <c r="O58" s="106">
        <f>IF($F58="","",IF(ISNUMBER($F58),$F58+Settings!$C$7/24,IFERROR(DATEVALUE(LEFT($F58,10))+TIMEVALUE(MID($F58,12,8))+Settings!$C$7/24,"")))</f>
        <v>46268.594247685185</v>
      </c>
      <c r="P58" s="106">
        <f>IF($G58="","",IF(ISNUMBER($G58),$G58+Settings!$C$7/24,IFERROR(DATEVALUE(LEFT($G58,10))+TIMEVALUE(MID($G58,12,8))+Settings!$C$7/24,"")))</f>
        <v>46268.640138888892</v>
      </c>
      <c r="Q58" s="39">
        <f t="shared" si="1"/>
        <v>14</v>
      </c>
      <c r="R58" s="39">
        <f t="shared" si="2"/>
        <v>4</v>
      </c>
      <c r="S58" s="107">
        <f t="shared" si="3"/>
        <v>46268</v>
      </c>
      <c r="T58" s="39">
        <f>IF($C58="","",IF(COUNTIF($C$2:$C58,$C58)=1,1,0))</f>
        <v>0</v>
      </c>
      <c r="U58" s="39" t="str">
        <f>IF($T58=1,COUNTIF($T$2:$T58,1),"")</f>
        <v/>
      </c>
      <c r="V58" s="39">
        <f>IF($B58="","",IF(COUNTIF($B$2:$B58,$B58)=1,1,0))</f>
        <v>0</v>
      </c>
      <c r="W58" s="39" t="str">
        <f>IF($V58=1,COUNTIF($V$2:$V58,1),"")</f>
        <v/>
      </c>
      <c r="X58" s="39">
        <f>IF($A58="","",IF(COUNTIF($A$2:$A58,$A58)=1,1,0))</f>
        <v>0</v>
      </c>
      <c r="Y58" s="39" t="str">
        <f>IF($X58=1,COUNTIF($X$2:$X58,1),"")</f>
        <v/>
      </c>
      <c r="Z58" s="39">
        <f>IF(AND($E58="timed",$N58&gt;Settings!$C$8),1,0)</f>
        <v>0</v>
      </c>
      <c r="AA58" s="39">
        <f t="shared" si="4"/>
        <v>0</v>
      </c>
      <c r="AB58" s="39">
        <f t="shared" si="5"/>
        <v>0</v>
      </c>
      <c r="AC58" s="39">
        <f t="shared" si="6"/>
        <v>39976065430058</v>
      </c>
      <c r="AD58" s="39">
        <f t="shared" si="7"/>
        <v>57</v>
      </c>
      <c r="AE58" s="39" t="str">
        <f t="shared" si="8"/>
        <v>Lunch Break</v>
      </c>
      <c r="AF58" s="106">
        <f t="shared" si="9"/>
        <v>46268.594178240739</v>
      </c>
      <c r="AG58" s="39">
        <f t="shared" si="10"/>
        <v>1</v>
      </c>
      <c r="AH58" s="39">
        <f t="shared" si="11"/>
        <v>0</v>
      </c>
      <c r="AI58" s="39">
        <f>IF(AND($E58="timed",$N58&gt;=Settings!$C$9),1,0)</f>
        <v>1</v>
      </c>
      <c r="AJ58" s="39">
        <f>IF(OR($S58="",Settings!$C$16=""),"",IF($S58&lt;=Settings!$C$16,1,2))</f>
        <v>2</v>
      </c>
      <c r="AK58" s="39">
        <f>IF($C58="","",IFERROR(IF(INDEX(Settings!$C$20:$C$59,MATCH($C58,Settings!$B$20:$B$59,0))="",Settings!$C$10,INDEX(Settings!$C$20:$C$59,MATCH($C58,Settings!$B$20:$B$59,0))),Settings!$C$10))</f>
        <v>38.42</v>
      </c>
      <c r="AL58" s="108">
        <f t="shared" si="12"/>
        <v>42.31</v>
      </c>
      <c r="AM58" s="39">
        <f t="shared" si="13"/>
        <v>46268</v>
      </c>
      <c r="AN58" s="39" t="str">
        <f t="shared" si="14"/>
        <v/>
      </c>
      <c r="AO58" s="39">
        <f t="shared" si="15"/>
        <v>39976105080058</v>
      </c>
      <c r="AP58" s="39">
        <f t="shared" si="16"/>
        <v>0</v>
      </c>
      <c r="AQ58" s="39">
        <f t="shared" si="17"/>
        <v>0</v>
      </c>
    </row>
    <row r="59" spans="1:43" x14ac:dyDescent="0.25">
      <c r="A59" s="113">
        <v>46268</v>
      </c>
      <c r="B59" t="s">
        <v>342</v>
      </c>
      <c r="C59" t="s">
        <v>342</v>
      </c>
      <c r="D59" t="s">
        <v>288</v>
      </c>
      <c r="E59" t="s">
        <v>289</v>
      </c>
      <c r="F59" t="s">
        <v>414</v>
      </c>
      <c r="G59" t="s">
        <v>415</v>
      </c>
      <c r="H59">
        <v>44.23</v>
      </c>
      <c r="I59">
        <v>0</v>
      </c>
      <c r="K59" t="s">
        <v>292</v>
      </c>
      <c r="N59" s="105">
        <f t="shared" si="0"/>
        <v>44.23</v>
      </c>
      <c r="O59" s="106">
        <f>IF($F59="","",IF(ISNUMBER($F59),$F59+Settings!$C$7/24,IFERROR(DATEVALUE(LEFT($F59,10))+TIMEVALUE(MID($F59,12,8))+Settings!$C$7/24,"")))</f>
        <v>46268.640231481484</v>
      </c>
      <c r="P59" s="106">
        <f>IF($G59="","",IF(ISNUMBER($G59),$G59+Settings!$C$7/24,IFERROR(DATEVALUE(LEFT($G59,10))+TIMEVALUE(MID($G59,12,8))+Settings!$C$7/24,"")))</f>
        <v>46268.670949074076</v>
      </c>
      <c r="Q59" s="39">
        <f t="shared" si="1"/>
        <v>15</v>
      </c>
      <c r="R59" s="39">
        <f t="shared" si="2"/>
        <v>4</v>
      </c>
      <c r="S59" s="107">
        <f t="shared" si="3"/>
        <v>46268</v>
      </c>
      <c r="T59" s="39">
        <f>IF($C59="","",IF(COUNTIF($C$2:$C59,$C59)=1,1,0))</f>
        <v>0</v>
      </c>
      <c r="U59" s="39" t="str">
        <f>IF($T59=1,COUNTIF($T$2:$T59,1),"")</f>
        <v/>
      </c>
      <c r="V59" s="39">
        <f>IF($B59="","",IF(COUNTIF($B$2:$B59,$B59)=1,1,0))</f>
        <v>0</v>
      </c>
      <c r="W59" s="39" t="str">
        <f>IF($V59=1,COUNTIF($V$2:$V59,1),"")</f>
        <v/>
      </c>
      <c r="X59" s="39">
        <f>IF($A59="","",IF(COUNTIF($A$2:$A59,$A59)=1,1,0))</f>
        <v>0</v>
      </c>
      <c r="Y59" s="39" t="str">
        <f>IF($X59=1,COUNTIF($X$2:$X59,1),"")</f>
        <v/>
      </c>
      <c r="Z59" s="39">
        <f>IF(AND($E59="timed",$N59&gt;Settings!$C$8),1,0)</f>
        <v>0</v>
      </c>
      <c r="AA59" s="39">
        <f t="shared" si="4"/>
        <v>0</v>
      </c>
      <c r="AB59" s="39">
        <f t="shared" si="5"/>
        <v>0</v>
      </c>
      <c r="AC59" s="39">
        <f t="shared" si="6"/>
        <v>39976105160059</v>
      </c>
      <c r="AD59" s="39">
        <f t="shared" si="7"/>
        <v>58</v>
      </c>
      <c r="AE59" s="39" t="str">
        <f t="shared" si="8"/>
        <v>Admin</v>
      </c>
      <c r="AF59" s="106">
        <f t="shared" si="9"/>
        <v>46268.640138888892</v>
      </c>
      <c r="AG59" s="39">
        <f t="shared" si="10"/>
        <v>1</v>
      </c>
      <c r="AH59" s="39">
        <f t="shared" si="11"/>
        <v>0</v>
      </c>
      <c r="AI59" s="39">
        <f>IF(AND($E59="timed",$N59&gt;=Settings!$C$9),1,0)</f>
        <v>0</v>
      </c>
      <c r="AJ59" s="39">
        <f>IF(OR($S59="",Settings!$C$16=""),"",IF($S59&lt;=Settings!$C$16,1,2))</f>
        <v>2</v>
      </c>
      <c r="AK59" s="39">
        <f>IF($C59="","",IFERROR(IF(INDEX(Settings!$C$20:$C$59,MATCH($C59,Settings!$B$20:$B$59,0))="",Settings!$C$10,INDEX(Settings!$C$20:$C$59,MATCH($C59,Settings!$B$20:$B$59,0))),Settings!$C$10))</f>
        <v>38.42</v>
      </c>
      <c r="AL59" s="108">
        <f t="shared" si="12"/>
        <v>28.32</v>
      </c>
      <c r="AM59" s="39">
        <f t="shared" si="13"/>
        <v>46268</v>
      </c>
      <c r="AN59" s="39" t="str">
        <f t="shared" si="14"/>
        <v/>
      </c>
      <c r="AO59" s="39">
        <f t="shared" si="15"/>
        <v>39976131700059</v>
      </c>
      <c r="AP59" s="39">
        <f t="shared" si="16"/>
        <v>0</v>
      </c>
      <c r="AQ59" s="39">
        <f t="shared" si="17"/>
        <v>0</v>
      </c>
    </row>
    <row r="60" spans="1:43" x14ac:dyDescent="0.25">
      <c r="A60" s="113">
        <v>46268</v>
      </c>
      <c r="B60" t="s">
        <v>287</v>
      </c>
      <c r="C60" t="s">
        <v>287</v>
      </c>
      <c r="D60" t="s">
        <v>288</v>
      </c>
      <c r="E60" t="s">
        <v>289</v>
      </c>
      <c r="F60" t="s">
        <v>416</v>
      </c>
      <c r="G60" t="s">
        <v>417</v>
      </c>
      <c r="H60">
        <v>17.71</v>
      </c>
      <c r="I60">
        <v>0</v>
      </c>
      <c r="K60" t="s">
        <v>292</v>
      </c>
      <c r="N60" s="105">
        <f t="shared" si="0"/>
        <v>17.71</v>
      </c>
      <c r="O60" s="106">
        <f>IF($F60="","",IF(ISNUMBER($F60),$F60+Settings!$C$7/24,IFERROR(DATEVALUE(LEFT($F60,10))+TIMEVALUE(MID($F60,12,8))+Settings!$C$7/24,"")))</f>
        <v>46268.671041666668</v>
      </c>
      <c r="P60" s="106">
        <f>IF($G60="","",IF(ISNUMBER($G60),$G60+Settings!$C$7/24,IFERROR(DATEVALUE(LEFT($G60,10))+TIMEVALUE(MID($G60,12,8))+Settings!$C$7/24,"")))</f>
        <v>46268.683344907404</v>
      </c>
      <c r="Q60" s="39">
        <f t="shared" si="1"/>
        <v>16</v>
      </c>
      <c r="R60" s="39">
        <f t="shared" si="2"/>
        <v>4</v>
      </c>
      <c r="S60" s="107">
        <f t="shared" si="3"/>
        <v>46268</v>
      </c>
      <c r="T60" s="39">
        <f>IF($C60="","",IF(COUNTIF($C$2:$C60,$C60)=1,1,0))</f>
        <v>0</v>
      </c>
      <c r="U60" s="39" t="str">
        <f>IF($T60=1,COUNTIF($T$2:$T60,1),"")</f>
        <v/>
      </c>
      <c r="V60" s="39">
        <f>IF($B60="","",IF(COUNTIF($B$2:$B60,$B60)=1,1,0))</f>
        <v>0</v>
      </c>
      <c r="W60" s="39" t="str">
        <f>IF($V60=1,COUNTIF($V$2:$V60,1),"")</f>
        <v/>
      </c>
      <c r="X60" s="39">
        <f>IF($A60="","",IF(COUNTIF($A$2:$A60,$A60)=1,1,0))</f>
        <v>0</v>
      </c>
      <c r="Y60" s="39" t="str">
        <f>IF($X60=1,COUNTIF($X$2:$X60,1),"")</f>
        <v/>
      </c>
      <c r="Z60" s="39">
        <f>IF(AND($E60="timed",$N60&gt;Settings!$C$8),1,0)</f>
        <v>0</v>
      </c>
      <c r="AA60" s="39">
        <f t="shared" si="4"/>
        <v>0</v>
      </c>
      <c r="AB60" s="39">
        <f t="shared" si="5"/>
        <v>0</v>
      </c>
      <c r="AC60" s="39">
        <f t="shared" si="6"/>
        <v>39976131780060</v>
      </c>
      <c r="AD60" s="39">
        <f t="shared" si="7"/>
        <v>59</v>
      </c>
      <c r="AE60" s="39" t="str">
        <f t="shared" si="8"/>
        <v>Project work</v>
      </c>
      <c r="AF60" s="106">
        <f t="shared" si="9"/>
        <v>46268.670949074076</v>
      </c>
      <c r="AG60" s="39">
        <f t="shared" si="10"/>
        <v>1</v>
      </c>
      <c r="AH60" s="39">
        <f t="shared" si="11"/>
        <v>0</v>
      </c>
      <c r="AI60" s="39">
        <f>IF(AND($E60="timed",$N60&gt;=Settings!$C$9),1,0)</f>
        <v>0</v>
      </c>
      <c r="AJ60" s="39">
        <f>IF(OR($S60="",Settings!$C$16=""),"",IF($S60&lt;=Settings!$C$16,1,2))</f>
        <v>2</v>
      </c>
      <c r="AK60" s="39">
        <f>IF($C60="","",IFERROR(IF(INDEX(Settings!$C$20:$C$59,MATCH($C60,Settings!$B$20:$B$59,0))="",Settings!$C$10,INDEX(Settings!$C$20:$C$59,MATCH($C60,Settings!$B$20:$B$59,0))),Settings!$C$10))</f>
        <v>38.42</v>
      </c>
      <c r="AL60" s="108">
        <f t="shared" si="12"/>
        <v>11.34</v>
      </c>
      <c r="AM60" s="39">
        <f t="shared" si="13"/>
        <v>46268</v>
      </c>
      <c r="AN60" s="39" t="str">
        <f t="shared" si="14"/>
        <v/>
      </c>
      <c r="AO60" s="39">
        <f t="shared" si="15"/>
        <v>39976142410060</v>
      </c>
      <c r="AP60" s="39">
        <f t="shared" si="16"/>
        <v>0</v>
      </c>
      <c r="AQ60" s="39">
        <f t="shared" si="17"/>
        <v>0</v>
      </c>
    </row>
    <row r="61" spans="1:43" x14ac:dyDescent="0.25">
      <c r="A61" s="113">
        <v>46268</v>
      </c>
      <c r="B61" t="s">
        <v>342</v>
      </c>
      <c r="C61" t="s">
        <v>342</v>
      </c>
      <c r="D61" t="s">
        <v>288</v>
      </c>
      <c r="E61" t="s">
        <v>289</v>
      </c>
      <c r="F61" t="s">
        <v>418</v>
      </c>
      <c r="G61" t="s">
        <v>419</v>
      </c>
      <c r="H61">
        <v>27.51</v>
      </c>
      <c r="I61">
        <v>0</v>
      </c>
      <c r="K61" t="s">
        <v>292</v>
      </c>
      <c r="N61" s="105">
        <f t="shared" si="0"/>
        <v>27.51</v>
      </c>
      <c r="O61" s="106">
        <f>IF($F61="","",IF(ISNUMBER($F61),$F61+Settings!$C$7/24,IFERROR(DATEVALUE(LEFT($F61,10))+TIMEVALUE(MID($F61,12,8))+Settings!$C$7/24,"")))</f>
        <v>46268.683611111112</v>
      </c>
      <c r="P61" s="106">
        <f>IF($G61="","",IF(ISNUMBER($G61),$G61+Settings!$C$7/24,IFERROR(DATEVALUE(LEFT($G61,10))+TIMEVALUE(MID($G61,12,8))+Settings!$C$7/24,"")))</f>
        <v>46268.702708333331</v>
      </c>
      <c r="Q61" s="39">
        <f t="shared" si="1"/>
        <v>16</v>
      </c>
      <c r="R61" s="39">
        <f t="shared" si="2"/>
        <v>4</v>
      </c>
      <c r="S61" s="107">
        <f t="shared" si="3"/>
        <v>46268</v>
      </c>
      <c r="T61" s="39">
        <f>IF($C61="","",IF(COUNTIF($C$2:$C61,$C61)=1,1,0))</f>
        <v>0</v>
      </c>
      <c r="U61" s="39" t="str">
        <f>IF($T61=1,COUNTIF($T$2:$T61,1),"")</f>
        <v/>
      </c>
      <c r="V61" s="39">
        <f>IF($B61="","",IF(COUNTIF($B$2:$B61,$B61)=1,1,0))</f>
        <v>0</v>
      </c>
      <c r="W61" s="39" t="str">
        <f>IF($V61=1,COUNTIF($V$2:$V61,1),"")</f>
        <v/>
      </c>
      <c r="X61" s="39">
        <f>IF($A61="","",IF(COUNTIF($A$2:$A61,$A61)=1,1,0))</f>
        <v>0</v>
      </c>
      <c r="Y61" s="39" t="str">
        <f>IF($X61=1,COUNTIF($X$2:$X61,1),"")</f>
        <v/>
      </c>
      <c r="Z61" s="39">
        <f>IF(AND($E61="timed",$N61&gt;Settings!$C$8),1,0)</f>
        <v>0</v>
      </c>
      <c r="AA61" s="39">
        <f t="shared" si="4"/>
        <v>0</v>
      </c>
      <c r="AB61" s="39">
        <f t="shared" si="5"/>
        <v>0</v>
      </c>
      <c r="AC61" s="39">
        <f t="shared" si="6"/>
        <v>39976142640061</v>
      </c>
      <c r="AD61" s="39">
        <f t="shared" si="7"/>
        <v>60</v>
      </c>
      <c r="AE61" s="39" t="str">
        <f t="shared" si="8"/>
        <v>Email</v>
      </c>
      <c r="AF61" s="106">
        <f t="shared" si="9"/>
        <v>46268.683344907404</v>
      </c>
      <c r="AG61" s="39">
        <f t="shared" si="10"/>
        <v>1</v>
      </c>
      <c r="AH61" s="39">
        <f t="shared" si="11"/>
        <v>0</v>
      </c>
      <c r="AI61" s="39">
        <f>IF(AND($E61="timed",$N61&gt;=Settings!$C$9),1,0)</f>
        <v>0</v>
      </c>
      <c r="AJ61" s="39">
        <f>IF(OR($S61="",Settings!$C$16=""),"",IF($S61&lt;=Settings!$C$16,1,2))</f>
        <v>2</v>
      </c>
      <c r="AK61" s="39">
        <f>IF($C61="","",IFERROR(IF(INDEX(Settings!$C$20:$C$59,MATCH($C61,Settings!$B$20:$B$59,0))="",Settings!$C$10,INDEX(Settings!$C$20:$C$59,MATCH($C61,Settings!$B$20:$B$59,0))),Settings!$C$10))</f>
        <v>38.42</v>
      </c>
      <c r="AL61" s="108">
        <f t="shared" si="12"/>
        <v>17.62</v>
      </c>
      <c r="AM61" s="39">
        <f t="shared" si="13"/>
        <v>46268</v>
      </c>
      <c r="AN61" s="39" t="str">
        <f t="shared" si="14"/>
        <v/>
      </c>
      <c r="AO61" s="39">
        <f t="shared" si="15"/>
        <v>39976159140061</v>
      </c>
      <c r="AP61" s="39">
        <f t="shared" si="16"/>
        <v>0</v>
      </c>
      <c r="AQ61" s="39">
        <f t="shared" si="17"/>
        <v>1</v>
      </c>
    </row>
    <row r="62" spans="1:43" x14ac:dyDescent="0.25">
      <c r="A62" s="113">
        <v>46269</v>
      </c>
      <c r="B62" t="s">
        <v>287</v>
      </c>
      <c r="C62" t="s">
        <v>287</v>
      </c>
      <c r="D62" t="s">
        <v>288</v>
      </c>
      <c r="E62" t="s">
        <v>289</v>
      </c>
      <c r="F62" t="s">
        <v>420</v>
      </c>
      <c r="G62" t="s">
        <v>421</v>
      </c>
      <c r="H62">
        <v>0.03</v>
      </c>
      <c r="I62">
        <v>0</v>
      </c>
      <c r="K62" t="s">
        <v>292</v>
      </c>
      <c r="N62" s="105">
        <f t="shared" si="0"/>
        <v>0.03</v>
      </c>
      <c r="O62" s="106">
        <f>IF($F62="","",IF(ISNUMBER($F62),$F62+Settings!$C$7/24,IFERROR(DATEVALUE(LEFT($F62,10))+TIMEVALUE(MID($F62,12,8))+Settings!$C$7/24,"")))</f>
        <v>46269.310347222221</v>
      </c>
      <c r="P62" s="106">
        <f>IF($G62="","",IF(ISNUMBER($G62),$G62+Settings!$C$7/24,IFERROR(DATEVALUE(LEFT($G62,10))+TIMEVALUE(MID($G62,12,8))+Settings!$C$7/24,"")))</f>
        <v>46269.310370370367</v>
      </c>
      <c r="Q62" s="39">
        <f t="shared" si="1"/>
        <v>7</v>
      </c>
      <c r="R62" s="39">
        <f t="shared" si="2"/>
        <v>5</v>
      </c>
      <c r="S62" s="107">
        <f t="shared" si="3"/>
        <v>46269</v>
      </c>
      <c r="T62" s="39">
        <f>IF($C62="","",IF(COUNTIF($C$2:$C62,$C62)=1,1,0))</f>
        <v>0</v>
      </c>
      <c r="U62" s="39" t="str">
        <f>IF($T62=1,COUNTIF($T$2:$T62,1),"")</f>
        <v/>
      </c>
      <c r="V62" s="39">
        <f>IF($B62="","",IF(COUNTIF($B$2:$B62,$B62)=1,1,0))</f>
        <v>0</v>
      </c>
      <c r="W62" s="39" t="str">
        <f>IF($V62=1,COUNTIF($V$2:$V62,1),"")</f>
        <v/>
      </c>
      <c r="X62" s="39">
        <f>IF($A62="","",IF(COUNTIF($A$2:$A62,$A62)=1,1,0))</f>
        <v>1</v>
      </c>
      <c r="Y62" s="39">
        <f>IF($X62=1,COUNTIF($X$2:$X62,1),"")</f>
        <v>5</v>
      </c>
      <c r="Z62" s="39">
        <f>IF(AND($E62="timed",$N62&gt;Settings!$C$8),1,0)</f>
        <v>0</v>
      </c>
      <c r="AA62" s="39">
        <f t="shared" si="4"/>
        <v>0</v>
      </c>
      <c r="AB62" s="39">
        <f t="shared" si="5"/>
        <v>0</v>
      </c>
      <c r="AC62" s="39">
        <f t="shared" si="6"/>
        <v>39976684140062</v>
      </c>
      <c r="AD62" s="39">
        <f t="shared" si="7"/>
        <v>61</v>
      </c>
      <c r="AE62" s="39" t="str">
        <f t="shared" si="8"/>
        <v/>
      </c>
      <c r="AF62" s="106" t="str">
        <f t="shared" si="9"/>
        <v/>
      </c>
      <c r="AG62" s="39">
        <f t="shared" si="10"/>
        <v>0</v>
      </c>
      <c r="AH62" s="39" t="str">
        <f t="shared" si="11"/>
        <v/>
      </c>
      <c r="AI62" s="39">
        <f>IF(AND($E62="timed",$N62&gt;=Settings!$C$9),1,0)</f>
        <v>0</v>
      </c>
      <c r="AJ62" s="39">
        <f>IF(OR($S62="",Settings!$C$16=""),"",IF($S62&lt;=Settings!$C$16,1,2))</f>
        <v>2</v>
      </c>
      <c r="AK62" s="39">
        <f>IF($C62="","",IFERROR(IF(INDEX(Settings!$C$20:$C$59,MATCH($C62,Settings!$B$20:$B$59,0))="",Settings!$C$10,INDEX(Settings!$C$20:$C$59,MATCH($C62,Settings!$B$20:$B$59,0))),Settings!$C$10))</f>
        <v>38.42</v>
      </c>
      <c r="AL62" s="108">
        <f t="shared" si="12"/>
        <v>0.02</v>
      </c>
      <c r="AM62" s="39">
        <f t="shared" si="13"/>
        <v>46268</v>
      </c>
      <c r="AN62" s="39" t="str">
        <f t="shared" si="14"/>
        <v/>
      </c>
      <c r="AO62" s="39">
        <f t="shared" si="15"/>
        <v>39976684160062</v>
      </c>
      <c r="AP62" s="39">
        <f t="shared" si="16"/>
        <v>1</v>
      </c>
      <c r="AQ62" s="39">
        <f t="shared" si="17"/>
        <v>0</v>
      </c>
    </row>
    <row r="63" spans="1:43" x14ac:dyDescent="0.25">
      <c r="A63" s="113">
        <v>46269</v>
      </c>
      <c r="B63" t="s">
        <v>287</v>
      </c>
      <c r="C63" t="s">
        <v>287</v>
      </c>
      <c r="D63" t="s">
        <v>288</v>
      </c>
      <c r="E63" t="s">
        <v>289</v>
      </c>
      <c r="F63" t="s">
        <v>422</v>
      </c>
      <c r="G63" t="s">
        <v>423</v>
      </c>
      <c r="H63">
        <v>29.77</v>
      </c>
      <c r="I63">
        <v>0</v>
      </c>
      <c r="K63" t="s">
        <v>292</v>
      </c>
      <c r="N63" s="105">
        <f t="shared" si="0"/>
        <v>29.77</v>
      </c>
      <c r="O63" s="106">
        <f>IF($F63="","",IF(ISNUMBER($F63),$F63+Settings!$C$7/24,IFERROR(DATEVALUE(LEFT($F63,10))+TIMEVALUE(MID($F63,12,8))+Settings!$C$7/24,"")))</f>
        <v>46269.310381944444</v>
      </c>
      <c r="P63" s="106">
        <f>IF($G63="","",IF(ISNUMBER($G63),$G63+Settings!$C$7/24,IFERROR(DATEVALUE(LEFT($G63,10))+TIMEVALUE(MID($G63,12,8))+Settings!$C$7/24,"")))</f>
        <v>46269.331053240741</v>
      </c>
      <c r="Q63" s="39">
        <f t="shared" si="1"/>
        <v>7</v>
      </c>
      <c r="R63" s="39">
        <f t="shared" si="2"/>
        <v>5</v>
      </c>
      <c r="S63" s="107">
        <f t="shared" si="3"/>
        <v>46269</v>
      </c>
      <c r="T63" s="39">
        <f>IF($C63="","",IF(COUNTIF($C$2:$C63,$C63)=1,1,0))</f>
        <v>0</v>
      </c>
      <c r="U63" s="39" t="str">
        <f>IF($T63=1,COUNTIF($T$2:$T63,1),"")</f>
        <v/>
      </c>
      <c r="V63" s="39">
        <f>IF($B63="","",IF(COUNTIF($B$2:$B63,$B63)=1,1,0))</f>
        <v>0</v>
      </c>
      <c r="W63" s="39" t="str">
        <f>IF($V63=1,COUNTIF($V$2:$V63,1),"")</f>
        <v/>
      </c>
      <c r="X63" s="39">
        <f>IF($A63="","",IF(COUNTIF($A$2:$A63,$A63)=1,1,0))</f>
        <v>0</v>
      </c>
      <c r="Y63" s="39" t="str">
        <f>IF($X63=1,COUNTIF($X$2:$X63,1),"")</f>
        <v/>
      </c>
      <c r="Z63" s="39">
        <f>IF(AND($E63="timed",$N63&gt;Settings!$C$8),1,0)</f>
        <v>0</v>
      </c>
      <c r="AA63" s="39">
        <f t="shared" si="4"/>
        <v>0</v>
      </c>
      <c r="AB63" s="39">
        <f t="shared" si="5"/>
        <v>0</v>
      </c>
      <c r="AC63" s="39">
        <f t="shared" si="6"/>
        <v>39976684170063</v>
      </c>
      <c r="AD63" s="39">
        <f t="shared" si="7"/>
        <v>62</v>
      </c>
      <c r="AE63" s="39" t="str">
        <f t="shared" si="8"/>
        <v>Email</v>
      </c>
      <c r="AF63" s="106">
        <f t="shared" si="9"/>
        <v>46269.310370370367</v>
      </c>
      <c r="AG63" s="39">
        <f t="shared" si="10"/>
        <v>0</v>
      </c>
      <c r="AH63" s="39">
        <f t="shared" si="11"/>
        <v>0</v>
      </c>
      <c r="AI63" s="39">
        <f>IF(AND($E63="timed",$N63&gt;=Settings!$C$9),1,0)</f>
        <v>0</v>
      </c>
      <c r="AJ63" s="39">
        <f>IF(OR($S63="",Settings!$C$16=""),"",IF($S63&lt;=Settings!$C$16,1,2))</f>
        <v>2</v>
      </c>
      <c r="AK63" s="39">
        <f>IF($C63="","",IFERROR(IF(INDEX(Settings!$C$20:$C$59,MATCH($C63,Settings!$B$20:$B$59,0))="",Settings!$C$10,INDEX(Settings!$C$20:$C$59,MATCH($C63,Settings!$B$20:$B$59,0))),Settings!$C$10))</f>
        <v>38.42</v>
      </c>
      <c r="AL63" s="108">
        <f t="shared" si="12"/>
        <v>19.059999999999999</v>
      </c>
      <c r="AM63" s="39">
        <f t="shared" si="13"/>
        <v>46269</v>
      </c>
      <c r="AN63" s="39" t="str">
        <f t="shared" si="14"/>
        <v/>
      </c>
      <c r="AO63" s="39">
        <f t="shared" si="15"/>
        <v>39976702030063</v>
      </c>
      <c r="AP63" s="39">
        <f t="shared" si="16"/>
        <v>0</v>
      </c>
      <c r="AQ63" s="39">
        <f t="shared" si="17"/>
        <v>0</v>
      </c>
    </row>
    <row r="64" spans="1:43" x14ac:dyDescent="0.25">
      <c r="A64" s="113">
        <v>46269</v>
      </c>
      <c r="B64" t="s">
        <v>303</v>
      </c>
      <c r="C64" t="s">
        <v>303</v>
      </c>
      <c r="D64" t="s">
        <v>288</v>
      </c>
      <c r="E64" t="s">
        <v>289</v>
      </c>
      <c r="F64" t="s">
        <v>424</v>
      </c>
      <c r="G64" t="s">
        <v>425</v>
      </c>
      <c r="H64">
        <v>27.82</v>
      </c>
      <c r="I64">
        <v>1</v>
      </c>
      <c r="K64" t="s">
        <v>292</v>
      </c>
      <c r="N64" s="105">
        <f t="shared" si="0"/>
        <v>27.82</v>
      </c>
      <c r="O64" s="106">
        <f>IF($F64="","",IF(ISNUMBER($F64),$F64+Settings!$C$7/24,IFERROR(DATEVALUE(LEFT($F64,10))+TIMEVALUE(MID($F64,12,8))+Settings!$C$7/24,"")))</f>
        <v>46269.331087962964</v>
      </c>
      <c r="P64" s="106">
        <f>IF($G64="","",IF(ISNUMBER($G64),$G64+Settings!$C$7/24,IFERROR(DATEVALUE(LEFT($G64,10))+TIMEVALUE(MID($G64,12,8))+Settings!$C$7/24,"")))</f>
        <v>46269.350405092591</v>
      </c>
      <c r="Q64" s="39">
        <f t="shared" si="1"/>
        <v>7</v>
      </c>
      <c r="R64" s="39">
        <f t="shared" si="2"/>
        <v>5</v>
      </c>
      <c r="S64" s="107">
        <f t="shared" si="3"/>
        <v>46269</v>
      </c>
      <c r="T64" s="39">
        <f>IF($C64="","",IF(COUNTIF($C$2:$C64,$C64)=1,1,0))</f>
        <v>0</v>
      </c>
      <c r="U64" s="39" t="str">
        <f>IF($T64=1,COUNTIF($T$2:$T64,1),"")</f>
        <v/>
      </c>
      <c r="V64" s="39">
        <f>IF($B64="","",IF(COUNTIF($B$2:$B64,$B64)=1,1,0))</f>
        <v>0</v>
      </c>
      <c r="W64" s="39" t="str">
        <f>IF($V64=1,COUNTIF($V$2:$V64,1),"")</f>
        <v/>
      </c>
      <c r="X64" s="39">
        <f>IF($A64="","",IF(COUNTIF($A$2:$A64,$A64)=1,1,0))</f>
        <v>0</v>
      </c>
      <c r="Y64" s="39" t="str">
        <f>IF($X64=1,COUNTIF($X$2:$X64,1),"")</f>
        <v/>
      </c>
      <c r="Z64" s="39">
        <f>IF(AND($E64="timed",$N64&gt;Settings!$C$8),1,0)</f>
        <v>0</v>
      </c>
      <c r="AA64" s="39">
        <f t="shared" si="4"/>
        <v>0</v>
      </c>
      <c r="AB64" s="39">
        <f t="shared" si="5"/>
        <v>1</v>
      </c>
      <c r="AC64" s="39">
        <f t="shared" si="6"/>
        <v>39976702060064</v>
      </c>
      <c r="AD64" s="39">
        <f t="shared" si="7"/>
        <v>63</v>
      </c>
      <c r="AE64" s="39" t="str">
        <f t="shared" si="8"/>
        <v>Email</v>
      </c>
      <c r="AF64" s="106">
        <f t="shared" si="9"/>
        <v>46269.331053240741</v>
      </c>
      <c r="AG64" s="39">
        <f t="shared" si="10"/>
        <v>1</v>
      </c>
      <c r="AH64" s="39">
        <f t="shared" si="11"/>
        <v>0</v>
      </c>
      <c r="AI64" s="39">
        <f>IF(AND($E64="timed",$N64&gt;=Settings!$C$9),1,0)</f>
        <v>0</v>
      </c>
      <c r="AJ64" s="39">
        <f>IF(OR($S64="",Settings!$C$16=""),"",IF($S64&lt;=Settings!$C$16,1,2))</f>
        <v>2</v>
      </c>
      <c r="AK64" s="39">
        <f>IF($C64="","",IFERROR(IF(INDEX(Settings!$C$20:$C$59,MATCH($C64,Settings!$B$20:$B$59,0))="",Settings!$C$10,INDEX(Settings!$C$20:$C$59,MATCH($C64,Settings!$B$20:$B$59,0))),Settings!$C$10))</f>
        <v>38.42</v>
      </c>
      <c r="AL64" s="108">
        <f t="shared" si="12"/>
        <v>17.809999999999999</v>
      </c>
      <c r="AM64" s="39">
        <f t="shared" si="13"/>
        <v>46269</v>
      </c>
      <c r="AN64" s="39" t="str">
        <f t="shared" si="14"/>
        <v/>
      </c>
      <c r="AO64" s="39">
        <f t="shared" si="15"/>
        <v>39976718750064</v>
      </c>
      <c r="AP64" s="39">
        <f t="shared" si="16"/>
        <v>0</v>
      </c>
      <c r="AQ64" s="39">
        <f t="shared" si="17"/>
        <v>0</v>
      </c>
    </row>
    <row r="65" spans="1:43" x14ac:dyDescent="0.25">
      <c r="A65" s="113">
        <v>46269</v>
      </c>
      <c r="B65" t="s">
        <v>293</v>
      </c>
      <c r="C65" t="s">
        <v>293</v>
      </c>
      <c r="D65" t="s">
        <v>288</v>
      </c>
      <c r="E65" t="s">
        <v>289</v>
      </c>
      <c r="F65" t="s">
        <v>426</v>
      </c>
      <c r="G65" t="s">
        <v>427</v>
      </c>
      <c r="H65">
        <v>0.14000000000000001</v>
      </c>
      <c r="I65">
        <v>3</v>
      </c>
      <c r="K65" t="s">
        <v>292</v>
      </c>
      <c r="L65" t="s">
        <v>428</v>
      </c>
      <c r="N65" s="105">
        <f t="shared" si="0"/>
        <v>0.14000000000000001</v>
      </c>
      <c r="O65" s="106">
        <f>IF($F65="","",IF(ISNUMBER($F65),$F65+Settings!$C$7/24,IFERROR(DATEVALUE(LEFT($F65,10))+TIMEVALUE(MID($F65,12,8))+Settings!$C$7/24,"")))</f>
        <v>46269.35050925926</v>
      </c>
      <c r="P65" s="106">
        <f>IF($G65="","",IF(ISNUMBER($G65),$G65+Settings!$C$7/24,IFERROR(DATEVALUE(LEFT($G65,10))+TIMEVALUE(MID($G65,12,8))+Settings!$C$7/24,"")))</f>
        <v>46269.350613425922</v>
      </c>
      <c r="Q65" s="39">
        <f t="shared" si="1"/>
        <v>8</v>
      </c>
      <c r="R65" s="39">
        <f t="shared" si="2"/>
        <v>5</v>
      </c>
      <c r="S65" s="107">
        <f t="shared" si="3"/>
        <v>46269</v>
      </c>
      <c r="T65" s="39">
        <f>IF($C65="","",IF(COUNTIF($C$2:$C65,$C65)=1,1,0))</f>
        <v>0</v>
      </c>
      <c r="U65" s="39" t="str">
        <f>IF($T65=1,COUNTIF($T$2:$T65,1),"")</f>
        <v/>
      </c>
      <c r="V65" s="39">
        <f>IF($B65="","",IF(COUNTIF($B$2:$B65,$B65)=1,1,0))</f>
        <v>0</v>
      </c>
      <c r="W65" s="39" t="str">
        <f>IF($V65=1,COUNTIF($V$2:$V65,1),"")</f>
        <v/>
      </c>
      <c r="X65" s="39">
        <f>IF($A65="","",IF(COUNTIF($A$2:$A65,$A65)=1,1,0))</f>
        <v>0</v>
      </c>
      <c r="Y65" s="39" t="str">
        <f>IF($X65=1,COUNTIF($X$2:$X65,1),"")</f>
        <v/>
      </c>
      <c r="Z65" s="39">
        <f>IF(AND($E65="timed",$N65&gt;Settings!$C$8),1,0)</f>
        <v>0</v>
      </c>
      <c r="AA65" s="39">
        <f t="shared" si="4"/>
        <v>0</v>
      </c>
      <c r="AB65" s="39">
        <f t="shared" si="5"/>
        <v>3</v>
      </c>
      <c r="AC65" s="39">
        <f t="shared" si="6"/>
        <v>39976718840065</v>
      </c>
      <c r="AD65" s="39">
        <f t="shared" si="7"/>
        <v>64</v>
      </c>
      <c r="AE65" s="39" t="str">
        <f t="shared" si="8"/>
        <v>Dev Tickets - ADO's</v>
      </c>
      <c r="AF65" s="106">
        <f t="shared" si="9"/>
        <v>46269.350405092591</v>
      </c>
      <c r="AG65" s="39">
        <f t="shared" si="10"/>
        <v>1</v>
      </c>
      <c r="AH65" s="39">
        <f t="shared" si="11"/>
        <v>0</v>
      </c>
      <c r="AI65" s="39">
        <f>IF(AND($E65="timed",$N65&gt;=Settings!$C$9),1,0)</f>
        <v>0</v>
      </c>
      <c r="AJ65" s="39">
        <f>IF(OR($S65="",Settings!$C$16=""),"",IF($S65&lt;=Settings!$C$16,1,2))</f>
        <v>2</v>
      </c>
      <c r="AK65" s="39">
        <f>IF($C65="","",IFERROR(IF(INDEX(Settings!$C$20:$C$59,MATCH($C65,Settings!$B$20:$B$59,0))="",Settings!$C$10,INDEX(Settings!$C$20:$C$59,MATCH($C65,Settings!$B$20:$B$59,0))),Settings!$C$10))</f>
        <v>38.42</v>
      </c>
      <c r="AL65" s="108">
        <f t="shared" si="12"/>
        <v>0.09</v>
      </c>
      <c r="AM65" s="39">
        <f t="shared" si="13"/>
        <v>46269</v>
      </c>
      <c r="AN65" s="39" t="str">
        <f t="shared" si="14"/>
        <v/>
      </c>
      <c r="AO65" s="39">
        <f t="shared" si="15"/>
        <v>39976718930065</v>
      </c>
      <c r="AP65" s="39">
        <f t="shared" si="16"/>
        <v>0</v>
      </c>
      <c r="AQ65" s="39">
        <f t="shared" si="17"/>
        <v>0</v>
      </c>
    </row>
    <row r="66" spans="1:43" x14ac:dyDescent="0.25">
      <c r="A66" s="113">
        <v>46269</v>
      </c>
      <c r="B66" t="s">
        <v>293</v>
      </c>
      <c r="C66" t="s">
        <v>293</v>
      </c>
      <c r="D66" t="s">
        <v>288</v>
      </c>
      <c r="E66" t="s">
        <v>289</v>
      </c>
      <c r="F66" t="s">
        <v>429</v>
      </c>
      <c r="G66" t="s">
        <v>430</v>
      </c>
      <c r="H66">
        <v>14.22</v>
      </c>
      <c r="I66">
        <v>3</v>
      </c>
      <c r="K66" t="s">
        <v>292</v>
      </c>
      <c r="L66" t="s">
        <v>428</v>
      </c>
      <c r="N66" s="105">
        <f t="shared" ref="N66:N129" si="18">IF($E66&lt;&gt;"timed",0,IF(ISNUMBER($H66),$H66,IFERROR(VALUE($H66),0)))</f>
        <v>14.22</v>
      </c>
      <c r="O66" s="106">
        <f>IF($F66="","",IF(ISNUMBER($F66),$F66+Settings!$C$7/24,IFERROR(DATEVALUE(LEFT($F66,10))+TIMEVALUE(MID($F66,12,8))+Settings!$C$7/24,"")))</f>
        <v>46269.353055555555</v>
      </c>
      <c r="P66" s="106">
        <f>IF($G66="","",IF(ISNUMBER($G66),$G66+Settings!$C$7/24,IFERROR(DATEVALUE(LEFT($G66,10))+TIMEVALUE(MID($G66,12,8))+Settings!$C$7/24,"")))</f>
        <v>46269.362928240742</v>
      </c>
      <c r="Q66" s="39">
        <f t="shared" ref="Q66:Q129" si="19">IF($O66="","",HOUR($O66))</f>
        <v>8</v>
      </c>
      <c r="R66" s="39">
        <f t="shared" ref="R66:R129" si="20">IF($O66="","",WEEKDAY($O66,2))</f>
        <v>5</v>
      </c>
      <c r="S66" s="107">
        <f t="shared" ref="S66:S129" si="21">IF($A66="","",IF(ISNUMBER($A66),INT($A66),IFERROR(DATEVALUE($A66),"")))</f>
        <v>46269</v>
      </c>
      <c r="T66" s="39">
        <f>IF($C66="","",IF(COUNTIF($C$2:$C66,$C66)=1,1,0))</f>
        <v>0</v>
      </c>
      <c r="U66" s="39" t="str">
        <f>IF($T66=1,COUNTIF($T$2:$T66,1),"")</f>
        <v/>
      </c>
      <c r="V66" s="39">
        <f>IF($B66="","",IF(COUNTIF($B$2:$B66,$B66)=1,1,0))</f>
        <v>0</v>
      </c>
      <c r="W66" s="39" t="str">
        <f>IF($V66=1,COUNTIF($V$2:$V66,1),"")</f>
        <v/>
      </c>
      <c r="X66" s="39">
        <f>IF($A66="","",IF(COUNTIF($A$2:$A66,$A66)=1,1,0))</f>
        <v>0</v>
      </c>
      <c r="Y66" s="39" t="str">
        <f>IF($X66=1,COUNTIF($X$2:$X66,1),"")</f>
        <v/>
      </c>
      <c r="Z66" s="39">
        <f>IF(AND($E66="timed",$N66&gt;Settings!$C$8),1,0)</f>
        <v>0</v>
      </c>
      <c r="AA66" s="39">
        <f t="shared" ref="AA66:AA129" si="22">IF(AND($E66="timed",$G66=""),1,0)</f>
        <v>0</v>
      </c>
      <c r="AB66" s="39">
        <f t="shared" ref="AB66:AB129" si="23">IF($E66&lt;&gt;"timed",0,IF(ISNUMBER($I66),$I66,IFERROR(VALUE($I66),0)))</f>
        <v>3</v>
      </c>
      <c r="AC66" s="39">
        <f t="shared" ref="AC66:AC129" si="24">IF(OR($E66&lt;&gt;"timed",$O66=""),"",ROUND($O66*86400,0)*10000+ROW())</f>
        <v>39976721040066</v>
      </c>
      <c r="AD66" s="39">
        <f t="shared" ref="AD66:AD129" si="25">IF($AC66="","",COUNTIF($AC$2:$AC$1201,"&lt;"&amp;$AC66)+1)</f>
        <v>65</v>
      </c>
      <c r="AE66" s="39" t="str">
        <f t="shared" ref="AE66:AE129" si="26">IF($AD66="","",IFERROR(IF(INDEX($S$2:$S$1201,MATCH($AD66-1,$AD$2:$AD$1201,0))=$S66,INDEX($C$2:$C$1201,MATCH($AD66-1,$AD$2:$AD$1201,0)),""),""))</f>
        <v>Zendesk Tickets</v>
      </c>
      <c r="AF66" s="106">
        <f t="shared" ref="AF66:AF129" si="27">IF($AD66="","",IFERROR(IF(INDEX($S$2:$S$1201,MATCH($AD66-1,$AD$2:$AD$1201,0))=$S66,INDEX($P$2:$P$1201,MATCH($AD66-1,$AD$2:$AD$1201,0)),""),""))</f>
        <v>46269.350613425922</v>
      </c>
      <c r="AG66" s="39">
        <f t="shared" ref="AG66:AG129" si="28">IF(OR($E66&lt;&gt;"timed",$AE66=""),0,IF($AE66=$C66,0,1))</f>
        <v>0</v>
      </c>
      <c r="AH66" s="39">
        <f t="shared" ref="AH66:AH129" si="29">IF(OR($AF66="",$O66=""),"",MAX(0,ROUND(($O66-$AF66)*1440,0)))</f>
        <v>4</v>
      </c>
      <c r="AI66" s="39">
        <f>IF(AND($E66="timed",$N66&gt;=Settings!$C$9),1,0)</f>
        <v>0</v>
      </c>
      <c r="AJ66" s="39">
        <f>IF(OR($S66="",Settings!$C$16=""),"",IF($S66&lt;=Settings!$C$16,1,2))</f>
        <v>2</v>
      </c>
      <c r="AK66" s="39">
        <f>IF($C66="","",IFERROR(IF(INDEX(Settings!$C$20:$C$59,MATCH($C66,Settings!$B$20:$B$59,0))="",Settings!$C$10,INDEX(Settings!$C$20:$C$59,MATCH($C66,Settings!$B$20:$B$59,0))),Settings!$C$10))</f>
        <v>38.42</v>
      </c>
      <c r="AL66" s="108">
        <f t="shared" ref="AL66:AL129" si="30">IF(OR($N66=0,$AK66=""),0,ROUND($N66/60*$AK66,2))</f>
        <v>9.11</v>
      </c>
      <c r="AM66" s="39">
        <f t="shared" ref="AM66:AM129" si="31">IF($AD66="","",IFERROR(INDEX($S$2:$S$1201,MATCH($AD66-1,$AD$2:$AD$1201,0)),""))</f>
        <v>46269</v>
      </c>
      <c r="AN66" s="39" t="str">
        <f t="shared" ref="AN66:AN129" si="32">IF($Z66=1,$N66+ROW()/1000000,"")</f>
        <v/>
      </c>
      <c r="AO66" s="39">
        <f t="shared" ref="AO66:AO129" si="33">IF(OR($E66&lt;&gt;"timed",$P66=""),"",ROUND($P66*86400,0)*10000+ROW())</f>
        <v>39976729570066</v>
      </c>
      <c r="AP66" s="39">
        <f t="shared" ref="AP66:AP129" si="34">IF($AC66="",0,IF(COUNTIFS($S$2:$S$1201,$S66,$AC$2:$AC$1201,"&lt;"&amp;$AC66)=0,1,0))</f>
        <v>0</v>
      </c>
      <c r="AQ66" s="39">
        <f t="shared" ref="AQ66:AQ129" si="35">IF($AO66="",0,IF(COUNTIFS($S$2:$S$1201,$S66,$AO$2:$AO$1201,"&gt;"&amp;$AO66)=0,1,0))</f>
        <v>0</v>
      </c>
    </row>
    <row r="67" spans="1:43" x14ac:dyDescent="0.25">
      <c r="A67" s="113">
        <v>46269</v>
      </c>
      <c r="B67" t="s">
        <v>287</v>
      </c>
      <c r="C67" t="s">
        <v>287</v>
      </c>
      <c r="D67" t="s">
        <v>288</v>
      </c>
      <c r="E67" t="s">
        <v>289</v>
      </c>
      <c r="F67" t="s">
        <v>430</v>
      </c>
      <c r="G67" t="s">
        <v>431</v>
      </c>
      <c r="H67">
        <v>9</v>
      </c>
      <c r="I67">
        <v>0</v>
      </c>
      <c r="K67" t="s">
        <v>292</v>
      </c>
      <c r="N67" s="105">
        <f t="shared" si="18"/>
        <v>9</v>
      </c>
      <c r="O67" s="106">
        <f>IF($F67="","",IF(ISNUMBER($F67),$F67+Settings!$C$7/24,IFERROR(DATEVALUE(LEFT($F67,10))+TIMEVALUE(MID($F67,12,8))+Settings!$C$7/24,"")))</f>
        <v>46269.362928240742</v>
      </c>
      <c r="P67" s="106">
        <f>IF($G67="","",IF(ISNUMBER($G67),$G67+Settings!$C$7/24,IFERROR(DATEVALUE(LEFT($G67,10))+TIMEVALUE(MID($G67,12,8))+Settings!$C$7/24,"")))</f>
        <v>46269.369189814817</v>
      </c>
      <c r="Q67" s="39">
        <f t="shared" si="19"/>
        <v>8</v>
      </c>
      <c r="R67" s="39">
        <f t="shared" si="20"/>
        <v>5</v>
      </c>
      <c r="S67" s="107">
        <f t="shared" si="21"/>
        <v>46269</v>
      </c>
      <c r="T67" s="39">
        <f>IF($C67="","",IF(COUNTIF($C$2:$C67,$C67)=1,1,0))</f>
        <v>0</v>
      </c>
      <c r="U67" s="39" t="str">
        <f>IF($T67=1,COUNTIF($T$2:$T67,1),"")</f>
        <v/>
      </c>
      <c r="V67" s="39">
        <f>IF($B67="","",IF(COUNTIF($B$2:$B67,$B67)=1,1,0))</f>
        <v>0</v>
      </c>
      <c r="W67" s="39" t="str">
        <f>IF($V67=1,COUNTIF($V$2:$V67,1),"")</f>
        <v/>
      </c>
      <c r="X67" s="39">
        <f>IF($A67="","",IF(COUNTIF($A$2:$A67,$A67)=1,1,0))</f>
        <v>0</v>
      </c>
      <c r="Y67" s="39" t="str">
        <f>IF($X67=1,COUNTIF($X$2:$X67,1),"")</f>
        <v/>
      </c>
      <c r="Z67" s="39">
        <f>IF(AND($E67="timed",$N67&gt;Settings!$C$8),1,0)</f>
        <v>0</v>
      </c>
      <c r="AA67" s="39">
        <f t="shared" si="22"/>
        <v>0</v>
      </c>
      <c r="AB67" s="39">
        <f t="shared" si="23"/>
        <v>0</v>
      </c>
      <c r="AC67" s="39">
        <f t="shared" si="24"/>
        <v>39976729570067</v>
      </c>
      <c r="AD67" s="39">
        <f t="shared" si="25"/>
        <v>66</v>
      </c>
      <c r="AE67" s="39" t="str">
        <f t="shared" si="26"/>
        <v>Zendesk Tickets</v>
      </c>
      <c r="AF67" s="106">
        <f t="shared" si="27"/>
        <v>46269.362928240742</v>
      </c>
      <c r="AG67" s="39">
        <f t="shared" si="28"/>
        <v>1</v>
      </c>
      <c r="AH67" s="39">
        <f t="shared" si="29"/>
        <v>0</v>
      </c>
      <c r="AI67" s="39">
        <f>IF(AND($E67="timed",$N67&gt;=Settings!$C$9),1,0)</f>
        <v>0</v>
      </c>
      <c r="AJ67" s="39">
        <f>IF(OR($S67="",Settings!$C$16=""),"",IF($S67&lt;=Settings!$C$16,1,2))</f>
        <v>2</v>
      </c>
      <c r="AK67" s="39">
        <f>IF($C67="","",IFERROR(IF(INDEX(Settings!$C$20:$C$59,MATCH($C67,Settings!$B$20:$B$59,0))="",Settings!$C$10,INDEX(Settings!$C$20:$C$59,MATCH($C67,Settings!$B$20:$B$59,0))),Settings!$C$10))</f>
        <v>38.42</v>
      </c>
      <c r="AL67" s="108">
        <f t="shared" si="30"/>
        <v>5.76</v>
      </c>
      <c r="AM67" s="39">
        <f t="shared" si="31"/>
        <v>46269</v>
      </c>
      <c r="AN67" s="39" t="str">
        <f t="shared" si="32"/>
        <v/>
      </c>
      <c r="AO67" s="39">
        <f t="shared" si="33"/>
        <v>39976734980067</v>
      </c>
      <c r="AP67" s="39">
        <f t="shared" si="34"/>
        <v>0</v>
      </c>
      <c r="AQ67" s="39">
        <f t="shared" si="35"/>
        <v>0</v>
      </c>
    </row>
    <row r="68" spans="1:43" x14ac:dyDescent="0.25">
      <c r="A68" s="113">
        <v>46269</v>
      </c>
      <c r="B68" t="s">
        <v>293</v>
      </c>
      <c r="C68" t="s">
        <v>293</v>
      </c>
      <c r="D68" t="s">
        <v>288</v>
      </c>
      <c r="E68" t="s">
        <v>289</v>
      </c>
      <c r="F68" t="s">
        <v>432</v>
      </c>
      <c r="G68" t="s">
        <v>433</v>
      </c>
      <c r="H68">
        <v>0.69</v>
      </c>
      <c r="I68">
        <v>0</v>
      </c>
      <c r="K68" t="s">
        <v>292</v>
      </c>
      <c r="N68" s="105">
        <f t="shared" si="18"/>
        <v>0.69</v>
      </c>
      <c r="O68" s="106">
        <f>IF($F68="","",IF(ISNUMBER($F68),$F68+Settings!$C$7/24,IFERROR(DATEVALUE(LEFT($F68,10))+TIMEVALUE(MID($F68,12,8))+Settings!$C$7/24,"")))</f>
        <v>46269.369201388887</v>
      </c>
      <c r="P68" s="106">
        <f>IF($G68="","",IF(ISNUMBER($G68),$G68+Settings!$C$7/24,IFERROR(DATEVALUE(LEFT($G68,10))+TIMEVALUE(MID($G68,12,8))+Settings!$C$7/24,"")))</f>
        <v>46269.369675925926</v>
      </c>
      <c r="Q68" s="39">
        <f t="shared" si="19"/>
        <v>8</v>
      </c>
      <c r="R68" s="39">
        <f t="shared" si="20"/>
        <v>5</v>
      </c>
      <c r="S68" s="107">
        <f t="shared" si="21"/>
        <v>46269</v>
      </c>
      <c r="T68" s="39">
        <f>IF($C68="","",IF(COUNTIF($C$2:$C68,$C68)=1,1,0))</f>
        <v>0</v>
      </c>
      <c r="U68" s="39" t="str">
        <f>IF($T68=1,COUNTIF($T$2:$T68,1),"")</f>
        <v/>
      </c>
      <c r="V68" s="39">
        <f>IF($B68="","",IF(COUNTIF($B$2:$B68,$B68)=1,1,0))</f>
        <v>0</v>
      </c>
      <c r="W68" s="39" t="str">
        <f>IF($V68=1,COUNTIF($V$2:$V68,1),"")</f>
        <v/>
      </c>
      <c r="X68" s="39">
        <f>IF($A68="","",IF(COUNTIF($A$2:$A68,$A68)=1,1,0))</f>
        <v>0</v>
      </c>
      <c r="Y68" s="39" t="str">
        <f>IF($X68=1,COUNTIF($X$2:$X68,1),"")</f>
        <v/>
      </c>
      <c r="Z68" s="39">
        <f>IF(AND($E68="timed",$N68&gt;Settings!$C$8),1,0)</f>
        <v>0</v>
      </c>
      <c r="AA68" s="39">
        <f t="shared" si="22"/>
        <v>0</v>
      </c>
      <c r="AB68" s="39">
        <f t="shared" si="23"/>
        <v>0</v>
      </c>
      <c r="AC68" s="39">
        <f t="shared" si="24"/>
        <v>39976734990068</v>
      </c>
      <c r="AD68" s="39">
        <f t="shared" si="25"/>
        <v>67</v>
      </c>
      <c r="AE68" s="39" t="str">
        <f t="shared" si="26"/>
        <v>Email</v>
      </c>
      <c r="AF68" s="106">
        <f t="shared" si="27"/>
        <v>46269.369189814817</v>
      </c>
      <c r="AG68" s="39">
        <f t="shared" si="28"/>
        <v>1</v>
      </c>
      <c r="AH68" s="39">
        <f t="shared" si="29"/>
        <v>0</v>
      </c>
      <c r="AI68" s="39">
        <f>IF(AND($E68="timed",$N68&gt;=Settings!$C$9),1,0)</f>
        <v>0</v>
      </c>
      <c r="AJ68" s="39">
        <f>IF(OR($S68="",Settings!$C$16=""),"",IF($S68&lt;=Settings!$C$16,1,2))</f>
        <v>2</v>
      </c>
      <c r="AK68" s="39">
        <f>IF($C68="","",IFERROR(IF(INDEX(Settings!$C$20:$C$59,MATCH($C68,Settings!$B$20:$B$59,0))="",Settings!$C$10,INDEX(Settings!$C$20:$C$59,MATCH($C68,Settings!$B$20:$B$59,0))),Settings!$C$10))</f>
        <v>38.42</v>
      </c>
      <c r="AL68" s="108">
        <f t="shared" si="30"/>
        <v>0.44</v>
      </c>
      <c r="AM68" s="39">
        <f t="shared" si="31"/>
        <v>46269</v>
      </c>
      <c r="AN68" s="39" t="str">
        <f t="shared" si="32"/>
        <v/>
      </c>
      <c r="AO68" s="39">
        <f t="shared" si="33"/>
        <v>39976735400068</v>
      </c>
      <c r="AP68" s="39">
        <f t="shared" si="34"/>
        <v>0</v>
      </c>
      <c r="AQ68" s="39">
        <f t="shared" si="35"/>
        <v>0</v>
      </c>
    </row>
    <row r="69" spans="1:43" x14ac:dyDescent="0.25">
      <c r="A69" s="113">
        <v>46269</v>
      </c>
      <c r="B69" t="s">
        <v>293</v>
      </c>
      <c r="C69" t="s">
        <v>293</v>
      </c>
      <c r="D69" t="s">
        <v>288</v>
      </c>
      <c r="E69" t="s">
        <v>289</v>
      </c>
      <c r="F69" t="s">
        <v>434</v>
      </c>
      <c r="G69" t="s">
        <v>435</v>
      </c>
      <c r="H69">
        <v>4.3899999999999997</v>
      </c>
      <c r="I69">
        <v>3</v>
      </c>
      <c r="K69" t="s">
        <v>292</v>
      </c>
      <c r="L69" t="s">
        <v>428</v>
      </c>
      <c r="N69" s="105">
        <f t="shared" si="18"/>
        <v>4.3899999999999997</v>
      </c>
      <c r="O69" s="106">
        <f>IF($F69="","",IF(ISNUMBER($F69),$F69+Settings!$C$7/24,IFERROR(DATEVALUE(LEFT($F69,10))+TIMEVALUE(MID($F69,12,8))+Settings!$C$7/24,"")))</f>
        <v>46269.369699074072</v>
      </c>
      <c r="P69" s="106">
        <f>IF($G69="","",IF(ISNUMBER($G69),$G69+Settings!$C$7/24,IFERROR(DATEVALUE(LEFT($G69,10))+TIMEVALUE(MID($G69,12,8))+Settings!$C$7/24,"")))</f>
        <v>46269.372743055559</v>
      </c>
      <c r="Q69" s="39">
        <f t="shared" si="19"/>
        <v>8</v>
      </c>
      <c r="R69" s="39">
        <f t="shared" si="20"/>
        <v>5</v>
      </c>
      <c r="S69" s="107">
        <f t="shared" si="21"/>
        <v>46269</v>
      </c>
      <c r="T69" s="39">
        <f>IF($C69="","",IF(COUNTIF($C$2:$C69,$C69)=1,1,0))</f>
        <v>0</v>
      </c>
      <c r="U69" s="39" t="str">
        <f>IF($T69=1,COUNTIF($T$2:$T69,1),"")</f>
        <v/>
      </c>
      <c r="V69" s="39">
        <f>IF($B69="","",IF(COUNTIF($B$2:$B69,$B69)=1,1,0))</f>
        <v>0</v>
      </c>
      <c r="W69" s="39" t="str">
        <f>IF($V69=1,COUNTIF($V$2:$V69,1),"")</f>
        <v/>
      </c>
      <c r="X69" s="39">
        <f>IF($A69="","",IF(COUNTIF($A$2:$A69,$A69)=1,1,0))</f>
        <v>0</v>
      </c>
      <c r="Y69" s="39" t="str">
        <f>IF($X69=1,COUNTIF($X$2:$X69,1),"")</f>
        <v/>
      </c>
      <c r="Z69" s="39">
        <f>IF(AND($E69="timed",$N69&gt;Settings!$C$8),1,0)</f>
        <v>0</v>
      </c>
      <c r="AA69" s="39">
        <f t="shared" si="22"/>
        <v>0</v>
      </c>
      <c r="AB69" s="39">
        <f t="shared" si="23"/>
        <v>3</v>
      </c>
      <c r="AC69" s="39">
        <f t="shared" si="24"/>
        <v>39976735420069</v>
      </c>
      <c r="AD69" s="39">
        <f t="shared" si="25"/>
        <v>68</v>
      </c>
      <c r="AE69" s="39" t="str">
        <f t="shared" si="26"/>
        <v>Zendesk Tickets</v>
      </c>
      <c r="AF69" s="106">
        <f t="shared" si="27"/>
        <v>46269.369675925926</v>
      </c>
      <c r="AG69" s="39">
        <f t="shared" si="28"/>
        <v>0</v>
      </c>
      <c r="AH69" s="39">
        <f t="shared" si="29"/>
        <v>0</v>
      </c>
      <c r="AI69" s="39">
        <f>IF(AND($E69="timed",$N69&gt;=Settings!$C$9),1,0)</f>
        <v>0</v>
      </c>
      <c r="AJ69" s="39">
        <f>IF(OR($S69="",Settings!$C$16=""),"",IF($S69&lt;=Settings!$C$16,1,2))</f>
        <v>2</v>
      </c>
      <c r="AK69" s="39">
        <f>IF($C69="","",IFERROR(IF(INDEX(Settings!$C$20:$C$59,MATCH($C69,Settings!$B$20:$B$59,0))="",Settings!$C$10,INDEX(Settings!$C$20:$C$59,MATCH($C69,Settings!$B$20:$B$59,0))),Settings!$C$10))</f>
        <v>38.42</v>
      </c>
      <c r="AL69" s="108">
        <f t="shared" si="30"/>
        <v>2.81</v>
      </c>
      <c r="AM69" s="39">
        <f t="shared" si="31"/>
        <v>46269</v>
      </c>
      <c r="AN69" s="39" t="str">
        <f t="shared" si="32"/>
        <v/>
      </c>
      <c r="AO69" s="39">
        <f t="shared" si="33"/>
        <v>39976738050069</v>
      </c>
      <c r="AP69" s="39">
        <f t="shared" si="34"/>
        <v>0</v>
      </c>
      <c r="AQ69" s="39">
        <f t="shared" si="35"/>
        <v>0</v>
      </c>
    </row>
    <row r="70" spans="1:43" x14ac:dyDescent="0.25">
      <c r="A70" s="113">
        <v>46269</v>
      </c>
      <c r="B70" t="s">
        <v>322</v>
      </c>
      <c r="C70" t="s">
        <v>322</v>
      </c>
      <c r="D70" t="s">
        <v>288</v>
      </c>
      <c r="E70" t="s">
        <v>289</v>
      </c>
      <c r="F70" t="s">
        <v>435</v>
      </c>
      <c r="G70" t="s">
        <v>436</v>
      </c>
      <c r="H70">
        <v>48.53</v>
      </c>
      <c r="I70">
        <v>0</v>
      </c>
      <c r="K70" t="s">
        <v>292</v>
      </c>
      <c r="N70" s="105">
        <f t="shared" si="18"/>
        <v>48.53</v>
      </c>
      <c r="O70" s="106">
        <f>IF($F70="","",IF(ISNUMBER($F70),$F70+Settings!$C$7/24,IFERROR(DATEVALUE(LEFT($F70,10))+TIMEVALUE(MID($F70,12,8))+Settings!$C$7/24,"")))</f>
        <v>46269.372743055559</v>
      </c>
      <c r="P70" s="106">
        <f>IF($G70="","",IF(ISNUMBER($G70),$G70+Settings!$C$7/24,IFERROR(DATEVALUE(LEFT($G70,10))+TIMEVALUE(MID($G70,12,8))+Settings!$C$7/24,"")))</f>
        <v>46269.406435185185</v>
      </c>
      <c r="Q70" s="39">
        <f t="shared" si="19"/>
        <v>8</v>
      </c>
      <c r="R70" s="39">
        <f t="shared" si="20"/>
        <v>5</v>
      </c>
      <c r="S70" s="107">
        <f t="shared" si="21"/>
        <v>46269</v>
      </c>
      <c r="T70" s="39">
        <f>IF($C70="","",IF(COUNTIF($C$2:$C70,$C70)=1,1,0))</f>
        <v>0</v>
      </c>
      <c r="U70" s="39" t="str">
        <f>IF($T70=1,COUNTIF($T$2:$T70,1),"")</f>
        <v/>
      </c>
      <c r="V70" s="39">
        <f>IF($B70="","",IF(COUNTIF($B$2:$B70,$B70)=1,1,0))</f>
        <v>0</v>
      </c>
      <c r="W70" s="39" t="str">
        <f>IF($V70=1,COUNTIF($V$2:$V70,1),"")</f>
        <v/>
      </c>
      <c r="X70" s="39">
        <f>IF($A70="","",IF(COUNTIF($A$2:$A70,$A70)=1,1,0))</f>
        <v>0</v>
      </c>
      <c r="Y70" s="39" t="str">
        <f>IF($X70=1,COUNTIF($X$2:$X70,1),"")</f>
        <v/>
      </c>
      <c r="Z70" s="39">
        <f>IF(AND($E70="timed",$N70&gt;Settings!$C$8),1,0)</f>
        <v>0</v>
      </c>
      <c r="AA70" s="39">
        <f t="shared" si="22"/>
        <v>0</v>
      </c>
      <c r="AB70" s="39">
        <f t="shared" si="23"/>
        <v>0</v>
      </c>
      <c r="AC70" s="39">
        <f t="shared" si="24"/>
        <v>39976738050070</v>
      </c>
      <c r="AD70" s="39">
        <f t="shared" si="25"/>
        <v>69</v>
      </c>
      <c r="AE70" s="39" t="str">
        <f t="shared" si="26"/>
        <v>Zendesk Tickets</v>
      </c>
      <c r="AF70" s="106">
        <f t="shared" si="27"/>
        <v>46269.372743055559</v>
      </c>
      <c r="AG70" s="39">
        <f t="shared" si="28"/>
        <v>1</v>
      </c>
      <c r="AH70" s="39">
        <f t="shared" si="29"/>
        <v>0</v>
      </c>
      <c r="AI70" s="39">
        <f>IF(AND($E70="timed",$N70&gt;=Settings!$C$9),1,0)</f>
        <v>1</v>
      </c>
      <c r="AJ70" s="39">
        <f>IF(OR($S70="",Settings!$C$16=""),"",IF($S70&lt;=Settings!$C$16,1,2))</f>
        <v>2</v>
      </c>
      <c r="AK70" s="39">
        <f>IF($C70="","",IFERROR(IF(INDEX(Settings!$C$20:$C$59,MATCH($C70,Settings!$B$20:$B$59,0))="",Settings!$C$10,INDEX(Settings!$C$20:$C$59,MATCH($C70,Settings!$B$20:$B$59,0))),Settings!$C$10))</f>
        <v>38.42</v>
      </c>
      <c r="AL70" s="108">
        <f t="shared" si="30"/>
        <v>31.08</v>
      </c>
      <c r="AM70" s="39">
        <f t="shared" si="31"/>
        <v>46269</v>
      </c>
      <c r="AN70" s="39" t="str">
        <f t="shared" si="32"/>
        <v/>
      </c>
      <c r="AO70" s="39">
        <f t="shared" si="33"/>
        <v>39976767160070</v>
      </c>
      <c r="AP70" s="39">
        <f t="shared" si="34"/>
        <v>0</v>
      </c>
      <c r="AQ70" s="39">
        <f t="shared" si="35"/>
        <v>0</v>
      </c>
    </row>
    <row r="71" spans="1:43" x14ac:dyDescent="0.25">
      <c r="A71" s="113">
        <v>46269</v>
      </c>
      <c r="B71" t="s">
        <v>382</v>
      </c>
      <c r="C71" t="s">
        <v>382</v>
      </c>
      <c r="D71" t="s">
        <v>288</v>
      </c>
      <c r="E71" t="s">
        <v>289</v>
      </c>
      <c r="F71" t="s">
        <v>437</v>
      </c>
      <c r="G71" t="s">
        <v>438</v>
      </c>
      <c r="H71">
        <v>16.03</v>
      </c>
      <c r="I71">
        <v>0</v>
      </c>
      <c r="K71" t="s">
        <v>292</v>
      </c>
      <c r="L71" t="s">
        <v>439</v>
      </c>
      <c r="N71" s="105">
        <f t="shared" si="18"/>
        <v>16.03</v>
      </c>
      <c r="O71" s="106">
        <f>IF($F71="","",IF(ISNUMBER($F71),$F71+Settings!$C$7/24,IFERROR(DATEVALUE(LEFT($F71,10))+TIMEVALUE(MID($F71,12,8))+Settings!$C$7/24,"")))</f>
        <v>46269.406504629631</v>
      </c>
      <c r="P71" s="106">
        <f>IF($G71="","",IF(ISNUMBER($G71),$G71+Settings!$C$7/24,IFERROR(DATEVALUE(LEFT($G71,10))+TIMEVALUE(MID($G71,12,8))+Settings!$C$7/24,"")))</f>
        <v>46269.417638888888</v>
      </c>
      <c r="Q71" s="39">
        <f t="shared" si="19"/>
        <v>9</v>
      </c>
      <c r="R71" s="39">
        <f t="shared" si="20"/>
        <v>5</v>
      </c>
      <c r="S71" s="107">
        <f t="shared" si="21"/>
        <v>46269</v>
      </c>
      <c r="T71" s="39">
        <f>IF($C71="","",IF(COUNTIF($C$2:$C71,$C71)=1,1,0))</f>
        <v>0</v>
      </c>
      <c r="U71" s="39" t="str">
        <f>IF($T71=1,COUNTIF($T$2:$T71,1),"")</f>
        <v/>
      </c>
      <c r="V71" s="39">
        <f>IF($B71="","",IF(COUNTIF($B$2:$B71,$B71)=1,1,0))</f>
        <v>0</v>
      </c>
      <c r="W71" s="39" t="str">
        <f>IF($V71=1,COUNTIF($V$2:$V71,1),"")</f>
        <v/>
      </c>
      <c r="X71" s="39">
        <f>IF($A71="","",IF(COUNTIF($A$2:$A71,$A71)=1,1,0))</f>
        <v>0</v>
      </c>
      <c r="Y71" s="39" t="str">
        <f>IF($X71=1,COUNTIF($X$2:$X71,1),"")</f>
        <v/>
      </c>
      <c r="Z71" s="39">
        <f>IF(AND($E71="timed",$N71&gt;Settings!$C$8),1,0)</f>
        <v>0</v>
      </c>
      <c r="AA71" s="39">
        <f t="shared" si="22"/>
        <v>0</v>
      </c>
      <c r="AB71" s="39">
        <f t="shared" si="23"/>
        <v>0</v>
      </c>
      <c r="AC71" s="39">
        <f t="shared" si="24"/>
        <v>39976767220071</v>
      </c>
      <c r="AD71" s="39">
        <f t="shared" si="25"/>
        <v>70</v>
      </c>
      <c r="AE71" s="39" t="str">
        <f t="shared" si="26"/>
        <v>Admin</v>
      </c>
      <c r="AF71" s="106">
        <f t="shared" si="27"/>
        <v>46269.406435185185</v>
      </c>
      <c r="AG71" s="39">
        <f t="shared" si="28"/>
        <v>1</v>
      </c>
      <c r="AH71" s="39">
        <f t="shared" si="29"/>
        <v>0</v>
      </c>
      <c r="AI71" s="39">
        <f>IF(AND($E71="timed",$N71&gt;=Settings!$C$9),1,0)</f>
        <v>0</v>
      </c>
      <c r="AJ71" s="39">
        <f>IF(OR($S71="",Settings!$C$16=""),"",IF($S71&lt;=Settings!$C$16,1,2))</f>
        <v>2</v>
      </c>
      <c r="AK71" s="39">
        <f>IF($C71="","",IFERROR(IF(INDEX(Settings!$C$20:$C$59,MATCH($C71,Settings!$B$20:$B$59,0))="",Settings!$C$10,INDEX(Settings!$C$20:$C$59,MATCH($C71,Settings!$B$20:$B$59,0))),Settings!$C$10))</f>
        <v>38.42</v>
      </c>
      <c r="AL71" s="108">
        <f t="shared" si="30"/>
        <v>10.26</v>
      </c>
      <c r="AM71" s="39">
        <f t="shared" si="31"/>
        <v>46269</v>
      </c>
      <c r="AN71" s="39" t="str">
        <f t="shared" si="32"/>
        <v/>
      </c>
      <c r="AO71" s="39">
        <f t="shared" si="33"/>
        <v>39976776840071</v>
      </c>
      <c r="AP71" s="39">
        <f t="shared" si="34"/>
        <v>0</v>
      </c>
      <c r="AQ71" s="39">
        <f t="shared" si="35"/>
        <v>0</v>
      </c>
    </row>
    <row r="72" spans="1:43" x14ac:dyDescent="0.25">
      <c r="A72" s="113">
        <v>46269</v>
      </c>
      <c r="B72" t="s">
        <v>382</v>
      </c>
      <c r="C72" t="s">
        <v>382</v>
      </c>
      <c r="D72" t="s">
        <v>288</v>
      </c>
      <c r="E72" t="s">
        <v>289</v>
      </c>
      <c r="F72" t="s">
        <v>440</v>
      </c>
      <c r="G72" t="s">
        <v>441</v>
      </c>
      <c r="H72">
        <v>4.03</v>
      </c>
      <c r="I72">
        <v>0</v>
      </c>
      <c r="K72" t="s">
        <v>292</v>
      </c>
      <c r="L72" t="s">
        <v>442</v>
      </c>
      <c r="N72" s="105">
        <f t="shared" si="18"/>
        <v>4.03</v>
      </c>
      <c r="O72" s="106">
        <f>IF($F72="","",IF(ISNUMBER($F72),$F72+Settings!$C$7/24,IFERROR(DATEVALUE(LEFT($F72,10))+TIMEVALUE(MID($F72,12,8))+Settings!$C$7/24,"")))</f>
        <v>46269.417800925927</v>
      </c>
      <c r="P72" s="106">
        <f>IF($G72="","",IF(ISNUMBER($G72),$G72+Settings!$C$7/24,IFERROR(DATEVALUE(LEFT($G72,10))+TIMEVALUE(MID($G72,12,8))+Settings!$C$7/24,"")))</f>
        <v>46269.420601851853</v>
      </c>
      <c r="Q72" s="39">
        <f t="shared" si="19"/>
        <v>10</v>
      </c>
      <c r="R72" s="39">
        <f t="shared" si="20"/>
        <v>5</v>
      </c>
      <c r="S72" s="107">
        <f t="shared" si="21"/>
        <v>46269</v>
      </c>
      <c r="T72" s="39">
        <f>IF($C72="","",IF(COUNTIF($C$2:$C72,$C72)=1,1,0))</f>
        <v>0</v>
      </c>
      <c r="U72" s="39" t="str">
        <f>IF($T72=1,COUNTIF($T$2:$T72,1),"")</f>
        <v/>
      </c>
      <c r="V72" s="39">
        <f>IF($B72="","",IF(COUNTIF($B$2:$B72,$B72)=1,1,0))</f>
        <v>0</v>
      </c>
      <c r="W72" s="39" t="str">
        <f>IF($V72=1,COUNTIF($V$2:$V72,1),"")</f>
        <v/>
      </c>
      <c r="X72" s="39">
        <f>IF($A72="","",IF(COUNTIF($A$2:$A72,$A72)=1,1,0))</f>
        <v>0</v>
      </c>
      <c r="Y72" s="39" t="str">
        <f>IF($X72=1,COUNTIF($X$2:$X72,1),"")</f>
        <v/>
      </c>
      <c r="Z72" s="39">
        <f>IF(AND($E72="timed",$N72&gt;Settings!$C$8),1,0)</f>
        <v>0</v>
      </c>
      <c r="AA72" s="39">
        <f t="shared" si="22"/>
        <v>0</v>
      </c>
      <c r="AB72" s="39">
        <f t="shared" si="23"/>
        <v>0</v>
      </c>
      <c r="AC72" s="39">
        <f t="shared" si="24"/>
        <v>39976776980072</v>
      </c>
      <c r="AD72" s="39">
        <f t="shared" si="25"/>
        <v>71</v>
      </c>
      <c r="AE72" s="39" t="str">
        <f t="shared" si="26"/>
        <v>Meetings</v>
      </c>
      <c r="AF72" s="106">
        <f t="shared" si="27"/>
        <v>46269.417638888888</v>
      </c>
      <c r="AG72" s="39">
        <f t="shared" si="28"/>
        <v>0</v>
      </c>
      <c r="AH72" s="39">
        <f t="shared" si="29"/>
        <v>0</v>
      </c>
      <c r="AI72" s="39">
        <f>IF(AND($E72="timed",$N72&gt;=Settings!$C$9),1,0)</f>
        <v>0</v>
      </c>
      <c r="AJ72" s="39">
        <f>IF(OR($S72="",Settings!$C$16=""),"",IF($S72&lt;=Settings!$C$16,1,2))</f>
        <v>2</v>
      </c>
      <c r="AK72" s="39">
        <f>IF($C72="","",IFERROR(IF(INDEX(Settings!$C$20:$C$59,MATCH($C72,Settings!$B$20:$B$59,0))="",Settings!$C$10,INDEX(Settings!$C$20:$C$59,MATCH($C72,Settings!$B$20:$B$59,0))),Settings!$C$10))</f>
        <v>38.42</v>
      </c>
      <c r="AL72" s="108">
        <f t="shared" si="30"/>
        <v>2.58</v>
      </c>
      <c r="AM72" s="39">
        <f t="shared" si="31"/>
        <v>46269</v>
      </c>
      <c r="AN72" s="39" t="str">
        <f t="shared" si="32"/>
        <v/>
      </c>
      <c r="AO72" s="39">
        <f t="shared" si="33"/>
        <v>39976779400072</v>
      </c>
      <c r="AP72" s="39">
        <f t="shared" si="34"/>
        <v>0</v>
      </c>
      <c r="AQ72" s="39">
        <f t="shared" si="35"/>
        <v>0</v>
      </c>
    </row>
    <row r="73" spans="1:43" x14ac:dyDescent="0.25">
      <c r="A73" s="113">
        <v>46269</v>
      </c>
      <c r="B73" t="s">
        <v>293</v>
      </c>
      <c r="C73" t="s">
        <v>293</v>
      </c>
      <c r="D73" t="s">
        <v>288</v>
      </c>
      <c r="E73" t="s">
        <v>289</v>
      </c>
      <c r="F73" t="s">
        <v>443</v>
      </c>
      <c r="G73" t="s">
        <v>444</v>
      </c>
      <c r="H73">
        <v>24.82</v>
      </c>
      <c r="I73">
        <v>0</v>
      </c>
      <c r="K73" t="s">
        <v>292</v>
      </c>
      <c r="N73" s="105">
        <f t="shared" si="18"/>
        <v>24.82</v>
      </c>
      <c r="O73" s="106">
        <f>IF($F73="","",IF(ISNUMBER($F73),$F73+Settings!$C$7/24,IFERROR(DATEVALUE(LEFT($F73,10))+TIMEVALUE(MID($F73,12,8))+Settings!$C$7/24,"")))</f>
        <v>46269.420636574076</v>
      </c>
      <c r="P73" s="106">
        <f>IF($G73="","",IF(ISNUMBER($G73),$G73+Settings!$C$7/24,IFERROR(DATEVALUE(LEFT($G73,10))+TIMEVALUE(MID($G73,12,8))+Settings!$C$7/24,"")))</f>
        <v>46269.43787037037</v>
      </c>
      <c r="Q73" s="39">
        <f t="shared" si="19"/>
        <v>10</v>
      </c>
      <c r="R73" s="39">
        <f t="shared" si="20"/>
        <v>5</v>
      </c>
      <c r="S73" s="107">
        <f t="shared" si="21"/>
        <v>46269</v>
      </c>
      <c r="T73" s="39">
        <f>IF($C73="","",IF(COUNTIF($C$2:$C73,$C73)=1,1,0))</f>
        <v>0</v>
      </c>
      <c r="U73" s="39" t="str">
        <f>IF($T73=1,COUNTIF($T$2:$T73,1),"")</f>
        <v/>
      </c>
      <c r="V73" s="39">
        <f>IF($B73="","",IF(COUNTIF($B$2:$B73,$B73)=1,1,0))</f>
        <v>0</v>
      </c>
      <c r="W73" s="39" t="str">
        <f>IF($V73=1,COUNTIF($V$2:$V73,1),"")</f>
        <v/>
      </c>
      <c r="X73" s="39">
        <f>IF($A73="","",IF(COUNTIF($A$2:$A73,$A73)=1,1,0))</f>
        <v>0</v>
      </c>
      <c r="Y73" s="39" t="str">
        <f>IF($X73=1,COUNTIF($X$2:$X73,1),"")</f>
        <v/>
      </c>
      <c r="Z73" s="39">
        <f>IF(AND($E73="timed",$N73&gt;Settings!$C$8),1,0)</f>
        <v>0</v>
      </c>
      <c r="AA73" s="39">
        <f t="shared" si="22"/>
        <v>0</v>
      </c>
      <c r="AB73" s="39">
        <f t="shared" si="23"/>
        <v>0</v>
      </c>
      <c r="AC73" s="39">
        <f t="shared" si="24"/>
        <v>39976779430073</v>
      </c>
      <c r="AD73" s="39">
        <f t="shared" si="25"/>
        <v>72</v>
      </c>
      <c r="AE73" s="39" t="str">
        <f t="shared" si="26"/>
        <v>Meetings</v>
      </c>
      <c r="AF73" s="106">
        <f t="shared" si="27"/>
        <v>46269.420601851853</v>
      </c>
      <c r="AG73" s="39">
        <f t="shared" si="28"/>
        <v>1</v>
      </c>
      <c r="AH73" s="39">
        <f t="shared" si="29"/>
        <v>0</v>
      </c>
      <c r="AI73" s="39">
        <f>IF(AND($E73="timed",$N73&gt;=Settings!$C$9),1,0)</f>
        <v>0</v>
      </c>
      <c r="AJ73" s="39">
        <f>IF(OR($S73="",Settings!$C$16=""),"",IF($S73&lt;=Settings!$C$16,1,2))</f>
        <v>2</v>
      </c>
      <c r="AK73" s="39">
        <f>IF($C73="","",IFERROR(IF(INDEX(Settings!$C$20:$C$59,MATCH($C73,Settings!$B$20:$B$59,0))="",Settings!$C$10,INDEX(Settings!$C$20:$C$59,MATCH($C73,Settings!$B$20:$B$59,0))),Settings!$C$10))</f>
        <v>38.42</v>
      </c>
      <c r="AL73" s="108">
        <f t="shared" si="30"/>
        <v>15.89</v>
      </c>
      <c r="AM73" s="39">
        <f t="shared" si="31"/>
        <v>46269</v>
      </c>
      <c r="AN73" s="39" t="str">
        <f t="shared" si="32"/>
        <v/>
      </c>
      <c r="AO73" s="39">
        <f t="shared" si="33"/>
        <v>39976794320073</v>
      </c>
      <c r="AP73" s="39">
        <f t="shared" si="34"/>
        <v>0</v>
      </c>
      <c r="AQ73" s="39">
        <f t="shared" si="35"/>
        <v>0</v>
      </c>
    </row>
    <row r="74" spans="1:43" x14ac:dyDescent="0.25">
      <c r="A74" s="113">
        <v>46269</v>
      </c>
      <c r="B74" t="s">
        <v>296</v>
      </c>
      <c r="C74" t="s">
        <v>296</v>
      </c>
      <c r="D74" t="s">
        <v>288</v>
      </c>
      <c r="E74" t="s">
        <v>289</v>
      </c>
      <c r="F74" t="s">
        <v>445</v>
      </c>
      <c r="G74" t="s">
        <v>446</v>
      </c>
      <c r="H74">
        <v>6.75</v>
      </c>
      <c r="I74">
        <v>0</v>
      </c>
      <c r="K74" t="s">
        <v>292</v>
      </c>
      <c r="L74" t="s">
        <v>447</v>
      </c>
      <c r="N74" s="105">
        <f t="shared" si="18"/>
        <v>6.75</v>
      </c>
      <c r="O74" s="106">
        <f>IF($F74="","",IF(ISNUMBER($F74),$F74+Settings!$C$7/24,IFERROR(DATEVALUE(LEFT($F74,10))+TIMEVALUE(MID($F74,12,8))+Settings!$C$7/24,"")))</f>
        <v>46269.437905092593</v>
      </c>
      <c r="P74" s="106">
        <f>IF($G74="","",IF(ISNUMBER($G74),$G74+Settings!$C$7/24,IFERROR(DATEVALUE(LEFT($G74,10))+TIMEVALUE(MID($G74,12,8))+Settings!$C$7/24,"")))</f>
        <v>46269.44259259259</v>
      </c>
      <c r="Q74" s="39">
        <f t="shared" si="19"/>
        <v>10</v>
      </c>
      <c r="R74" s="39">
        <f t="shared" si="20"/>
        <v>5</v>
      </c>
      <c r="S74" s="107">
        <f t="shared" si="21"/>
        <v>46269</v>
      </c>
      <c r="T74" s="39">
        <f>IF($C74="","",IF(COUNTIF($C$2:$C74,$C74)=1,1,0))</f>
        <v>0</v>
      </c>
      <c r="U74" s="39" t="str">
        <f>IF($T74=1,COUNTIF($T$2:$T74,1),"")</f>
        <v/>
      </c>
      <c r="V74" s="39">
        <f>IF($B74="","",IF(COUNTIF($B$2:$B74,$B74)=1,1,0))</f>
        <v>0</v>
      </c>
      <c r="W74" s="39" t="str">
        <f>IF($V74=1,COUNTIF($V$2:$V74,1),"")</f>
        <v/>
      </c>
      <c r="X74" s="39">
        <f>IF($A74="","",IF(COUNTIF($A$2:$A74,$A74)=1,1,0))</f>
        <v>0</v>
      </c>
      <c r="Y74" s="39" t="str">
        <f>IF($X74=1,COUNTIF($X$2:$X74,1),"")</f>
        <v/>
      </c>
      <c r="Z74" s="39">
        <f>IF(AND($E74="timed",$N74&gt;Settings!$C$8),1,0)</f>
        <v>0</v>
      </c>
      <c r="AA74" s="39">
        <f t="shared" si="22"/>
        <v>0</v>
      </c>
      <c r="AB74" s="39">
        <f t="shared" si="23"/>
        <v>0</v>
      </c>
      <c r="AC74" s="39">
        <f t="shared" si="24"/>
        <v>39976794350074</v>
      </c>
      <c r="AD74" s="39">
        <f t="shared" si="25"/>
        <v>73</v>
      </c>
      <c r="AE74" s="39" t="str">
        <f t="shared" si="26"/>
        <v>Zendesk Tickets</v>
      </c>
      <c r="AF74" s="106">
        <f t="shared" si="27"/>
        <v>46269.43787037037</v>
      </c>
      <c r="AG74" s="39">
        <f t="shared" si="28"/>
        <v>1</v>
      </c>
      <c r="AH74" s="39">
        <f t="shared" si="29"/>
        <v>0</v>
      </c>
      <c r="AI74" s="39">
        <f>IF(AND($E74="timed",$N74&gt;=Settings!$C$9),1,0)</f>
        <v>0</v>
      </c>
      <c r="AJ74" s="39">
        <f>IF(OR($S74="",Settings!$C$16=""),"",IF($S74&lt;=Settings!$C$16,1,2))</f>
        <v>2</v>
      </c>
      <c r="AK74" s="39">
        <f>IF($C74="","",IFERROR(IF(INDEX(Settings!$C$20:$C$59,MATCH($C74,Settings!$B$20:$B$59,0))="",Settings!$C$10,INDEX(Settings!$C$20:$C$59,MATCH($C74,Settings!$B$20:$B$59,0))),Settings!$C$10))</f>
        <v>38.42</v>
      </c>
      <c r="AL74" s="108">
        <f t="shared" si="30"/>
        <v>4.32</v>
      </c>
      <c r="AM74" s="39">
        <f t="shared" si="31"/>
        <v>46269</v>
      </c>
      <c r="AN74" s="39" t="str">
        <f t="shared" si="32"/>
        <v/>
      </c>
      <c r="AO74" s="39">
        <f t="shared" si="33"/>
        <v>39976798400074</v>
      </c>
      <c r="AP74" s="39">
        <f t="shared" si="34"/>
        <v>0</v>
      </c>
      <c r="AQ74" s="39">
        <f t="shared" si="35"/>
        <v>0</v>
      </c>
    </row>
    <row r="75" spans="1:43" x14ac:dyDescent="0.25">
      <c r="A75" s="113">
        <v>46269</v>
      </c>
      <c r="B75" t="s">
        <v>342</v>
      </c>
      <c r="C75" t="s">
        <v>342</v>
      </c>
      <c r="D75" t="s">
        <v>288</v>
      </c>
      <c r="E75" t="s">
        <v>289</v>
      </c>
      <c r="F75" t="s">
        <v>448</v>
      </c>
      <c r="G75" t="s">
        <v>449</v>
      </c>
      <c r="H75">
        <v>50.78</v>
      </c>
      <c r="I75">
        <v>1</v>
      </c>
      <c r="K75" t="s">
        <v>292</v>
      </c>
      <c r="L75" t="s">
        <v>450</v>
      </c>
      <c r="N75" s="105">
        <f t="shared" si="18"/>
        <v>50.78</v>
      </c>
      <c r="O75" s="106">
        <f>IF($F75="","",IF(ISNUMBER($F75),$F75+Settings!$C$7/24,IFERROR(DATEVALUE(LEFT($F75,10))+TIMEVALUE(MID($F75,12,8))+Settings!$C$7/24,"")))</f>
        <v>46269.44263888889</v>
      </c>
      <c r="P75" s="106">
        <f>IF($G75="","",IF(ISNUMBER($G75),$G75+Settings!$C$7/24,IFERROR(DATEVALUE(LEFT($G75,10))+TIMEVALUE(MID($G75,12,8))+Settings!$C$7/24,"")))</f>
        <v>46269.477905092594</v>
      </c>
      <c r="Q75" s="39">
        <f t="shared" si="19"/>
        <v>10</v>
      </c>
      <c r="R75" s="39">
        <f t="shared" si="20"/>
        <v>5</v>
      </c>
      <c r="S75" s="107">
        <f t="shared" si="21"/>
        <v>46269</v>
      </c>
      <c r="T75" s="39">
        <f>IF($C75="","",IF(COUNTIF($C$2:$C75,$C75)=1,1,0))</f>
        <v>0</v>
      </c>
      <c r="U75" s="39" t="str">
        <f>IF($T75=1,COUNTIF($T$2:$T75,1),"")</f>
        <v/>
      </c>
      <c r="V75" s="39">
        <f>IF($B75="","",IF(COUNTIF($B$2:$B75,$B75)=1,1,0))</f>
        <v>0</v>
      </c>
      <c r="W75" s="39" t="str">
        <f>IF($V75=1,COUNTIF($V$2:$V75,1),"")</f>
        <v/>
      </c>
      <c r="X75" s="39">
        <f>IF($A75="","",IF(COUNTIF($A$2:$A75,$A75)=1,1,0))</f>
        <v>0</v>
      </c>
      <c r="Y75" s="39" t="str">
        <f>IF($X75=1,COUNTIF($X$2:$X75,1),"")</f>
        <v/>
      </c>
      <c r="Z75" s="39">
        <f>IF(AND($E75="timed",$N75&gt;Settings!$C$8),1,0)</f>
        <v>0</v>
      </c>
      <c r="AA75" s="39">
        <f t="shared" si="22"/>
        <v>0</v>
      </c>
      <c r="AB75" s="39">
        <f t="shared" si="23"/>
        <v>1</v>
      </c>
      <c r="AC75" s="39">
        <f t="shared" si="24"/>
        <v>39976798440075</v>
      </c>
      <c r="AD75" s="39">
        <f t="shared" si="25"/>
        <v>74</v>
      </c>
      <c r="AE75" s="39" t="str">
        <f t="shared" si="26"/>
        <v>Teams Communications</v>
      </c>
      <c r="AF75" s="106">
        <f t="shared" si="27"/>
        <v>46269.44259259259</v>
      </c>
      <c r="AG75" s="39">
        <f t="shared" si="28"/>
        <v>1</v>
      </c>
      <c r="AH75" s="39">
        <f t="shared" si="29"/>
        <v>0</v>
      </c>
      <c r="AI75" s="39">
        <f>IF(AND($E75="timed",$N75&gt;=Settings!$C$9),1,0)</f>
        <v>1</v>
      </c>
      <c r="AJ75" s="39">
        <f>IF(OR($S75="",Settings!$C$16=""),"",IF($S75&lt;=Settings!$C$16,1,2))</f>
        <v>2</v>
      </c>
      <c r="AK75" s="39">
        <f>IF($C75="","",IFERROR(IF(INDEX(Settings!$C$20:$C$59,MATCH($C75,Settings!$B$20:$B$59,0))="",Settings!$C$10,INDEX(Settings!$C$20:$C$59,MATCH($C75,Settings!$B$20:$B$59,0))),Settings!$C$10))</f>
        <v>38.42</v>
      </c>
      <c r="AL75" s="108">
        <f t="shared" si="30"/>
        <v>32.520000000000003</v>
      </c>
      <c r="AM75" s="39">
        <f t="shared" si="31"/>
        <v>46269</v>
      </c>
      <c r="AN75" s="39" t="str">
        <f t="shared" si="32"/>
        <v/>
      </c>
      <c r="AO75" s="39">
        <f t="shared" si="33"/>
        <v>39976828910075</v>
      </c>
      <c r="AP75" s="39">
        <f t="shared" si="34"/>
        <v>0</v>
      </c>
      <c r="AQ75" s="39">
        <f t="shared" si="35"/>
        <v>0</v>
      </c>
    </row>
    <row r="76" spans="1:43" x14ac:dyDescent="0.25">
      <c r="A76" s="113">
        <v>46269</v>
      </c>
      <c r="B76" t="s">
        <v>287</v>
      </c>
      <c r="C76" t="s">
        <v>287</v>
      </c>
      <c r="D76" t="s">
        <v>288</v>
      </c>
      <c r="E76" t="s">
        <v>289</v>
      </c>
      <c r="F76" t="s">
        <v>451</v>
      </c>
      <c r="G76" t="s">
        <v>452</v>
      </c>
      <c r="H76">
        <v>3.35</v>
      </c>
      <c r="I76">
        <v>0</v>
      </c>
      <c r="K76" t="s">
        <v>292</v>
      </c>
      <c r="N76" s="105">
        <f t="shared" si="18"/>
        <v>3.35</v>
      </c>
      <c r="O76" s="106">
        <f>IF($F76="","",IF(ISNUMBER($F76),$F76+Settings!$C$7/24,IFERROR(DATEVALUE(LEFT($F76,10))+TIMEVALUE(MID($F76,12,8))+Settings!$C$7/24,"")))</f>
        <v>46269.478263888886</v>
      </c>
      <c r="P76" s="106">
        <f>IF($G76="","",IF(ISNUMBER($G76),$G76+Settings!$C$7/24,IFERROR(DATEVALUE(LEFT($G76,10))+TIMEVALUE(MID($G76,12,8))+Settings!$C$7/24,"")))</f>
        <v>46269.48060185185</v>
      </c>
      <c r="Q76" s="39">
        <f t="shared" si="19"/>
        <v>11</v>
      </c>
      <c r="R76" s="39">
        <f t="shared" si="20"/>
        <v>5</v>
      </c>
      <c r="S76" s="107">
        <f t="shared" si="21"/>
        <v>46269</v>
      </c>
      <c r="T76" s="39">
        <f>IF($C76="","",IF(COUNTIF($C$2:$C76,$C76)=1,1,0))</f>
        <v>0</v>
      </c>
      <c r="U76" s="39" t="str">
        <f>IF($T76=1,COUNTIF($T$2:$T76,1),"")</f>
        <v/>
      </c>
      <c r="V76" s="39">
        <f>IF($B76="","",IF(COUNTIF($B$2:$B76,$B76)=1,1,0))</f>
        <v>0</v>
      </c>
      <c r="W76" s="39" t="str">
        <f>IF($V76=1,COUNTIF($V$2:$V76,1),"")</f>
        <v/>
      </c>
      <c r="X76" s="39">
        <f>IF($A76="","",IF(COUNTIF($A$2:$A76,$A76)=1,1,0))</f>
        <v>0</v>
      </c>
      <c r="Y76" s="39" t="str">
        <f>IF($X76=1,COUNTIF($X$2:$X76,1),"")</f>
        <v/>
      </c>
      <c r="Z76" s="39">
        <f>IF(AND($E76="timed",$N76&gt;Settings!$C$8),1,0)</f>
        <v>0</v>
      </c>
      <c r="AA76" s="39">
        <f t="shared" si="22"/>
        <v>0</v>
      </c>
      <c r="AB76" s="39">
        <f t="shared" si="23"/>
        <v>0</v>
      </c>
      <c r="AC76" s="39">
        <f t="shared" si="24"/>
        <v>39976829220076</v>
      </c>
      <c r="AD76" s="39">
        <f t="shared" si="25"/>
        <v>75</v>
      </c>
      <c r="AE76" s="39" t="str">
        <f t="shared" si="26"/>
        <v>Project work</v>
      </c>
      <c r="AF76" s="106">
        <f t="shared" si="27"/>
        <v>46269.477905092594</v>
      </c>
      <c r="AG76" s="39">
        <f t="shared" si="28"/>
        <v>1</v>
      </c>
      <c r="AH76" s="39">
        <f t="shared" si="29"/>
        <v>1</v>
      </c>
      <c r="AI76" s="39">
        <f>IF(AND($E76="timed",$N76&gt;=Settings!$C$9),1,0)</f>
        <v>0</v>
      </c>
      <c r="AJ76" s="39">
        <f>IF(OR($S76="",Settings!$C$16=""),"",IF($S76&lt;=Settings!$C$16,1,2))</f>
        <v>2</v>
      </c>
      <c r="AK76" s="39">
        <f>IF($C76="","",IFERROR(IF(INDEX(Settings!$C$20:$C$59,MATCH($C76,Settings!$B$20:$B$59,0))="",Settings!$C$10,INDEX(Settings!$C$20:$C$59,MATCH($C76,Settings!$B$20:$B$59,0))),Settings!$C$10))</f>
        <v>38.42</v>
      </c>
      <c r="AL76" s="108">
        <f t="shared" si="30"/>
        <v>2.15</v>
      </c>
      <c r="AM76" s="39">
        <f t="shared" si="31"/>
        <v>46269</v>
      </c>
      <c r="AN76" s="39" t="str">
        <f t="shared" si="32"/>
        <v/>
      </c>
      <c r="AO76" s="39">
        <f t="shared" si="33"/>
        <v>39976831240076</v>
      </c>
      <c r="AP76" s="39">
        <f t="shared" si="34"/>
        <v>0</v>
      </c>
      <c r="AQ76" s="39">
        <f t="shared" si="35"/>
        <v>0</v>
      </c>
    </row>
    <row r="77" spans="1:43" x14ac:dyDescent="0.25">
      <c r="A77" s="113">
        <v>46269</v>
      </c>
      <c r="B77" t="s">
        <v>322</v>
      </c>
      <c r="C77" t="s">
        <v>322</v>
      </c>
      <c r="D77" t="s">
        <v>288</v>
      </c>
      <c r="E77" t="s">
        <v>289</v>
      </c>
      <c r="F77" t="s">
        <v>453</v>
      </c>
      <c r="G77" t="s">
        <v>454</v>
      </c>
      <c r="H77">
        <v>34.43</v>
      </c>
      <c r="I77">
        <v>0</v>
      </c>
      <c r="K77" t="s">
        <v>292</v>
      </c>
      <c r="L77" t="s">
        <v>455</v>
      </c>
      <c r="N77" s="105">
        <f t="shared" si="18"/>
        <v>34.43</v>
      </c>
      <c r="O77" s="106">
        <f>IF($F77="","",IF(ISNUMBER($F77),$F77+Settings!$C$7/24,IFERROR(DATEVALUE(LEFT($F77,10))+TIMEVALUE(MID($F77,12,8))+Settings!$C$7/24,"")))</f>
        <v>46269.480671296296</v>
      </c>
      <c r="P77" s="106">
        <f>IF($G77="","",IF(ISNUMBER($G77),$G77+Settings!$C$7/24,IFERROR(DATEVALUE(LEFT($G77,10))+TIMEVALUE(MID($G77,12,8))+Settings!$C$7/24,"")))</f>
        <v>46269.504583333335</v>
      </c>
      <c r="Q77" s="39">
        <f t="shared" si="19"/>
        <v>11</v>
      </c>
      <c r="R77" s="39">
        <f t="shared" si="20"/>
        <v>5</v>
      </c>
      <c r="S77" s="107">
        <f t="shared" si="21"/>
        <v>46269</v>
      </c>
      <c r="T77" s="39">
        <f>IF($C77="","",IF(COUNTIF($C$2:$C77,$C77)=1,1,0))</f>
        <v>0</v>
      </c>
      <c r="U77" s="39" t="str">
        <f>IF($T77=1,COUNTIF($T$2:$T77,1),"")</f>
        <v/>
      </c>
      <c r="V77" s="39">
        <f>IF($B77="","",IF(COUNTIF($B$2:$B77,$B77)=1,1,0))</f>
        <v>0</v>
      </c>
      <c r="W77" s="39" t="str">
        <f>IF($V77=1,COUNTIF($V$2:$V77,1),"")</f>
        <v/>
      </c>
      <c r="X77" s="39">
        <f>IF($A77="","",IF(COUNTIF($A$2:$A77,$A77)=1,1,0))</f>
        <v>0</v>
      </c>
      <c r="Y77" s="39" t="str">
        <f>IF($X77=1,COUNTIF($X$2:$X77,1),"")</f>
        <v/>
      </c>
      <c r="Z77" s="39">
        <f>IF(AND($E77="timed",$N77&gt;Settings!$C$8),1,0)</f>
        <v>0</v>
      </c>
      <c r="AA77" s="39">
        <f t="shared" si="22"/>
        <v>0</v>
      </c>
      <c r="AB77" s="39">
        <f t="shared" si="23"/>
        <v>0</v>
      </c>
      <c r="AC77" s="39">
        <f t="shared" si="24"/>
        <v>39976831300077</v>
      </c>
      <c r="AD77" s="39">
        <f t="shared" si="25"/>
        <v>76</v>
      </c>
      <c r="AE77" s="39" t="str">
        <f t="shared" si="26"/>
        <v>Email</v>
      </c>
      <c r="AF77" s="106">
        <f t="shared" si="27"/>
        <v>46269.48060185185</v>
      </c>
      <c r="AG77" s="39">
        <f t="shared" si="28"/>
        <v>1</v>
      </c>
      <c r="AH77" s="39">
        <f t="shared" si="29"/>
        <v>0</v>
      </c>
      <c r="AI77" s="39">
        <f>IF(AND($E77="timed",$N77&gt;=Settings!$C$9),1,0)</f>
        <v>0</v>
      </c>
      <c r="AJ77" s="39">
        <f>IF(OR($S77="",Settings!$C$16=""),"",IF($S77&lt;=Settings!$C$16,1,2))</f>
        <v>2</v>
      </c>
      <c r="AK77" s="39">
        <f>IF($C77="","",IFERROR(IF(INDEX(Settings!$C$20:$C$59,MATCH($C77,Settings!$B$20:$B$59,0))="",Settings!$C$10,INDEX(Settings!$C$20:$C$59,MATCH($C77,Settings!$B$20:$B$59,0))),Settings!$C$10))</f>
        <v>38.42</v>
      </c>
      <c r="AL77" s="108">
        <f t="shared" si="30"/>
        <v>22.05</v>
      </c>
      <c r="AM77" s="39">
        <f t="shared" si="31"/>
        <v>46269</v>
      </c>
      <c r="AN77" s="39" t="str">
        <f t="shared" si="32"/>
        <v/>
      </c>
      <c r="AO77" s="39">
        <f t="shared" si="33"/>
        <v>39976851960077</v>
      </c>
      <c r="AP77" s="39">
        <f t="shared" si="34"/>
        <v>0</v>
      </c>
      <c r="AQ77" s="39">
        <f t="shared" si="35"/>
        <v>0</v>
      </c>
    </row>
    <row r="78" spans="1:43" x14ac:dyDescent="0.25">
      <c r="A78" s="113">
        <v>46269</v>
      </c>
      <c r="B78" t="s">
        <v>311</v>
      </c>
      <c r="C78" t="s">
        <v>311</v>
      </c>
      <c r="D78" t="s">
        <v>288</v>
      </c>
      <c r="E78" t="s">
        <v>289</v>
      </c>
      <c r="F78" t="s">
        <v>456</v>
      </c>
      <c r="G78" t="s">
        <v>457</v>
      </c>
      <c r="H78">
        <v>17.21</v>
      </c>
      <c r="I78">
        <v>0</v>
      </c>
      <c r="K78" t="s">
        <v>292</v>
      </c>
      <c r="N78" s="105">
        <f t="shared" si="18"/>
        <v>17.21</v>
      </c>
      <c r="O78" s="106">
        <f>IF($F78="","",IF(ISNUMBER($F78),$F78+Settings!$C$7/24,IFERROR(DATEVALUE(LEFT($F78,10))+TIMEVALUE(MID($F78,12,8))+Settings!$C$7/24,"")))</f>
        <v>46269.504606481481</v>
      </c>
      <c r="P78" s="106">
        <f>IF($G78="","",IF(ISNUMBER($G78),$G78+Settings!$C$7/24,IFERROR(DATEVALUE(LEFT($G78,10))+TIMEVALUE(MID($G78,12,8))+Settings!$C$7/24,"")))</f>
        <v>46269.516562500001</v>
      </c>
      <c r="Q78" s="39">
        <f t="shared" si="19"/>
        <v>12</v>
      </c>
      <c r="R78" s="39">
        <f t="shared" si="20"/>
        <v>5</v>
      </c>
      <c r="S78" s="107">
        <f t="shared" si="21"/>
        <v>46269</v>
      </c>
      <c r="T78" s="39">
        <f>IF($C78="","",IF(COUNTIF($C$2:$C78,$C78)=1,1,0))</f>
        <v>0</v>
      </c>
      <c r="U78" s="39" t="str">
        <f>IF($T78=1,COUNTIF($T$2:$T78,1),"")</f>
        <v/>
      </c>
      <c r="V78" s="39">
        <f>IF($B78="","",IF(COUNTIF($B$2:$B78,$B78)=1,1,0))</f>
        <v>0</v>
      </c>
      <c r="W78" s="39" t="str">
        <f>IF($V78=1,COUNTIF($V$2:$V78,1),"")</f>
        <v/>
      </c>
      <c r="X78" s="39">
        <f>IF($A78="","",IF(COUNTIF($A$2:$A78,$A78)=1,1,0))</f>
        <v>0</v>
      </c>
      <c r="Y78" s="39" t="str">
        <f>IF($X78=1,COUNTIF($X$2:$X78,1),"")</f>
        <v/>
      </c>
      <c r="Z78" s="39">
        <f>IF(AND($E78="timed",$N78&gt;Settings!$C$8),1,0)</f>
        <v>0</v>
      </c>
      <c r="AA78" s="39">
        <f t="shared" si="22"/>
        <v>0</v>
      </c>
      <c r="AB78" s="39">
        <f t="shared" si="23"/>
        <v>0</v>
      </c>
      <c r="AC78" s="39">
        <f t="shared" si="24"/>
        <v>39976851980078</v>
      </c>
      <c r="AD78" s="39">
        <f t="shared" si="25"/>
        <v>77</v>
      </c>
      <c r="AE78" s="39" t="str">
        <f t="shared" si="26"/>
        <v>Admin</v>
      </c>
      <c r="AF78" s="106">
        <f t="shared" si="27"/>
        <v>46269.504583333335</v>
      </c>
      <c r="AG78" s="39">
        <f t="shared" si="28"/>
        <v>1</v>
      </c>
      <c r="AH78" s="39">
        <f t="shared" si="29"/>
        <v>0</v>
      </c>
      <c r="AI78" s="39">
        <f>IF(AND($E78="timed",$N78&gt;=Settings!$C$9),1,0)</f>
        <v>0</v>
      </c>
      <c r="AJ78" s="39">
        <f>IF(OR($S78="",Settings!$C$16=""),"",IF($S78&lt;=Settings!$C$16,1,2))</f>
        <v>2</v>
      </c>
      <c r="AK78" s="39">
        <f>IF($C78="","",IFERROR(IF(INDEX(Settings!$C$20:$C$59,MATCH($C78,Settings!$B$20:$B$59,0))="",Settings!$C$10,INDEX(Settings!$C$20:$C$59,MATCH($C78,Settings!$B$20:$B$59,0))),Settings!$C$10))</f>
        <v>38.42</v>
      </c>
      <c r="AL78" s="108">
        <f t="shared" si="30"/>
        <v>11.02</v>
      </c>
      <c r="AM78" s="39">
        <f t="shared" si="31"/>
        <v>46269</v>
      </c>
      <c r="AN78" s="39" t="str">
        <f t="shared" si="32"/>
        <v/>
      </c>
      <c r="AO78" s="39">
        <f t="shared" si="33"/>
        <v>39976862310078</v>
      </c>
      <c r="AP78" s="39">
        <f t="shared" si="34"/>
        <v>0</v>
      </c>
      <c r="AQ78" s="39">
        <f t="shared" si="35"/>
        <v>0</v>
      </c>
    </row>
    <row r="79" spans="1:43" x14ac:dyDescent="0.25">
      <c r="A79" s="113">
        <v>46269</v>
      </c>
      <c r="B79" t="s">
        <v>296</v>
      </c>
      <c r="C79" t="s">
        <v>296</v>
      </c>
      <c r="D79" t="s">
        <v>288</v>
      </c>
      <c r="E79" t="s">
        <v>289</v>
      </c>
      <c r="F79" t="s">
        <v>458</v>
      </c>
      <c r="G79" t="s">
        <v>459</v>
      </c>
      <c r="H79">
        <v>35.71</v>
      </c>
      <c r="I79">
        <v>0</v>
      </c>
      <c r="K79" t="s">
        <v>292</v>
      </c>
      <c r="L79" t="s">
        <v>460</v>
      </c>
      <c r="N79" s="105">
        <f t="shared" si="18"/>
        <v>35.71</v>
      </c>
      <c r="O79" s="106">
        <f>IF($F79="","",IF(ISNUMBER($F79),$F79+Settings!$C$7/24,IFERROR(DATEVALUE(LEFT($F79,10))+TIMEVALUE(MID($F79,12,8))+Settings!$C$7/24,"")))</f>
        <v>46269.516597222224</v>
      </c>
      <c r="P79" s="106">
        <f>IF($G79="","",IF(ISNUMBER($G79),$G79+Settings!$C$7/24,IFERROR(DATEVALUE(LEFT($G79,10))+TIMEVALUE(MID($G79,12,8))+Settings!$C$7/24,"")))</f>
        <v>46269.541388888887</v>
      </c>
      <c r="Q79" s="39">
        <f t="shared" si="19"/>
        <v>12</v>
      </c>
      <c r="R79" s="39">
        <f t="shared" si="20"/>
        <v>5</v>
      </c>
      <c r="S79" s="107">
        <f t="shared" si="21"/>
        <v>46269</v>
      </c>
      <c r="T79" s="39">
        <f>IF($C79="","",IF(COUNTIF($C$2:$C79,$C79)=1,1,0))</f>
        <v>0</v>
      </c>
      <c r="U79" s="39" t="str">
        <f>IF($T79=1,COUNTIF($T$2:$T79,1),"")</f>
        <v/>
      </c>
      <c r="V79" s="39">
        <f>IF($B79="","",IF(COUNTIF($B$2:$B79,$B79)=1,1,0))</f>
        <v>0</v>
      </c>
      <c r="W79" s="39" t="str">
        <f>IF($V79=1,COUNTIF($V$2:$V79,1),"")</f>
        <v/>
      </c>
      <c r="X79" s="39">
        <f>IF($A79="","",IF(COUNTIF($A$2:$A79,$A79)=1,1,0))</f>
        <v>0</v>
      </c>
      <c r="Y79" s="39" t="str">
        <f>IF($X79=1,COUNTIF($X$2:$X79,1),"")</f>
        <v/>
      </c>
      <c r="Z79" s="39">
        <f>IF(AND($E79="timed",$N79&gt;Settings!$C$8),1,0)</f>
        <v>0</v>
      </c>
      <c r="AA79" s="39">
        <f t="shared" si="22"/>
        <v>0</v>
      </c>
      <c r="AB79" s="39">
        <f t="shared" si="23"/>
        <v>0</v>
      </c>
      <c r="AC79" s="39">
        <f t="shared" si="24"/>
        <v>39976862340079</v>
      </c>
      <c r="AD79" s="39">
        <f t="shared" si="25"/>
        <v>78</v>
      </c>
      <c r="AE79" s="39" t="str">
        <f t="shared" si="26"/>
        <v>Lunch Break</v>
      </c>
      <c r="AF79" s="106">
        <f t="shared" si="27"/>
        <v>46269.516562500001</v>
      </c>
      <c r="AG79" s="39">
        <f t="shared" si="28"/>
        <v>1</v>
      </c>
      <c r="AH79" s="39">
        <f t="shared" si="29"/>
        <v>0</v>
      </c>
      <c r="AI79" s="39">
        <f>IF(AND($E79="timed",$N79&gt;=Settings!$C$9),1,0)</f>
        <v>0</v>
      </c>
      <c r="AJ79" s="39">
        <f>IF(OR($S79="",Settings!$C$16=""),"",IF($S79&lt;=Settings!$C$16,1,2))</f>
        <v>2</v>
      </c>
      <c r="AK79" s="39">
        <f>IF($C79="","",IFERROR(IF(INDEX(Settings!$C$20:$C$59,MATCH($C79,Settings!$B$20:$B$59,0))="",Settings!$C$10,INDEX(Settings!$C$20:$C$59,MATCH($C79,Settings!$B$20:$B$59,0))),Settings!$C$10))</f>
        <v>38.42</v>
      </c>
      <c r="AL79" s="108">
        <f t="shared" si="30"/>
        <v>22.87</v>
      </c>
      <c r="AM79" s="39">
        <f t="shared" si="31"/>
        <v>46269</v>
      </c>
      <c r="AN79" s="39" t="str">
        <f t="shared" si="32"/>
        <v/>
      </c>
      <c r="AO79" s="39">
        <f t="shared" si="33"/>
        <v>39976883760079</v>
      </c>
      <c r="AP79" s="39">
        <f t="shared" si="34"/>
        <v>0</v>
      </c>
      <c r="AQ79" s="39">
        <f t="shared" si="35"/>
        <v>0</v>
      </c>
    </row>
    <row r="80" spans="1:43" x14ac:dyDescent="0.25">
      <c r="A80" s="113">
        <v>46269</v>
      </c>
      <c r="B80" t="s">
        <v>342</v>
      </c>
      <c r="C80" t="s">
        <v>342</v>
      </c>
      <c r="D80" t="s">
        <v>288</v>
      </c>
      <c r="E80" t="s">
        <v>289</v>
      </c>
      <c r="F80" t="s">
        <v>461</v>
      </c>
      <c r="G80" t="s">
        <v>462</v>
      </c>
      <c r="H80">
        <v>73.78</v>
      </c>
      <c r="I80">
        <v>0</v>
      </c>
      <c r="K80" t="s">
        <v>292</v>
      </c>
      <c r="L80" t="s">
        <v>463</v>
      </c>
      <c r="N80" s="105">
        <f t="shared" si="18"/>
        <v>73.78</v>
      </c>
      <c r="O80" s="106">
        <f>IF($F80="","",IF(ISNUMBER($F80),$F80+Settings!$C$7/24,IFERROR(DATEVALUE(LEFT($F80,10))+TIMEVALUE(MID($F80,12,8))+Settings!$C$7/24,"")))</f>
        <v>46269.541435185187</v>
      </c>
      <c r="P80" s="106">
        <f>IF($G80="","",IF(ISNUMBER($G80),$G80+Settings!$C$7/24,IFERROR(DATEVALUE(LEFT($G80,10))+TIMEVALUE(MID($G80,12,8))+Settings!$C$7/24,"")))</f>
        <v>46269.592673611114</v>
      </c>
      <c r="Q80" s="39">
        <f t="shared" si="19"/>
        <v>12</v>
      </c>
      <c r="R80" s="39">
        <f t="shared" si="20"/>
        <v>5</v>
      </c>
      <c r="S80" s="107">
        <f t="shared" si="21"/>
        <v>46269</v>
      </c>
      <c r="T80" s="39">
        <f>IF($C80="","",IF(COUNTIF($C$2:$C80,$C80)=1,1,0))</f>
        <v>0</v>
      </c>
      <c r="U80" s="39" t="str">
        <f>IF($T80=1,COUNTIF($T$2:$T80,1),"")</f>
        <v/>
      </c>
      <c r="V80" s="39">
        <f>IF($B80="","",IF(COUNTIF($B$2:$B80,$B80)=1,1,0))</f>
        <v>0</v>
      </c>
      <c r="W80" s="39" t="str">
        <f>IF($V80=1,COUNTIF($V$2:$V80,1),"")</f>
        <v/>
      </c>
      <c r="X80" s="39">
        <f>IF($A80="","",IF(COUNTIF($A$2:$A80,$A80)=1,1,0))</f>
        <v>0</v>
      </c>
      <c r="Y80" s="39" t="str">
        <f>IF($X80=1,COUNTIF($X$2:$X80,1),"")</f>
        <v/>
      </c>
      <c r="Z80" s="39">
        <f>IF(AND($E80="timed",$N80&gt;Settings!$C$8),1,0)</f>
        <v>0</v>
      </c>
      <c r="AA80" s="39">
        <f t="shared" si="22"/>
        <v>0</v>
      </c>
      <c r="AB80" s="39">
        <f t="shared" si="23"/>
        <v>0</v>
      </c>
      <c r="AC80" s="39">
        <f t="shared" si="24"/>
        <v>39976883800080</v>
      </c>
      <c r="AD80" s="39">
        <f t="shared" si="25"/>
        <v>79</v>
      </c>
      <c r="AE80" s="39" t="str">
        <f t="shared" si="26"/>
        <v>Teams Communications</v>
      </c>
      <c r="AF80" s="106">
        <f t="shared" si="27"/>
        <v>46269.541388888887</v>
      </c>
      <c r="AG80" s="39">
        <f t="shared" si="28"/>
        <v>1</v>
      </c>
      <c r="AH80" s="39">
        <f t="shared" si="29"/>
        <v>0</v>
      </c>
      <c r="AI80" s="39">
        <f>IF(AND($E80="timed",$N80&gt;=Settings!$C$9),1,0)</f>
        <v>1</v>
      </c>
      <c r="AJ80" s="39">
        <f>IF(OR($S80="",Settings!$C$16=""),"",IF($S80&lt;=Settings!$C$16,1,2))</f>
        <v>2</v>
      </c>
      <c r="AK80" s="39">
        <f>IF($C80="","",IFERROR(IF(INDEX(Settings!$C$20:$C$59,MATCH($C80,Settings!$B$20:$B$59,0))="",Settings!$C$10,INDEX(Settings!$C$20:$C$59,MATCH($C80,Settings!$B$20:$B$59,0))),Settings!$C$10))</f>
        <v>38.42</v>
      </c>
      <c r="AL80" s="108">
        <f t="shared" si="30"/>
        <v>47.24</v>
      </c>
      <c r="AM80" s="39">
        <f t="shared" si="31"/>
        <v>46269</v>
      </c>
      <c r="AN80" s="39" t="str">
        <f t="shared" si="32"/>
        <v/>
      </c>
      <c r="AO80" s="39">
        <f t="shared" si="33"/>
        <v>39976928070080</v>
      </c>
      <c r="AP80" s="39">
        <f t="shared" si="34"/>
        <v>0</v>
      </c>
      <c r="AQ80" s="39">
        <f t="shared" si="35"/>
        <v>0</v>
      </c>
    </row>
    <row r="81" spans="1:43" x14ac:dyDescent="0.25">
      <c r="A81" s="113">
        <v>46269</v>
      </c>
      <c r="B81" t="s">
        <v>322</v>
      </c>
      <c r="C81" t="s">
        <v>322</v>
      </c>
      <c r="D81" t="s">
        <v>288</v>
      </c>
      <c r="E81" t="s">
        <v>289</v>
      </c>
      <c r="F81" t="s">
        <v>464</v>
      </c>
      <c r="G81" t="s">
        <v>465</v>
      </c>
      <c r="H81">
        <v>28.01</v>
      </c>
      <c r="I81">
        <v>0</v>
      </c>
      <c r="K81" t="s">
        <v>292</v>
      </c>
      <c r="N81" s="105">
        <f t="shared" si="18"/>
        <v>28.01</v>
      </c>
      <c r="O81" s="106">
        <f>IF($F81="","",IF(ISNUMBER($F81),$F81+Settings!$C$7/24,IFERROR(DATEVALUE(LEFT($F81,10))+TIMEVALUE(MID($F81,12,8))+Settings!$C$7/24,"")))</f>
        <v>46269.592731481483</v>
      </c>
      <c r="P81" s="106">
        <f>IF($G81="","",IF(ISNUMBER($G81),$G81+Settings!$C$7/24,IFERROR(DATEVALUE(LEFT($G81,10))+TIMEVALUE(MID($G81,12,8))+Settings!$C$7/24,"")))</f>
        <v>46269.612187500003</v>
      </c>
      <c r="Q81" s="39">
        <f t="shared" si="19"/>
        <v>14</v>
      </c>
      <c r="R81" s="39">
        <f t="shared" si="20"/>
        <v>5</v>
      </c>
      <c r="S81" s="107">
        <f t="shared" si="21"/>
        <v>46269</v>
      </c>
      <c r="T81" s="39">
        <f>IF($C81="","",IF(COUNTIF($C$2:$C81,$C81)=1,1,0))</f>
        <v>0</v>
      </c>
      <c r="U81" s="39" t="str">
        <f>IF($T81=1,COUNTIF($T$2:$T81,1),"")</f>
        <v/>
      </c>
      <c r="V81" s="39">
        <f>IF($B81="","",IF(COUNTIF($B$2:$B81,$B81)=1,1,0))</f>
        <v>0</v>
      </c>
      <c r="W81" s="39" t="str">
        <f>IF($V81=1,COUNTIF($V$2:$V81,1),"")</f>
        <v/>
      </c>
      <c r="X81" s="39">
        <f>IF($A81="","",IF(COUNTIF($A$2:$A81,$A81)=1,1,0))</f>
        <v>0</v>
      </c>
      <c r="Y81" s="39" t="str">
        <f>IF($X81=1,COUNTIF($X$2:$X81,1),"")</f>
        <v/>
      </c>
      <c r="Z81" s="39">
        <f>IF(AND($E81="timed",$N81&gt;Settings!$C$8),1,0)</f>
        <v>0</v>
      </c>
      <c r="AA81" s="39">
        <f t="shared" si="22"/>
        <v>0</v>
      </c>
      <c r="AB81" s="39">
        <f t="shared" si="23"/>
        <v>0</v>
      </c>
      <c r="AC81" s="39">
        <f t="shared" si="24"/>
        <v>39976928120081</v>
      </c>
      <c r="AD81" s="39">
        <f t="shared" si="25"/>
        <v>80</v>
      </c>
      <c r="AE81" s="39" t="str">
        <f t="shared" si="26"/>
        <v>Project work</v>
      </c>
      <c r="AF81" s="106">
        <f t="shared" si="27"/>
        <v>46269.592673611114</v>
      </c>
      <c r="AG81" s="39">
        <f t="shared" si="28"/>
        <v>1</v>
      </c>
      <c r="AH81" s="39">
        <f t="shared" si="29"/>
        <v>0</v>
      </c>
      <c r="AI81" s="39">
        <f>IF(AND($E81="timed",$N81&gt;=Settings!$C$9),1,0)</f>
        <v>0</v>
      </c>
      <c r="AJ81" s="39">
        <f>IF(OR($S81="",Settings!$C$16=""),"",IF($S81&lt;=Settings!$C$16,1,2))</f>
        <v>2</v>
      </c>
      <c r="AK81" s="39">
        <f>IF($C81="","",IFERROR(IF(INDEX(Settings!$C$20:$C$59,MATCH($C81,Settings!$B$20:$B$59,0))="",Settings!$C$10,INDEX(Settings!$C$20:$C$59,MATCH($C81,Settings!$B$20:$B$59,0))),Settings!$C$10))</f>
        <v>38.42</v>
      </c>
      <c r="AL81" s="108">
        <f t="shared" si="30"/>
        <v>17.940000000000001</v>
      </c>
      <c r="AM81" s="39">
        <f t="shared" si="31"/>
        <v>46269</v>
      </c>
      <c r="AN81" s="39" t="str">
        <f t="shared" si="32"/>
        <v/>
      </c>
      <c r="AO81" s="39">
        <f t="shared" si="33"/>
        <v>39976944930081</v>
      </c>
      <c r="AP81" s="39">
        <f t="shared" si="34"/>
        <v>0</v>
      </c>
      <c r="AQ81" s="39">
        <f t="shared" si="35"/>
        <v>0</v>
      </c>
    </row>
    <row r="82" spans="1:43" x14ac:dyDescent="0.25">
      <c r="A82" s="113">
        <v>46269</v>
      </c>
      <c r="B82" t="s">
        <v>466</v>
      </c>
      <c r="C82" t="s">
        <v>466</v>
      </c>
      <c r="D82" t="s">
        <v>288</v>
      </c>
      <c r="E82" t="s">
        <v>289</v>
      </c>
      <c r="F82" t="s">
        <v>467</v>
      </c>
      <c r="G82" t="s">
        <v>468</v>
      </c>
      <c r="H82">
        <v>70.959999999999994</v>
      </c>
      <c r="I82">
        <v>0</v>
      </c>
      <c r="K82" t="s">
        <v>292</v>
      </c>
      <c r="N82" s="105">
        <f t="shared" si="18"/>
        <v>70.959999999999994</v>
      </c>
      <c r="O82" s="106">
        <f>IF($F82="","",IF(ISNUMBER($F82),$F82+Settings!$C$7/24,IFERROR(DATEVALUE(LEFT($F82,10))+TIMEVALUE(MID($F82,12,8))+Settings!$C$7/24,"")))</f>
        <v>46269.612210648149</v>
      </c>
      <c r="P82" s="106">
        <f>IF($G82="","",IF(ISNUMBER($G82),$G82+Settings!$C$7/24,IFERROR(DATEVALUE(LEFT($G82,10))+TIMEVALUE(MID($G82,12,8))+Settings!$C$7/24,"")))</f>
        <v>46269.661493055559</v>
      </c>
      <c r="Q82" s="39">
        <f t="shared" si="19"/>
        <v>14</v>
      </c>
      <c r="R82" s="39">
        <f t="shared" si="20"/>
        <v>5</v>
      </c>
      <c r="S82" s="107">
        <f t="shared" si="21"/>
        <v>46269</v>
      </c>
      <c r="T82" s="39">
        <f>IF($C82="","",IF(COUNTIF($C$2:$C82,$C82)=1,1,0))</f>
        <v>1</v>
      </c>
      <c r="U82" s="39">
        <f>IF($T82=1,COUNTIF($T$2:$T82,1),"")</f>
        <v>9</v>
      </c>
      <c r="V82" s="39">
        <f>IF($B82="","",IF(COUNTIF($B$2:$B82,$B82)=1,1,0))</f>
        <v>1</v>
      </c>
      <c r="W82" s="39">
        <f>IF($V82=1,COUNTIF($V$2:$V82,1),"")</f>
        <v>9</v>
      </c>
      <c r="X82" s="39">
        <f>IF($A82="","",IF(COUNTIF($A$2:$A82,$A82)=1,1,0))</f>
        <v>0</v>
      </c>
      <c r="Y82" s="39" t="str">
        <f>IF($X82=1,COUNTIF($X$2:$X82,1),"")</f>
        <v/>
      </c>
      <c r="Z82" s="39">
        <f>IF(AND($E82="timed",$N82&gt;Settings!$C$8),1,0)</f>
        <v>0</v>
      </c>
      <c r="AA82" s="39">
        <f t="shared" si="22"/>
        <v>0</v>
      </c>
      <c r="AB82" s="39">
        <f t="shared" si="23"/>
        <v>0</v>
      </c>
      <c r="AC82" s="39">
        <f t="shared" si="24"/>
        <v>39976944950082</v>
      </c>
      <c r="AD82" s="39">
        <f t="shared" si="25"/>
        <v>81</v>
      </c>
      <c r="AE82" s="39" t="str">
        <f t="shared" si="26"/>
        <v>Admin</v>
      </c>
      <c r="AF82" s="106">
        <f t="shared" si="27"/>
        <v>46269.612187500003</v>
      </c>
      <c r="AG82" s="39">
        <f t="shared" si="28"/>
        <v>1</v>
      </c>
      <c r="AH82" s="39">
        <f t="shared" si="29"/>
        <v>0</v>
      </c>
      <c r="AI82" s="39">
        <f>IF(AND($E82="timed",$N82&gt;=Settings!$C$9),1,0)</f>
        <v>1</v>
      </c>
      <c r="AJ82" s="39">
        <f>IF(OR($S82="",Settings!$C$16=""),"",IF($S82&lt;=Settings!$C$16,1,2))</f>
        <v>2</v>
      </c>
      <c r="AK82" s="39">
        <f>IF($C82="","",IFERROR(IF(INDEX(Settings!$C$20:$C$59,MATCH($C82,Settings!$B$20:$B$59,0))="",Settings!$C$10,INDEX(Settings!$C$20:$C$59,MATCH($C82,Settings!$B$20:$B$59,0))),Settings!$C$10))</f>
        <v>38.42</v>
      </c>
      <c r="AL82" s="108">
        <f t="shared" si="30"/>
        <v>45.44</v>
      </c>
      <c r="AM82" s="39">
        <f t="shared" si="31"/>
        <v>46269</v>
      </c>
      <c r="AN82" s="39" t="str">
        <f t="shared" si="32"/>
        <v/>
      </c>
      <c r="AO82" s="39">
        <f t="shared" si="33"/>
        <v>39976987530082</v>
      </c>
      <c r="AP82" s="39">
        <f t="shared" si="34"/>
        <v>0</v>
      </c>
      <c r="AQ82" s="39">
        <f t="shared" si="35"/>
        <v>0</v>
      </c>
    </row>
    <row r="83" spans="1:43" x14ac:dyDescent="0.25">
      <c r="A83" s="113">
        <v>46269</v>
      </c>
      <c r="B83" t="s">
        <v>296</v>
      </c>
      <c r="C83" t="s">
        <v>296</v>
      </c>
      <c r="D83" t="s">
        <v>288</v>
      </c>
      <c r="E83" t="s">
        <v>289</v>
      </c>
      <c r="F83" t="s">
        <v>469</v>
      </c>
      <c r="G83" t="s">
        <v>470</v>
      </c>
      <c r="H83">
        <v>10.91</v>
      </c>
      <c r="I83">
        <v>0</v>
      </c>
      <c r="K83" t="s">
        <v>292</v>
      </c>
      <c r="N83" s="105">
        <f t="shared" si="18"/>
        <v>10.91</v>
      </c>
      <c r="O83" s="106">
        <f>IF($F83="","",IF(ISNUMBER($F83),$F83+Settings!$C$7/24,IFERROR(DATEVALUE(LEFT($F83,10))+TIMEVALUE(MID($F83,12,8))+Settings!$C$7/24,"")))</f>
        <v>46269.661574074074</v>
      </c>
      <c r="P83" s="106">
        <f>IF($G83="","",IF(ISNUMBER($G83),$G83+Settings!$C$7/24,IFERROR(DATEVALUE(LEFT($G83,10))+TIMEVALUE(MID($G83,12,8))+Settings!$C$7/24,"")))</f>
        <v>46269.66915509259</v>
      </c>
      <c r="Q83" s="39">
        <f t="shared" si="19"/>
        <v>15</v>
      </c>
      <c r="R83" s="39">
        <f t="shared" si="20"/>
        <v>5</v>
      </c>
      <c r="S83" s="107">
        <f t="shared" si="21"/>
        <v>46269</v>
      </c>
      <c r="T83" s="39">
        <f>IF($C83="","",IF(COUNTIF($C$2:$C83,$C83)=1,1,0))</f>
        <v>0</v>
      </c>
      <c r="U83" s="39" t="str">
        <f>IF($T83=1,COUNTIF($T$2:$T83,1),"")</f>
        <v/>
      </c>
      <c r="V83" s="39">
        <f>IF($B83="","",IF(COUNTIF($B$2:$B83,$B83)=1,1,0))</f>
        <v>0</v>
      </c>
      <c r="W83" s="39" t="str">
        <f>IF($V83=1,COUNTIF($V$2:$V83,1),"")</f>
        <v/>
      </c>
      <c r="X83" s="39">
        <f>IF($A83="","",IF(COUNTIF($A$2:$A83,$A83)=1,1,0))</f>
        <v>0</v>
      </c>
      <c r="Y83" s="39" t="str">
        <f>IF($X83=1,COUNTIF($X$2:$X83,1),"")</f>
        <v/>
      </c>
      <c r="Z83" s="39">
        <f>IF(AND($E83="timed",$N83&gt;Settings!$C$8),1,0)</f>
        <v>0</v>
      </c>
      <c r="AA83" s="39">
        <f t="shared" si="22"/>
        <v>0</v>
      </c>
      <c r="AB83" s="39">
        <f t="shared" si="23"/>
        <v>0</v>
      </c>
      <c r="AC83" s="39">
        <f t="shared" si="24"/>
        <v>39976987600083</v>
      </c>
      <c r="AD83" s="39">
        <f t="shared" si="25"/>
        <v>82</v>
      </c>
      <c r="AE83" s="39" t="str">
        <f t="shared" si="26"/>
        <v>Support</v>
      </c>
      <c r="AF83" s="106">
        <f t="shared" si="27"/>
        <v>46269.661493055559</v>
      </c>
      <c r="AG83" s="39">
        <f t="shared" si="28"/>
        <v>1</v>
      </c>
      <c r="AH83" s="39">
        <f t="shared" si="29"/>
        <v>0</v>
      </c>
      <c r="AI83" s="39">
        <f>IF(AND($E83="timed",$N83&gt;=Settings!$C$9),1,0)</f>
        <v>0</v>
      </c>
      <c r="AJ83" s="39">
        <f>IF(OR($S83="",Settings!$C$16=""),"",IF($S83&lt;=Settings!$C$16,1,2))</f>
        <v>2</v>
      </c>
      <c r="AK83" s="39">
        <f>IF($C83="","",IFERROR(IF(INDEX(Settings!$C$20:$C$59,MATCH($C83,Settings!$B$20:$B$59,0))="",Settings!$C$10,INDEX(Settings!$C$20:$C$59,MATCH($C83,Settings!$B$20:$B$59,0))),Settings!$C$10))</f>
        <v>38.42</v>
      </c>
      <c r="AL83" s="108">
        <f t="shared" si="30"/>
        <v>6.99</v>
      </c>
      <c r="AM83" s="39">
        <f t="shared" si="31"/>
        <v>46269</v>
      </c>
      <c r="AN83" s="39" t="str">
        <f t="shared" si="32"/>
        <v/>
      </c>
      <c r="AO83" s="39">
        <f t="shared" si="33"/>
        <v>39976994150083</v>
      </c>
      <c r="AP83" s="39">
        <f t="shared" si="34"/>
        <v>0</v>
      </c>
      <c r="AQ83" s="39">
        <f t="shared" si="35"/>
        <v>0</v>
      </c>
    </row>
    <row r="84" spans="1:43" x14ac:dyDescent="0.25">
      <c r="A84" s="113">
        <v>46269</v>
      </c>
      <c r="B84" t="s">
        <v>471</v>
      </c>
      <c r="C84" t="s">
        <v>471</v>
      </c>
      <c r="D84" t="s">
        <v>288</v>
      </c>
      <c r="E84" t="s">
        <v>289</v>
      </c>
      <c r="F84" t="s">
        <v>472</v>
      </c>
      <c r="G84" t="s">
        <v>473</v>
      </c>
      <c r="H84">
        <v>0.12</v>
      </c>
      <c r="I84">
        <v>0</v>
      </c>
      <c r="K84" t="s">
        <v>292</v>
      </c>
      <c r="N84" s="105">
        <f t="shared" si="18"/>
        <v>0.12</v>
      </c>
      <c r="O84" s="106">
        <f>IF($F84="","",IF(ISNUMBER($F84),$F84+Settings!$C$7/24,IFERROR(DATEVALUE(LEFT($F84,10))+TIMEVALUE(MID($F84,12,8))+Settings!$C$7/24,"")))</f>
        <v>46269.678865740738</v>
      </c>
      <c r="P84" s="106">
        <f>IF($G84="","",IF(ISNUMBER($G84),$G84+Settings!$C$7/24,IFERROR(DATEVALUE(LEFT($G84,10))+TIMEVALUE(MID($G84,12,8))+Settings!$C$7/24,"")))</f>
        <v>46269.678946759261</v>
      </c>
      <c r="Q84" s="39">
        <f t="shared" si="19"/>
        <v>16</v>
      </c>
      <c r="R84" s="39">
        <f t="shared" si="20"/>
        <v>5</v>
      </c>
      <c r="S84" s="107">
        <f t="shared" si="21"/>
        <v>46269</v>
      </c>
      <c r="T84" s="39">
        <f>IF($C84="","",IF(COUNTIF($C$2:$C84,$C84)=1,1,0))</f>
        <v>1</v>
      </c>
      <c r="U84" s="39">
        <f>IF($T84=1,COUNTIF($T$2:$T84,1),"")</f>
        <v>10</v>
      </c>
      <c r="V84" s="39">
        <f>IF($B84="","",IF(COUNTIF($B$2:$B84,$B84)=1,1,0))</f>
        <v>1</v>
      </c>
      <c r="W84" s="39">
        <f>IF($V84=1,COUNTIF($V$2:$V84,1),"")</f>
        <v>10</v>
      </c>
      <c r="X84" s="39">
        <f>IF($A84="","",IF(COUNTIF($A$2:$A84,$A84)=1,1,0))</f>
        <v>0</v>
      </c>
      <c r="Y84" s="39" t="str">
        <f>IF($X84=1,COUNTIF($X$2:$X84,1),"")</f>
        <v/>
      </c>
      <c r="Z84" s="39">
        <f>IF(AND($E84="timed",$N84&gt;Settings!$C$8),1,0)</f>
        <v>0</v>
      </c>
      <c r="AA84" s="39">
        <f t="shared" si="22"/>
        <v>0</v>
      </c>
      <c r="AB84" s="39">
        <f t="shared" si="23"/>
        <v>0</v>
      </c>
      <c r="AC84" s="39">
        <f t="shared" si="24"/>
        <v>39977002540084</v>
      </c>
      <c r="AD84" s="39">
        <f t="shared" si="25"/>
        <v>83</v>
      </c>
      <c r="AE84" s="39" t="str">
        <f t="shared" si="26"/>
        <v>Teams Communications</v>
      </c>
      <c r="AF84" s="106">
        <f t="shared" si="27"/>
        <v>46269.66915509259</v>
      </c>
      <c r="AG84" s="39">
        <f t="shared" si="28"/>
        <v>1</v>
      </c>
      <c r="AH84" s="39">
        <f t="shared" si="29"/>
        <v>14</v>
      </c>
      <c r="AI84" s="39">
        <f>IF(AND($E84="timed",$N84&gt;=Settings!$C$9),1,0)</f>
        <v>0</v>
      </c>
      <c r="AJ84" s="39">
        <f>IF(OR($S84="",Settings!$C$16=""),"",IF($S84&lt;=Settings!$C$16,1,2))</f>
        <v>2</v>
      </c>
      <c r="AK84" s="39">
        <f>IF($C84="","",IFERROR(IF(INDEX(Settings!$C$20:$C$59,MATCH($C84,Settings!$B$20:$B$59,0))="",Settings!$C$10,INDEX(Settings!$C$20:$C$59,MATCH($C84,Settings!$B$20:$B$59,0))),Settings!$C$10))</f>
        <v>38.42</v>
      </c>
      <c r="AL84" s="108">
        <f t="shared" si="30"/>
        <v>0.08</v>
      </c>
      <c r="AM84" s="39">
        <f t="shared" si="31"/>
        <v>46269</v>
      </c>
      <c r="AN84" s="39" t="str">
        <f t="shared" si="32"/>
        <v/>
      </c>
      <c r="AO84" s="39">
        <f t="shared" si="33"/>
        <v>39977002610084</v>
      </c>
      <c r="AP84" s="39">
        <f t="shared" si="34"/>
        <v>0</v>
      </c>
      <c r="AQ84" s="39">
        <f t="shared" si="35"/>
        <v>1</v>
      </c>
    </row>
    <row r="85" spans="1:43" x14ac:dyDescent="0.25">
      <c r="A85" s="113">
        <v>46266</v>
      </c>
      <c r="B85" t="s">
        <v>474</v>
      </c>
      <c r="C85" t="s">
        <v>475</v>
      </c>
      <c r="D85" t="s">
        <v>288</v>
      </c>
      <c r="E85" t="s">
        <v>476</v>
      </c>
      <c r="G85" t="s">
        <v>477</v>
      </c>
      <c r="K85" t="s">
        <v>292</v>
      </c>
      <c r="L85" t="s">
        <v>478</v>
      </c>
      <c r="N85" s="105">
        <f t="shared" si="18"/>
        <v>0</v>
      </c>
      <c r="O85" s="106" t="str">
        <f>IF($F85="","",IF(ISNUMBER($F85),$F85+Settings!$C$7/24,IFERROR(DATEVALUE(LEFT($F85,10))+TIMEVALUE(MID($F85,12,8))+Settings!$C$7/24,"")))</f>
        <v/>
      </c>
      <c r="P85" s="106">
        <f>IF($G85="","",IF(ISNUMBER($G85),$G85+Settings!$C$7/24,IFERROR(DATEVALUE(LEFT($G85,10))+TIMEVALUE(MID($G85,12,8))+Settings!$C$7/24,"")))</f>
        <v>46266.683530092596</v>
      </c>
      <c r="Q85" s="39" t="str">
        <f t="shared" si="19"/>
        <v/>
      </c>
      <c r="R85" s="39" t="str">
        <f t="shared" si="20"/>
        <v/>
      </c>
      <c r="S85" s="107">
        <f t="shared" si="21"/>
        <v>46266</v>
      </c>
      <c r="T85" s="39">
        <f>IF($C85="","",IF(COUNTIF($C$2:$C85,$C85)=1,1,0))</f>
        <v>1</v>
      </c>
      <c r="U85" s="39">
        <f>IF($T85=1,COUNTIF($T$2:$T85,1),"")</f>
        <v>11</v>
      </c>
      <c r="V85" s="39">
        <f>IF($B85="","",IF(COUNTIF($B$2:$B85,$B85)=1,1,0))</f>
        <v>1</v>
      </c>
      <c r="W85" s="39">
        <f>IF($V85=1,COUNTIF($V$2:$V85,1),"")</f>
        <v>11</v>
      </c>
      <c r="X85" s="39">
        <f>IF($A85="","",IF(COUNTIF($A$2:$A85,$A85)=1,1,0))</f>
        <v>0</v>
      </c>
      <c r="Y85" s="39" t="str">
        <f>IF($X85=1,COUNTIF($X$2:$X85,1),"")</f>
        <v/>
      </c>
      <c r="Z85" s="39">
        <f>IF(AND($E85="timed",$N85&gt;Settings!$C$8),1,0)</f>
        <v>0</v>
      </c>
      <c r="AA85" s="39">
        <f t="shared" si="22"/>
        <v>0</v>
      </c>
      <c r="AB85" s="39">
        <f t="shared" si="23"/>
        <v>0</v>
      </c>
      <c r="AC85" s="39" t="str">
        <f t="shared" si="24"/>
        <v/>
      </c>
      <c r="AD85" s="39" t="str">
        <f t="shared" si="25"/>
        <v/>
      </c>
      <c r="AE85" s="39" t="str">
        <f t="shared" si="26"/>
        <v/>
      </c>
      <c r="AF85" s="106" t="str">
        <f t="shared" si="27"/>
        <v/>
      </c>
      <c r="AG85" s="39">
        <f t="shared" si="28"/>
        <v>0</v>
      </c>
      <c r="AH85" s="39" t="str">
        <f t="shared" si="29"/>
        <v/>
      </c>
      <c r="AI85" s="39">
        <f>IF(AND($E85="timed",$N85&gt;=Settings!$C$9),1,0)</f>
        <v>0</v>
      </c>
      <c r="AJ85" s="39">
        <f>IF(OR($S85="",Settings!$C$16=""),"",IF($S85&lt;=Settings!$C$16,1,2))</f>
        <v>1</v>
      </c>
      <c r="AK85" s="39">
        <f>IF($C85="","",IFERROR(IF(INDEX(Settings!$C$20:$C$59,MATCH($C85,Settings!$B$20:$B$59,0))="",Settings!$C$10,INDEX(Settings!$C$20:$C$59,MATCH($C85,Settings!$B$20:$B$59,0))),Settings!$C$10))</f>
        <v>38.42</v>
      </c>
      <c r="AL85" s="108">
        <f t="shared" si="30"/>
        <v>0</v>
      </c>
      <c r="AM85" s="39" t="str">
        <f t="shared" si="31"/>
        <v/>
      </c>
      <c r="AN85" s="39" t="str">
        <f t="shared" si="32"/>
        <v/>
      </c>
      <c r="AO85" s="39" t="str">
        <f t="shared" si="33"/>
        <v/>
      </c>
      <c r="AP85" s="39">
        <f t="shared" si="34"/>
        <v>0</v>
      </c>
      <c r="AQ85" s="39">
        <f t="shared" si="35"/>
        <v>0</v>
      </c>
    </row>
    <row r="86" spans="1:43" x14ac:dyDescent="0.25">
      <c r="A86" s="113">
        <v>46267</v>
      </c>
      <c r="B86" t="s">
        <v>479</v>
      </c>
      <c r="C86" t="s">
        <v>475</v>
      </c>
      <c r="D86" t="s">
        <v>288</v>
      </c>
      <c r="E86" t="s">
        <v>476</v>
      </c>
      <c r="G86" t="s">
        <v>480</v>
      </c>
      <c r="K86" t="s">
        <v>292</v>
      </c>
      <c r="L86" t="s">
        <v>481</v>
      </c>
      <c r="N86" s="105">
        <f t="shared" si="18"/>
        <v>0</v>
      </c>
      <c r="O86" s="106" t="str">
        <f>IF($F86="","",IF(ISNUMBER($F86),$F86+Settings!$C$7/24,IFERROR(DATEVALUE(LEFT($F86,10))+TIMEVALUE(MID($F86,12,8))+Settings!$C$7/24,"")))</f>
        <v/>
      </c>
      <c r="P86" s="106">
        <f>IF($G86="","",IF(ISNUMBER($G86),$G86+Settings!$C$7/24,IFERROR(DATEVALUE(LEFT($G86,10))+TIMEVALUE(MID($G86,12,8))+Settings!$C$7/24,"")))</f>
        <v>46267.396203703705</v>
      </c>
      <c r="Q86" s="39" t="str">
        <f t="shared" si="19"/>
        <v/>
      </c>
      <c r="R86" s="39" t="str">
        <f t="shared" si="20"/>
        <v/>
      </c>
      <c r="S86" s="107">
        <f t="shared" si="21"/>
        <v>46267</v>
      </c>
      <c r="T86" s="39">
        <f>IF($C86="","",IF(COUNTIF($C$2:$C86,$C86)=1,1,0))</f>
        <v>0</v>
      </c>
      <c r="U86" s="39" t="str">
        <f>IF($T86=1,COUNTIF($T$2:$T86,1),"")</f>
        <v/>
      </c>
      <c r="V86" s="39">
        <f>IF($B86="","",IF(COUNTIF($B$2:$B86,$B86)=1,1,0))</f>
        <v>1</v>
      </c>
      <c r="W86" s="39">
        <f>IF($V86=1,COUNTIF($V$2:$V86,1),"")</f>
        <v>12</v>
      </c>
      <c r="X86" s="39">
        <f>IF($A86="","",IF(COUNTIF($A$2:$A86,$A86)=1,1,0))</f>
        <v>0</v>
      </c>
      <c r="Y86" s="39" t="str">
        <f>IF($X86=1,COUNTIF($X$2:$X86,1),"")</f>
        <v/>
      </c>
      <c r="Z86" s="39">
        <f>IF(AND($E86="timed",$N86&gt;Settings!$C$8),1,0)</f>
        <v>0</v>
      </c>
      <c r="AA86" s="39">
        <f t="shared" si="22"/>
        <v>0</v>
      </c>
      <c r="AB86" s="39">
        <f t="shared" si="23"/>
        <v>0</v>
      </c>
      <c r="AC86" s="39" t="str">
        <f t="shared" si="24"/>
        <v/>
      </c>
      <c r="AD86" s="39" t="str">
        <f t="shared" si="25"/>
        <v/>
      </c>
      <c r="AE86" s="39" t="str">
        <f t="shared" si="26"/>
        <v/>
      </c>
      <c r="AF86" s="106" t="str">
        <f t="shared" si="27"/>
        <v/>
      </c>
      <c r="AG86" s="39">
        <f t="shared" si="28"/>
        <v>0</v>
      </c>
      <c r="AH86" s="39" t="str">
        <f t="shared" si="29"/>
        <v/>
      </c>
      <c r="AI86" s="39">
        <f>IF(AND($E86="timed",$N86&gt;=Settings!$C$9),1,0)</f>
        <v>0</v>
      </c>
      <c r="AJ86" s="39">
        <f>IF(OR($S86="",Settings!$C$16=""),"",IF($S86&lt;=Settings!$C$16,1,2))</f>
        <v>1</v>
      </c>
      <c r="AK86" s="39">
        <f>IF($C86="","",IFERROR(IF(INDEX(Settings!$C$20:$C$59,MATCH($C86,Settings!$B$20:$B$59,0))="",Settings!$C$10,INDEX(Settings!$C$20:$C$59,MATCH($C86,Settings!$B$20:$B$59,0))),Settings!$C$10))</f>
        <v>38.42</v>
      </c>
      <c r="AL86" s="108">
        <f t="shared" si="30"/>
        <v>0</v>
      </c>
      <c r="AM86" s="39" t="str">
        <f t="shared" si="31"/>
        <v/>
      </c>
      <c r="AN86" s="39" t="str">
        <f t="shared" si="32"/>
        <v/>
      </c>
      <c r="AO86" s="39" t="str">
        <f t="shared" si="33"/>
        <v/>
      </c>
      <c r="AP86" s="39">
        <f t="shared" si="34"/>
        <v>0</v>
      </c>
      <c r="AQ86" s="39">
        <f t="shared" si="35"/>
        <v>0</v>
      </c>
    </row>
    <row r="87" spans="1:43" x14ac:dyDescent="0.25">
      <c r="A87" s="113">
        <v>46267</v>
      </c>
      <c r="B87" t="s">
        <v>482</v>
      </c>
      <c r="C87" t="s">
        <v>475</v>
      </c>
      <c r="D87" t="s">
        <v>288</v>
      </c>
      <c r="E87" t="s">
        <v>476</v>
      </c>
      <c r="G87" t="s">
        <v>483</v>
      </c>
      <c r="K87" t="s">
        <v>292</v>
      </c>
      <c r="L87" t="s">
        <v>481</v>
      </c>
      <c r="N87" s="105">
        <f t="shared" si="18"/>
        <v>0</v>
      </c>
      <c r="O87" s="106" t="str">
        <f>IF($F87="","",IF(ISNUMBER($F87),$F87+Settings!$C$7/24,IFERROR(DATEVALUE(LEFT($F87,10))+TIMEVALUE(MID($F87,12,8))+Settings!$C$7/24,"")))</f>
        <v/>
      </c>
      <c r="P87" s="106">
        <f>IF($G87="","",IF(ISNUMBER($G87),$G87+Settings!$C$7/24,IFERROR(DATEVALUE(LEFT($G87,10))+TIMEVALUE(MID($G87,12,8))+Settings!$C$7/24,"")))</f>
        <v>46267.396273148152</v>
      </c>
      <c r="Q87" s="39" t="str">
        <f t="shared" si="19"/>
        <v/>
      </c>
      <c r="R87" s="39" t="str">
        <f t="shared" si="20"/>
        <v/>
      </c>
      <c r="S87" s="107">
        <f t="shared" si="21"/>
        <v>46267</v>
      </c>
      <c r="T87" s="39">
        <f>IF($C87="","",IF(COUNTIF($C$2:$C87,$C87)=1,1,0))</f>
        <v>0</v>
      </c>
      <c r="U87" s="39" t="str">
        <f>IF($T87=1,COUNTIF($T$2:$T87,1),"")</f>
        <v/>
      </c>
      <c r="V87" s="39">
        <f>IF($B87="","",IF(COUNTIF($B$2:$B87,$B87)=1,1,0))</f>
        <v>1</v>
      </c>
      <c r="W87" s="39">
        <f>IF($V87=1,COUNTIF($V$2:$V87,1),"")</f>
        <v>13</v>
      </c>
      <c r="X87" s="39">
        <f>IF($A87="","",IF(COUNTIF($A$2:$A87,$A87)=1,1,0))</f>
        <v>0</v>
      </c>
      <c r="Y87" s="39" t="str">
        <f>IF($X87=1,COUNTIF($X$2:$X87,1),"")</f>
        <v/>
      </c>
      <c r="Z87" s="39">
        <f>IF(AND($E87="timed",$N87&gt;Settings!$C$8),1,0)</f>
        <v>0</v>
      </c>
      <c r="AA87" s="39">
        <f t="shared" si="22"/>
        <v>0</v>
      </c>
      <c r="AB87" s="39">
        <f t="shared" si="23"/>
        <v>0</v>
      </c>
      <c r="AC87" s="39" t="str">
        <f t="shared" si="24"/>
        <v/>
      </c>
      <c r="AD87" s="39" t="str">
        <f t="shared" si="25"/>
        <v/>
      </c>
      <c r="AE87" s="39" t="str">
        <f t="shared" si="26"/>
        <v/>
      </c>
      <c r="AF87" s="106" t="str">
        <f t="shared" si="27"/>
        <v/>
      </c>
      <c r="AG87" s="39">
        <f t="shared" si="28"/>
        <v>0</v>
      </c>
      <c r="AH87" s="39" t="str">
        <f t="shared" si="29"/>
        <v/>
      </c>
      <c r="AI87" s="39">
        <f>IF(AND($E87="timed",$N87&gt;=Settings!$C$9),1,0)</f>
        <v>0</v>
      </c>
      <c r="AJ87" s="39">
        <f>IF(OR($S87="",Settings!$C$16=""),"",IF($S87&lt;=Settings!$C$16,1,2))</f>
        <v>1</v>
      </c>
      <c r="AK87" s="39">
        <f>IF($C87="","",IFERROR(IF(INDEX(Settings!$C$20:$C$59,MATCH($C87,Settings!$B$20:$B$59,0))="",Settings!$C$10,INDEX(Settings!$C$20:$C$59,MATCH($C87,Settings!$B$20:$B$59,0))),Settings!$C$10))</f>
        <v>38.42</v>
      </c>
      <c r="AL87" s="108">
        <f t="shared" si="30"/>
        <v>0</v>
      </c>
      <c r="AM87" s="39" t="str">
        <f t="shared" si="31"/>
        <v/>
      </c>
      <c r="AN87" s="39" t="str">
        <f t="shared" si="32"/>
        <v/>
      </c>
      <c r="AO87" s="39" t="str">
        <f t="shared" si="33"/>
        <v/>
      </c>
      <c r="AP87" s="39">
        <f t="shared" si="34"/>
        <v>0</v>
      </c>
      <c r="AQ87" s="39">
        <f t="shared" si="35"/>
        <v>0</v>
      </c>
    </row>
    <row r="88" spans="1:43" x14ac:dyDescent="0.25">
      <c r="A88" s="113">
        <v>46267</v>
      </c>
      <c r="B88" t="s">
        <v>484</v>
      </c>
      <c r="C88" t="s">
        <v>475</v>
      </c>
      <c r="D88" t="s">
        <v>288</v>
      </c>
      <c r="E88" t="s">
        <v>476</v>
      </c>
      <c r="G88" t="s">
        <v>485</v>
      </c>
      <c r="K88" t="s">
        <v>292</v>
      </c>
      <c r="L88" t="s">
        <v>478</v>
      </c>
      <c r="N88" s="105">
        <f t="shared" si="18"/>
        <v>0</v>
      </c>
      <c r="O88" s="106" t="str">
        <f>IF($F88="","",IF(ISNUMBER($F88),$F88+Settings!$C$7/24,IFERROR(DATEVALUE(LEFT($F88,10))+TIMEVALUE(MID($F88,12,8))+Settings!$C$7/24,"")))</f>
        <v/>
      </c>
      <c r="P88" s="106">
        <f>IF($G88="","",IF(ISNUMBER($G88),$G88+Settings!$C$7/24,IFERROR(DATEVALUE(LEFT($G88,10))+TIMEVALUE(MID($G88,12,8))+Settings!$C$7/24,"")))</f>
        <v>46267.414814814816</v>
      </c>
      <c r="Q88" s="39" t="str">
        <f t="shared" si="19"/>
        <v/>
      </c>
      <c r="R88" s="39" t="str">
        <f t="shared" si="20"/>
        <v/>
      </c>
      <c r="S88" s="107">
        <f t="shared" si="21"/>
        <v>46267</v>
      </c>
      <c r="T88" s="39">
        <f>IF($C88="","",IF(COUNTIF($C$2:$C88,$C88)=1,1,0))</f>
        <v>0</v>
      </c>
      <c r="U88" s="39" t="str">
        <f>IF($T88=1,COUNTIF($T$2:$T88,1),"")</f>
        <v/>
      </c>
      <c r="V88" s="39">
        <f>IF($B88="","",IF(COUNTIF($B$2:$B88,$B88)=1,1,0))</f>
        <v>1</v>
      </c>
      <c r="W88" s="39">
        <f>IF($V88=1,COUNTIF($V$2:$V88,1),"")</f>
        <v>14</v>
      </c>
      <c r="X88" s="39">
        <f>IF($A88="","",IF(COUNTIF($A$2:$A88,$A88)=1,1,0))</f>
        <v>0</v>
      </c>
      <c r="Y88" s="39" t="str">
        <f>IF($X88=1,COUNTIF($X$2:$X88,1),"")</f>
        <v/>
      </c>
      <c r="Z88" s="39">
        <f>IF(AND($E88="timed",$N88&gt;Settings!$C$8),1,0)</f>
        <v>0</v>
      </c>
      <c r="AA88" s="39">
        <f t="shared" si="22"/>
        <v>0</v>
      </c>
      <c r="AB88" s="39">
        <f t="shared" si="23"/>
        <v>0</v>
      </c>
      <c r="AC88" s="39" t="str">
        <f t="shared" si="24"/>
        <v/>
      </c>
      <c r="AD88" s="39" t="str">
        <f t="shared" si="25"/>
        <v/>
      </c>
      <c r="AE88" s="39" t="str">
        <f t="shared" si="26"/>
        <v/>
      </c>
      <c r="AF88" s="106" t="str">
        <f t="shared" si="27"/>
        <v/>
      </c>
      <c r="AG88" s="39">
        <f t="shared" si="28"/>
        <v>0</v>
      </c>
      <c r="AH88" s="39" t="str">
        <f t="shared" si="29"/>
        <v/>
      </c>
      <c r="AI88" s="39">
        <f>IF(AND($E88="timed",$N88&gt;=Settings!$C$9),1,0)</f>
        <v>0</v>
      </c>
      <c r="AJ88" s="39">
        <f>IF(OR($S88="",Settings!$C$16=""),"",IF($S88&lt;=Settings!$C$16,1,2))</f>
        <v>1</v>
      </c>
      <c r="AK88" s="39">
        <f>IF($C88="","",IFERROR(IF(INDEX(Settings!$C$20:$C$59,MATCH($C88,Settings!$B$20:$B$59,0))="",Settings!$C$10,INDEX(Settings!$C$20:$C$59,MATCH($C88,Settings!$B$20:$B$59,0))),Settings!$C$10))</f>
        <v>38.42</v>
      </c>
      <c r="AL88" s="108">
        <f t="shared" si="30"/>
        <v>0</v>
      </c>
      <c r="AM88" s="39" t="str">
        <f t="shared" si="31"/>
        <v/>
      </c>
      <c r="AN88" s="39" t="str">
        <f t="shared" si="32"/>
        <v/>
      </c>
      <c r="AO88" s="39" t="str">
        <f t="shared" si="33"/>
        <v/>
      </c>
      <c r="AP88" s="39">
        <f t="shared" si="34"/>
        <v>0</v>
      </c>
      <c r="AQ88" s="39">
        <f t="shared" si="35"/>
        <v>0</v>
      </c>
    </row>
    <row r="89" spans="1:43" x14ac:dyDescent="0.25">
      <c r="A89" s="113">
        <v>46267</v>
      </c>
      <c r="B89" t="s">
        <v>486</v>
      </c>
      <c r="C89" t="s">
        <v>475</v>
      </c>
      <c r="D89" t="s">
        <v>288</v>
      </c>
      <c r="E89" t="s">
        <v>476</v>
      </c>
      <c r="G89" t="s">
        <v>487</v>
      </c>
      <c r="K89" t="s">
        <v>292</v>
      </c>
      <c r="L89" t="s">
        <v>478</v>
      </c>
      <c r="N89" s="105">
        <f t="shared" si="18"/>
        <v>0</v>
      </c>
      <c r="O89" s="106" t="str">
        <f>IF($F89="","",IF(ISNUMBER($F89),$F89+Settings!$C$7/24,IFERROR(DATEVALUE(LEFT($F89,10))+TIMEVALUE(MID($F89,12,8))+Settings!$C$7/24,"")))</f>
        <v/>
      </c>
      <c r="P89" s="106">
        <f>IF($G89="","",IF(ISNUMBER($G89),$G89+Settings!$C$7/24,IFERROR(DATEVALUE(LEFT($G89,10))+TIMEVALUE(MID($G89,12,8))+Settings!$C$7/24,"")))</f>
        <v>46267.479849537034</v>
      </c>
      <c r="Q89" s="39" t="str">
        <f t="shared" si="19"/>
        <v/>
      </c>
      <c r="R89" s="39" t="str">
        <f t="shared" si="20"/>
        <v/>
      </c>
      <c r="S89" s="107">
        <f t="shared" si="21"/>
        <v>46267</v>
      </c>
      <c r="T89" s="39">
        <f>IF($C89="","",IF(COUNTIF($C$2:$C89,$C89)=1,1,0))</f>
        <v>0</v>
      </c>
      <c r="U89" s="39" t="str">
        <f>IF($T89=1,COUNTIF($T$2:$T89,1),"")</f>
        <v/>
      </c>
      <c r="V89" s="39">
        <f>IF($B89="","",IF(COUNTIF($B$2:$B89,$B89)=1,1,0))</f>
        <v>1</v>
      </c>
      <c r="W89" s="39">
        <f>IF($V89=1,COUNTIF($V$2:$V89,1),"")</f>
        <v>15</v>
      </c>
      <c r="X89" s="39">
        <f>IF($A89="","",IF(COUNTIF($A$2:$A89,$A89)=1,1,0))</f>
        <v>0</v>
      </c>
      <c r="Y89" s="39" t="str">
        <f>IF($X89=1,COUNTIF($X$2:$X89,1),"")</f>
        <v/>
      </c>
      <c r="Z89" s="39">
        <f>IF(AND($E89="timed",$N89&gt;Settings!$C$8),1,0)</f>
        <v>0</v>
      </c>
      <c r="AA89" s="39">
        <f t="shared" si="22"/>
        <v>0</v>
      </c>
      <c r="AB89" s="39">
        <f t="shared" si="23"/>
        <v>0</v>
      </c>
      <c r="AC89" s="39" t="str">
        <f t="shared" si="24"/>
        <v/>
      </c>
      <c r="AD89" s="39" t="str">
        <f t="shared" si="25"/>
        <v/>
      </c>
      <c r="AE89" s="39" t="str">
        <f t="shared" si="26"/>
        <v/>
      </c>
      <c r="AF89" s="106" t="str">
        <f t="shared" si="27"/>
        <v/>
      </c>
      <c r="AG89" s="39">
        <f t="shared" si="28"/>
        <v>0</v>
      </c>
      <c r="AH89" s="39" t="str">
        <f t="shared" si="29"/>
        <v/>
      </c>
      <c r="AI89" s="39">
        <f>IF(AND($E89="timed",$N89&gt;=Settings!$C$9),1,0)</f>
        <v>0</v>
      </c>
      <c r="AJ89" s="39">
        <f>IF(OR($S89="",Settings!$C$16=""),"",IF($S89&lt;=Settings!$C$16,1,2))</f>
        <v>1</v>
      </c>
      <c r="AK89" s="39">
        <f>IF($C89="","",IFERROR(IF(INDEX(Settings!$C$20:$C$59,MATCH($C89,Settings!$B$20:$B$59,0))="",Settings!$C$10,INDEX(Settings!$C$20:$C$59,MATCH($C89,Settings!$B$20:$B$59,0))),Settings!$C$10))</f>
        <v>38.42</v>
      </c>
      <c r="AL89" s="108">
        <f t="shared" si="30"/>
        <v>0</v>
      </c>
      <c r="AM89" s="39" t="str">
        <f t="shared" si="31"/>
        <v/>
      </c>
      <c r="AN89" s="39" t="str">
        <f t="shared" si="32"/>
        <v/>
      </c>
      <c r="AO89" s="39" t="str">
        <f t="shared" si="33"/>
        <v/>
      </c>
      <c r="AP89" s="39">
        <f t="shared" si="34"/>
        <v>0</v>
      </c>
      <c r="AQ89" s="39">
        <f t="shared" si="35"/>
        <v>0</v>
      </c>
    </row>
    <row r="90" spans="1:43" x14ac:dyDescent="0.25">
      <c r="A90" s="113">
        <v>46267</v>
      </c>
      <c r="B90" t="s">
        <v>488</v>
      </c>
      <c r="C90" t="s">
        <v>475</v>
      </c>
      <c r="D90" t="s">
        <v>288</v>
      </c>
      <c r="E90" t="s">
        <v>476</v>
      </c>
      <c r="G90" t="s">
        <v>489</v>
      </c>
      <c r="K90" t="s">
        <v>292</v>
      </c>
      <c r="L90" t="s">
        <v>481</v>
      </c>
      <c r="N90" s="105">
        <f t="shared" si="18"/>
        <v>0</v>
      </c>
      <c r="O90" s="106" t="str">
        <f>IF($F90="","",IF(ISNUMBER($F90),$F90+Settings!$C$7/24,IFERROR(DATEVALUE(LEFT($F90,10))+TIMEVALUE(MID($F90,12,8))+Settings!$C$7/24,"")))</f>
        <v/>
      </c>
      <c r="P90" s="106">
        <f>IF($G90="","",IF(ISNUMBER($G90),$G90+Settings!$C$7/24,IFERROR(DATEVALUE(LEFT($G90,10))+TIMEVALUE(MID($G90,12,8))+Settings!$C$7/24,"")))</f>
        <v>46267.479895833334</v>
      </c>
      <c r="Q90" s="39" t="str">
        <f t="shared" si="19"/>
        <v/>
      </c>
      <c r="R90" s="39" t="str">
        <f t="shared" si="20"/>
        <v/>
      </c>
      <c r="S90" s="107">
        <f t="shared" si="21"/>
        <v>46267</v>
      </c>
      <c r="T90" s="39">
        <f>IF($C90="","",IF(COUNTIF($C$2:$C90,$C90)=1,1,0))</f>
        <v>0</v>
      </c>
      <c r="U90" s="39" t="str">
        <f>IF($T90=1,COUNTIF($T$2:$T90,1),"")</f>
        <v/>
      </c>
      <c r="V90" s="39">
        <f>IF($B90="","",IF(COUNTIF($B$2:$B90,$B90)=1,1,0))</f>
        <v>1</v>
      </c>
      <c r="W90" s="39">
        <f>IF($V90=1,COUNTIF($V$2:$V90,1),"")</f>
        <v>16</v>
      </c>
      <c r="X90" s="39">
        <f>IF($A90="","",IF(COUNTIF($A$2:$A90,$A90)=1,1,0))</f>
        <v>0</v>
      </c>
      <c r="Y90" s="39" t="str">
        <f>IF($X90=1,COUNTIF($X$2:$X90,1),"")</f>
        <v/>
      </c>
      <c r="Z90" s="39">
        <f>IF(AND($E90="timed",$N90&gt;Settings!$C$8),1,0)</f>
        <v>0</v>
      </c>
      <c r="AA90" s="39">
        <f t="shared" si="22"/>
        <v>0</v>
      </c>
      <c r="AB90" s="39">
        <f t="shared" si="23"/>
        <v>0</v>
      </c>
      <c r="AC90" s="39" t="str">
        <f t="shared" si="24"/>
        <v/>
      </c>
      <c r="AD90" s="39" t="str">
        <f t="shared" si="25"/>
        <v/>
      </c>
      <c r="AE90" s="39" t="str">
        <f t="shared" si="26"/>
        <v/>
      </c>
      <c r="AF90" s="106" t="str">
        <f t="shared" si="27"/>
        <v/>
      </c>
      <c r="AG90" s="39">
        <f t="shared" si="28"/>
        <v>0</v>
      </c>
      <c r="AH90" s="39" t="str">
        <f t="shared" si="29"/>
        <v/>
      </c>
      <c r="AI90" s="39">
        <f>IF(AND($E90="timed",$N90&gt;=Settings!$C$9),1,0)</f>
        <v>0</v>
      </c>
      <c r="AJ90" s="39">
        <f>IF(OR($S90="",Settings!$C$16=""),"",IF($S90&lt;=Settings!$C$16,1,2))</f>
        <v>1</v>
      </c>
      <c r="AK90" s="39">
        <f>IF($C90="","",IFERROR(IF(INDEX(Settings!$C$20:$C$59,MATCH($C90,Settings!$B$20:$B$59,0))="",Settings!$C$10,INDEX(Settings!$C$20:$C$59,MATCH($C90,Settings!$B$20:$B$59,0))),Settings!$C$10))</f>
        <v>38.42</v>
      </c>
      <c r="AL90" s="108">
        <f t="shared" si="30"/>
        <v>0</v>
      </c>
      <c r="AM90" s="39" t="str">
        <f t="shared" si="31"/>
        <v/>
      </c>
      <c r="AN90" s="39" t="str">
        <f t="shared" si="32"/>
        <v/>
      </c>
      <c r="AO90" s="39" t="str">
        <f t="shared" si="33"/>
        <v/>
      </c>
      <c r="AP90" s="39">
        <f t="shared" si="34"/>
        <v>0</v>
      </c>
      <c r="AQ90" s="39">
        <f t="shared" si="35"/>
        <v>0</v>
      </c>
    </row>
    <row r="91" spans="1:43" x14ac:dyDescent="0.25">
      <c r="A91" s="113">
        <v>46267</v>
      </c>
      <c r="B91" t="s">
        <v>490</v>
      </c>
      <c r="C91" t="s">
        <v>475</v>
      </c>
      <c r="D91" t="s">
        <v>288</v>
      </c>
      <c r="E91" t="s">
        <v>476</v>
      </c>
      <c r="G91" t="s">
        <v>491</v>
      </c>
      <c r="K91" t="s">
        <v>292</v>
      </c>
      <c r="L91" t="s">
        <v>478</v>
      </c>
      <c r="N91" s="105">
        <f t="shared" si="18"/>
        <v>0</v>
      </c>
      <c r="O91" s="106" t="str">
        <f>IF($F91="","",IF(ISNUMBER($F91),$F91+Settings!$C$7/24,IFERROR(DATEVALUE(LEFT($F91,10))+TIMEVALUE(MID($F91,12,8))+Settings!$C$7/24,"")))</f>
        <v/>
      </c>
      <c r="P91" s="106">
        <f>IF($G91="","",IF(ISNUMBER($G91),$G91+Settings!$C$7/24,IFERROR(DATEVALUE(LEFT($G91,10))+TIMEVALUE(MID($G91,12,8))+Settings!$C$7/24,"")))</f>
        <v>46267.542696759258</v>
      </c>
      <c r="Q91" s="39" t="str">
        <f t="shared" si="19"/>
        <v/>
      </c>
      <c r="R91" s="39" t="str">
        <f t="shared" si="20"/>
        <v/>
      </c>
      <c r="S91" s="107">
        <f t="shared" si="21"/>
        <v>46267</v>
      </c>
      <c r="T91" s="39">
        <f>IF($C91="","",IF(COUNTIF($C$2:$C91,$C91)=1,1,0))</f>
        <v>0</v>
      </c>
      <c r="U91" s="39" t="str">
        <f>IF($T91=1,COUNTIF($T$2:$T91,1),"")</f>
        <v/>
      </c>
      <c r="V91" s="39">
        <f>IF($B91="","",IF(COUNTIF($B$2:$B91,$B91)=1,1,0))</f>
        <v>1</v>
      </c>
      <c r="W91" s="39">
        <f>IF($V91=1,COUNTIF($V$2:$V91,1),"")</f>
        <v>17</v>
      </c>
      <c r="X91" s="39">
        <f>IF($A91="","",IF(COUNTIF($A$2:$A91,$A91)=1,1,0))</f>
        <v>0</v>
      </c>
      <c r="Y91" s="39" t="str">
        <f>IF($X91=1,COUNTIF($X$2:$X91,1),"")</f>
        <v/>
      </c>
      <c r="Z91" s="39">
        <f>IF(AND($E91="timed",$N91&gt;Settings!$C$8),1,0)</f>
        <v>0</v>
      </c>
      <c r="AA91" s="39">
        <f t="shared" si="22"/>
        <v>0</v>
      </c>
      <c r="AB91" s="39">
        <f t="shared" si="23"/>
        <v>0</v>
      </c>
      <c r="AC91" s="39" t="str">
        <f t="shared" si="24"/>
        <v/>
      </c>
      <c r="AD91" s="39" t="str">
        <f t="shared" si="25"/>
        <v/>
      </c>
      <c r="AE91" s="39" t="str">
        <f t="shared" si="26"/>
        <v/>
      </c>
      <c r="AF91" s="106" t="str">
        <f t="shared" si="27"/>
        <v/>
      </c>
      <c r="AG91" s="39">
        <f t="shared" si="28"/>
        <v>0</v>
      </c>
      <c r="AH91" s="39" t="str">
        <f t="shared" si="29"/>
        <v/>
      </c>
      <c r="AI91" s="39">
        <f>IF(AND($E91="timed",$N91&gt;=Settings!$C$9),1,0)</f>
        <v>0</v>
      </c>
      <c r="AJ91" s="39">
        <f>IF(OR($S91="",Settings!$C$16=""),"",IF($S91&lt;=Settings!$C$16,1,2))</f>
        <v>1</v>
      </c>
      <c r="AK91" s="39">
        <f>IF($C91="","",IFERROR(IF(INDEX(Settings!$C$20:$C$59,MATCH($C91,Settings!$B$20:$B$59,0))="",Settings!$C$10,INDEX(Settings!$C$20:$C$59,MATCH($C91,Settings!$B$20:$B$59,0))),Settings!$C$10))</f>
        <v>38.42</v>
      </c>
      <c r="AL91" s="108">
        <f t="shared" si="30"/>
        <v>0</v>
      </c>
      <c r="AM91" s="39" t="str">
        <f t="shared" si="31"/>
        <v/>
      </c>
      <c r="AN91" s="39" t="str">
        <f t="shared" si="32"/>
        <v/>
      </c>
      <c r="AO91" s="39" t="str">
        <f t="shared" si="33"/>
        <v/>
      </c>
      <c r="AP91" s="39">
        <f t="shared" si="34"/>
        <v>0</v>
      </c>
      <c r="AQ91" s="39">
        <f t="shared" si="35"/>
        <v>0</v>
      </c>
    </row>
    <row r="92" spans="1:43" x14ac:dyDescent="0.25">
      <c r="A92" s="113">
        <v>46267</v>
      </c>
      <c r="B92" t="s">
        <v>492</v>
      </c>
      <c r="C92" t="s">
        <v>475</v>
      </c>
      <c r="D92" t="s">
        <v>288</v>
      </c>
      <c r="E92" t="s">
        <v>476</v>
      </c>
      <c r="G92" t="s">
        <v>493</v>
      </c>
      <c r="K92" t="s">
        <v>292</v>
      </c>
      <c r="L92" t="s">
        <v>481</v>
      </c>
      <c r="N92" s="105">
        <f t="shared" si="18"/>
        <v>0</v>
      </c>
      <c r="O92" s="106" t="str">
        <f>IF($F92="","",IF(ISNUMBER($F92),$F92+Settings!$C$7/24,IFERROR(DATEVALUE(LEFT($F92,10))+TIMEVALUE(MID($F92,12,8))+Settings!$C$7/24,"")))</f>
        <v/>
      </c>
      <c r="P92" s="106">
        <f>IF($G92="","",IF(ISNUMBER($G92),$G92+Settings!$C$7/24,IFERROR(DATEVALUE(LEFT($G92,10))+TIMEVALUE(MID($G92,12,8))+Settings!$C$7/24,"")))</f>
        <v>46267.542719907404</v>
      </c>
      <c r="Q92" s="39" t="str">
        <f t="shared" si="19"/>
        <v/>
      </c>
      <c r="R92" s="39" t="str">
        <f t="shared" si="20"/>
        <v/>
      </c>
      <c r="S92" s="107">
        <f t="shared" si="21"/>
        <v>46267</v>
      </c>
      <c r="T92" s="39">
        <f>IF($C92="","",IF(COUNTIF($C$2:$C92,$C92)=1,1,0))</f>
        <v>0</v>
      </c>
      <c r="U92" s="39" t="str">
        <f>IF($T92=1,COUNTIF($T$2:$T92,1),"")</f>
        <v/>
      </c>
      <c r="V92" s="39">
        <f>IF($B92="","",IF(COUNTIF($B$2:$B92,$B92)=1,1,0))</f>
        <v>1</v>
      </c>
      <c r="W92" s="39">
        <f>IF($V92=1,COUNTIF($V$2:$V92,1),"")</f>
        <v>18</v>
      </c>
      <c r="X92" s="39">
        <f>IF($A92="","",IF(COUNTIF($A$2:$A92,$A92)=1,1,0))</f>
        <v>0</v>
      </c>
      <c r="Y92" s="39" t="str">
        <f>IF($X92=1,COUNTIF($X$2:$X92,1),"")</f>
        <v/>
      </c>
      <c r="Z92" s="39">
        <f>IF(AND($E92="timed",$N92&gt;Settings!$C$8),1,0)</f>
        <v>0</v>
      </c>
      <c r="AA92" s="39">
        <f t="shared" si="22"/>
        <v>0</v>
      </c>
      <c r="AB92" s="39">
        <f t="shared" si="23"/>
        <v>0</v>
      </c>
      <c r="AC92" s="39" t="str">
        <f t="shared" si="24"/>
        <v/>
      </c>
      <c r="AD92" s="39" t="str">
        <f t="shared" si="25"/>
        <v/>
      </c>
      <c r="AE92" s="39" t="str">
        <f t="shared" si="26"/>
        <v/>
      </c>
      <c r="AF92" s="106" t="str">
        <f t="shared" si="27"/>
        <v/>
      </c>
      <c r="AG92" s="39">
        <f t="shared" si="28"/>
        <v>0</v>
      </c>
      <c r="AH92" s="39" t="str">
        <f t="shared" si="29"/>
        <v/>
      </c>
      <c r="AI92" s="39">
        <f>IF(AND($E92="timed",$N92&gt;=Settings!$C$9),1,0)</f>
        <v>0</v>
      </c>
      <c r="AJ92" s="39">
        <f>IF(OR($S92="",Settings!$C$16=""),"",IF($S92&lt;=Settings!$C$16,1,2))</f>
        <v>1</v>
      </c>
      <c r="AK92" s="39">
        <f>IF($C92="","",IFERROR(IF(INDEX(Settings!$C$20:$C$59,MATCH($C92,Settings!$B$20:$B$59,0))="",Settings!$C$10,INDEX(Settings!$C$20:$C$59,MATCH($C92,Settings!$B$20:$B$59,0))),Settings!$C$10))</f>
        <v>38.42</v>
      </c>
      <c r="AL92" s="108">
        <f t="shared" si="30"/>
        <v>0</v>
      </c>
      <c r="AM92" s="39" t="str">
        <f t="shared" si="31"/>
        <v/>
      </c>
      <c r="AN92" s="39" t="str">
        <f t="shared" si="32"/>
        <v/>
      </c>
      <c r="AO92" s="39" t="str">
        <f t="shared" si="33"/>
        <v/>
      </c>
      <c r="AP92" s="39">
        <f t="shared" si="34"/>
        <v>0</v>
      </c>
      <c r="AQ92" s="39">
        <f t="shared" si="35"/>
        <v>0</v>
      </c>
    </row>
    <row r="93" spans="1:43" x14ac:dyDescent="0.25">
      <c r="A93" s="113">
        <v>46268</v>
      </c>
      <c r="B93" t="s">
        <v>494</v>
      </c>
      <c r="C93" t="s">
        <v>475</v>
      </c>
      <c r="D93" t="s">
        <v>288</v>
      </c>
      <c r="E93" t="s">
        <v>476</v>
      </c>
      <c r="G93" t="s">
        <v>495</v>
      </c>
      <c r="K93" t="s">
        <v>292</v>
      </c>
      <c r="L93" t="s">
        <v>478</v>
      </c>
      <c r="N93" s="105">
        <f t="shared" si="18"/>
        <v>0</v>
      </c>
      <c r="O93" s="106" t="str">
        <f>IF($F93="","",IF(ISNUMBER($F93),$F93+Settings!$C$7/24,IFERROR(DATEVALUE(LEFT($F93,10))+TIMEVALUE(MID($F93,12,8))+Settings!$C$7/24,"")))</f>
        <v/>
      </c>
      <c r="P93" s="106">
        <f>IF($G93="","",IF(ISNUMBER($G93),$G93+Settings!$C$7/24,IFERROR(DATEVALUE(LEFT($G93,10))+TIMEVALUE(MID($G93,12,8))+Settings!$C$7/24,"")))</f>
        <v>46268.560578703706</v>
      </c>
      <c r="Q93" s="39" t="str">
        <f t="shared" si="19"/>
        <v/>
      </c>
      <c r="R93" s="39" t="str">
        <f t="shared" si="20"/>
        <v/>
      </c>
      <c r="S93" s="107">
        <f t="shared" si="21"/>
        <v>46268</v>
      </c>
      <c r="T93" s="39">
        <f>IF($C93="","",IF(COUNTIF($C$2:$C93,$C93)=1,1,0))</f>
        <v>0</v>
      </c>
      <c r="U93" s="39" t="str">
        <f>IF($T93=1,COUNTIF($T$2:$T93,1),"")</f>
        <v/>
      </c>
      <c r="V93" s="39">
        <f>IF($B93="","",IF(COUNTIF($B$2:$B93,$B93)=1,1,0))</f>
        <v>1</v>
      </c>
      <c r="W93" s="39">
        <f>IF($V93=1,COUNTIF($V$2:$V93,1),"")</f>
        <v>19</v>
      </c>
      <c r="X93" s="39">
        <f>IF($A93="","",IF(COUNTIF($A$2:$A93,$A93)=1,1,0))</f>
        <v>0</v>
      </c>
      <c r="Y93" s="39" t="str">
        <f>IF($X93=1,COUNTIF($X$2:$X93,1),"")</f>
        <v/>
      </c>
      <c r="Z93" s="39">
        <f>IF(AND($E93="timed",$N93&gt;Settings!$C$8),1,0)</f>
        <v>0</v>
      </c>
      <c r="AA93" s="39">
        <f t="shared" si="22"/>
        <v>0</v>
      </c>
      <c r="AB93" s="39">
        <f t="shared" si="23"/>
        <v>0</v>
      </c>
      <c r="AC93" s="39" t="str">
        <f t="shared" si="24"/>
        <v/>
      </c>
      <c r="AD93" s="39" t="str">
        <f t="shared" si="25"/>
        <v/>
      </c>
      <c r="AE93" s="39" t="str">
        <f t="shared" si="26"/>
        <v/>
      </c>
      <c r="AF93" s="106" t="str">
        <f t="shared" si="27"/>
        <v/>
      </c>
      <c r="AG93" s="39">
        <f t="shared" si="28"/>
        <v>0</v>
      </c>
      <c r="AH93" s="39" t="str">
        <f t="shared" si="29"/>
        <v/>
      </c>
      <c r="AI93" s="39">
        <f>IF(AND($E93="timed",$N93&gt;=Settings!$C$9),1,0)</f>
        <v>0</v>
      </c>
      <c r="AJ93" s="39">
        <f>IF(OR($S93="",Settings!$C$16=""),"",IF($S93&lt;=Settings!$C$16,1,2))</f>
        <v>2</v>
      </c>
      <c r="AK93" s="39">
        <f>IF($C93="","",IFERROR(IF(INDEX(Settings!$C$20:$C$59,MATCH($C93,Settings!$B$20:$B$59,0))="",Settings!$C$10,INDEX(Settings!$C$20:$C$59,MATCH($C93,Settings!$B$20:$B$59,0))),Settings!$C$10))</f>
        <v>38.42</v>
      </c>
      <c r="AL93" s="108">
        <f t="shared" si="30"/>
        <v>0</v>
      </c>
      <c r="AM93" s="39" t="str">
        <f t="shared" si="31"/>
        <v/>
      </c>
      <c r="AN93" s="39" t="str">
        <f t="shared" si="32"/>
        <v/>
      </c>
      <c r="AO93" s="39" t="str">
        <f t="shared" si="33"/>
        <v/>
      </c>
      <c r="AP93" s="39">
        <f t="shared" si="34"/>
        <v>0</v>
      </c>
      <c r="AQ93" s="39">
        <f t="shared" si="35"/>
        <v>0</v>
      </c>
    </row>
    <row r="94" spans="1:43" x14ac:dyDescent="0.25">
      <c r="A94" s="113">
        <v>46268</v>
      </c>
      <c r="B94" t="s">
        <v>496</v>
      </c>
      <c r="C94" t="s">
        <v>475</v>
      </c>
      <c r="D94" t="s">
        <v>288</v>
      </c>
      <c r="E94" t="s">
        <v>476</v>
      </c>
      <c r="G94" t="s">
        <v>497</v>
      </c>
      <c r="K94" t="s">
        <v>292</v>
      </c>
      <c r="L94" t="s">
        <v>478</v>
      </c>
      <c r="N94" s="105">
        <f t="shared" si="18"/>
        <v>0</v>
      </c>
      <c r="O94" s="106" t="str">
        <f>IF($F94="","",IF(ISNUMBER($F94),$F94+Settings!$C$7/24,IFERROR(DATEVALUE(LEFT($F94,10))+TIMEVALUE(MID($F94,12,8))+Settings!$C$7/24,"")))</f>
        <v/>
      </c>
      <c r="P94" s="106">
        <f>IF($G94="","",IF(ISNUMBER($G94),$G94+Settings!$C$7/24,IFERROR(DATEVALUE(LEFT($G94,10))+TIMEVALUE(MID($G94,12,8))+Settings!$C$7/24,"")))</f>
        <v>46268.628495370373</v>
      </c>
      <c r="Q94" s="39" t="str">
        <f t="shared" si="19"/>
        <v/>
      </c>
      <c r="R94" s="39" t="str">
        <f t="shared" si="20"/>
        <v/>
      </c>
      <c r="S94" s="107">
        <f t="shared" si="21"/>
        <v>46268</v>
      </c>
      <c r="T94" s="39">
        <f>IF($C94="","",IF(COUNTIF($C$2:$C94,$C94)=1,1,0))</f>
        <v>0</v>
      </c>
      <c r="U94" s="39" t="str">
        <f>IF($T94=1,COUNTIF($T$2:$T94,1),"")</f>
        <v/>
      </c>
      <c r="V94" s="39">
        <f>IF($B94="","",IF(COUNTIF($B$2:$B94,$B94)=1,1,0))</f>
        <v>1</v>
      </c>
      <c r="W94" s="39">
        <f>IF($V94=1,COUNTIF($V$2:$V94,1),"")</f>
        <v>20</v>
      </c>
      <c r="X94" s="39">
        <f>IF($A94="","",IF(COUNTIF($A$2:$A94,$A94)=1,1,0))</f>
        <v>0</v>
      </c>
      <c r="Y94" s="39" t="str">
        <f>IF($X94=1,COUNTIF($X$2:$X94,1),"")</f>
        <v/>
      </c>
      <c r="Z94" s="39">
        <f>IF(AND($E94="timed",$N94&gt;Settings!$C$8),1,0)</f>
        <v>0</v>
      </c>
      <c r="AA94" s="39">
        <f t="shared" si="22"/>
        <v>0</v>
      </c>
      <c r="AB94" s="39">
        <f t="shared" si="23"/>
        <v>0</v>
      </c>
      <c r="AC94" s="39" t="str">
        <f t="shared" si="24"/>
        <v/>
      </c>
      <c r="AD94" s="39" t="str">
        <f t="shared" si="25"/>
        <v/>
      </c>
      <c r="AE94" s="39" t="str">
        <f t="shared" si="26"/>
        <v/>
      </c>
      <c r="AF94" s="106" t="str">
        <f t="shared" si="27"/>
        <v/>
      </c>
      <c r="AG94" s="39">
        <f t="shared" si="28"/>
        <v>0</v>
      </c>
      <c r="AH94" s="39" t="str">
        <f t="shared" si="29"/>
        <v/>
      </c>
      <c r="AI94" s="39">
        <f>IF(AND($E94="timed",$N94&gt;=Settings!$C$9),1,0)</f>
        <v>0</v>
      </c>
      <c r="AJ94" s="39">
        <f>IF(OR($S94="",Settings!$C$16=""),"",IF($S94&lt;=Settings!$C$16,1,2))</f>
        <v>2</v>
      </c>
      <c r="AK94" s="39">
        <f>IF($C94="","",IFERROR(IF(INDEX(Settings!$C$20:$C$59,MATCH($C94,Settings!$B$20:$B$59,0))="",Settings!$C$10,INDEX(Settings!$C$20:$C$59,MATCH($C94,Settings!$B$20:$B$59,0))),Settings!$C$10))</f>
        <v>38.42</v>
      </c>
      <c r="AL94" s="108">
        <f t="shared" si="30"/>
        <v>0</v>
      </c>
      <c r="AM94" s="39" t="str">
        <f t="shared" si="31"/>
        <v/>
      </c>
      <c r="AN94" s="39" t="str">
        <f t="shared" si="32"/>
        <v/>
      </c>
      <c r="AO94" s="39" t="str">
        <f t="shared" si="33"/>
        <v/>
      </c>
      <c r="AP94" s="39">
        <f t="shared" si="34"/>
        <v>0</v>
      </c>
      <c r="AQ94" s="39">
        <f t="shared" si="35"/>
        <v>0</v>
      </c>
    </row>
    <row r="95" spans="1:43" x14ac:dyDescent="0.25">
      <c r="A95" s="113">
        <v>46269</v>
      </c>
      <c r="B95" t="s">
        <v>498</v>
      </c>
      <c r="C95" t="s">
        <v>475</v>
      </c>
      <c r="D95" t="s">
        <v>288</v>
      </c>
      <c r="E95" t="s">
        <v>476</v>
      </c>
      <c r="G95" t="s">
        <v>499</v>
      </c>
      <c r="J95" s="113">
        <v>46268</v>
      </c>
      <c r="K95" t="s">
        <v>292</v>
      </c>
      <c r="L95" t="s">
        <v>481</v>
      </c>
      <c r="N95" s="105">
        <f t="shared" si="18"/>
        <v>0</v>
      </c>
      <c r="O95" s="106" t="str">
        <f>IF($F95="","",IF(ISNUMBER($F95),$F95+Settings!$C$7/24,IFERROR(DATEVALUE(LEFT($F95,10))+TIMEVALUE(MID($F95,12,8))+Settings!$C$7/24,"")))</f>
        <v/>
      </c>
      <c r="P95" s="106">
        <f>IF($G95="","",IF(ISNUMBER($G95),$G95+Settings!$C$7/24,IFERROR(DATEVALUE(LEFT($G95,10))+TIMEVALUE(MID($G95,12,8))+Settings!$C$7/24,"")))</f>
        <v>46269.662557870368</v>
      </c>
      <c r="Q95" s="39" t="str">
        <f t="shared" si="19"/>
        <v/>
      </c>
      <c r="R95" s="39" t="str">
        <f t="shared" si="20"/>
        <v/>
      </c>
      <c r="S95" s="107">
        <f t="shared" si="21"/>
        <v>46269</v>
      </c>
      <c r="T95" s="39">
        <f>IF($C95="","",IF(COUNTIF($C$2:$C95,$C95)=1,1,0))</f>
        <v>0</v>
      </c>
      <c r="U95" s="39" t="str">
        <f>IF($T95=1,COUNTIF($T$2:$T95,1),"")</f>
        <v/>
      </c>
      <c r="V95" s="39">
        <f>IF($B95="","",IF(COUNTIF($B$2:$B95,$B95)=1,1,0))</f>
        <v>1</v>
      </c>
      <c r="W95" s="39">
        <f>IF($V95=1,COUNTIF($V$2:$V95,1),"")</f>
        <v>21</v>
      </c>
      <c r="X95" s="39">
        <f>IF($A95="","",IF(COUNTIF($A$2:$A95,$A95)=1,1,0))</f>
        <v>0</v>
      </c>
      <c r="Y95" s="39" t="str">
        <f>IF($X95=1,COUNTIF($X$2:$X95,1),"")</f>
        <v/>
      </c>
      <c r="Z95" s="39">
        <f>IF(AND($E95="timed",$N95&gt;Settings!$C$8),1,0)</f>
        <v>0</v>
      </c>
      <c r="AA95" s="39">
        <f t="shared" si="22"/>
        <v>0</v>
      </c>
      <c r="AB95" s="39">
        <f t="shared" si="23"/>
        <v>0</v>
      </c>
      <c r="AC95" s="39" t="str">
        <f t="shared" si="24"/>
        <v/>
      </c>
      <c r="AD95" s="39" t="str">
        <f t="shared" si="25"/>
        <v/>
      </c>
      <c r="AE95" s="39" t="str">
        <f t="shared" si="26"/>
        <v/>
      </c>
      <c r="AF95" s="106" t="str">
        <f t="shared" si="27"/>
        <v/>
      </c>
      <c r="AG95" s="39">
        <f t="shared" si="28"/>
        <v>0</v>
      </c>
      <c r="AH95" s="39" t="str">
        <f t="shared" si="29"/>
        <v/>
      </c>
      <c r="AI95" s="39">
        <f>IF(AND($E95="timed",$N95&gt;=Settings!$C$9),1,0)</f>
        <v>0</v>
      </c>
      <c r="AJ95" s="39">
        <f>IF(OR($S95="",Settings!$C$16=""),"",IF($S95&lt;=Settings!$C$16,1,2))</f>
        <v>2</v>
      </c>
      <c r="AK95" s="39">
        <f>IF($C95="","",IFERROR(IF(INDEX(Settings!$C$20:$C$59,MATCH($C95,Settings!$B$20:$B$59,0))="",Settings!$C$10,INDEX(Settings!$C$20:$C$59,MATCH($C95,Settings!$B$20:$B$59,0))),Settings!$C$10))</f>
        <v>38.42</v>
      </c>
      <c r="AL95" s="108">
        <f t="shared" si="30"/>
        <v>0</v>
      </c>
      <c r="AM95" s="39" t="str">
        <f t="shared" si="31"/>
        <v/>
      </c>
      <c r="AN95" s="39" t="str">
        <f t="shared" si="32"/>
        <v/>
      </c>
      <c r="AO95" s="39" t="str">
        <f t="shared" si="33"/>
        <v/>
      </c>
      <c r="AP95" s="39">
        <f t="shared" si="34"/>
        <v>0</v>
      </c>
      <c r="AQ95" s="39">
        <f t="shared" si="35"/>
        <v>0</v>
      </c>
    </row>
    <row r="96" spans="1:43" x14ac:dyDescent="0.25">
      <c r="N96" s="105">
        <f t="shared" si="18"/>
        <v>0</v>
      </c>
      <c r="O96" s="106" t="str">
        <f>IF($F96="","",IF(ISNUMBER($F96),$F96+Settings!$C$7/24,IFERROR(DATEVALUE(LEFT($F96,10))+TIMEVALUE(MID($F96,12,8))+Settings!$C$7/24,"")))</f>
        <v/>
      </c>
      <c r="P96" s="106" t="str">
        <f>IF($G96="","",IF(ISNUMBER($G96),$G96+Settings!$C$7/24,IFERROR(DATEVALUE(LEFT($G96,10))+TIMEVALUE(MID($G96,12,8))+Settings!$C$7/24,"")))</f>
        <v/>
      </c>
      <c r="Q96" s="39" t="str">
        <f t="shared" si="19"/>
        <v/>
      </c>
      <c r="R96" s="39" t="str">
        <f t="shared" si="20"/>
        <v/>
      </c>
      <c r="S96" s="107" t="str">
        <f t="shared" si="21"/>
        <v/>
      </c>
      <c r="T96" s="39" t="str">
        <f>IF($C96="","",IF(COUNTIF($C$2:$C96,$C96)=1,1,0))</f>
        <v/>
      </c>
      <c r="U96" s="39" t="str">
        <f>IF($T96=1,COUNTIF($T$2:$T96,1),"")</f>
        <v/>
      </c>
      <c r="V96" s="39" t="str">
        <f>IF($B96="","",IF(COUNTIF($B$2:$B96,$B96)=1,1,0))</f>
        <v/>
      </c>
      <c r="W96" s="39" t="str">
        <f>IF($V96=1,COUNTIF($V$2:$V96,1),"")</f>
        <v/>
      </c>
      <c r="X96" s="39" t="str">
        <f>IF($A96="","",IF(COUNTIF($A$2:$A96,$A96)=1,1,0))</f>
        <v/>
      </c>
      <c r="Y96" s="39" t="str">
        <f>IF($X96=1,COUNTIF($X$2:$X96,1),"")</f>
        <v/>
      </c>
      <c r="Z96" s="39">
        <f>IF(AND($E96="timed",$N96&gt;Settings!$C$8),1,0)</f>
        <v>0</v>
      </c>
      <c r="AA96" s="39">
        <f t="shared" si="22"/>
        <v>0</v>
      </c>
      <c r="AB96" s="39">
        <f t="shared" si="23"/>
        <v>0</v>
      </c>
      <c r="AC96" s="39" t="str">
        <f t="shared" si="24"/>
        <v/>
      </c>
      <c r="AD96" s="39" t="str">
        <f t="shared" si="25"/>
        <v/>
      </c>
      <c r="AE96" s="39" t="str">
        <f t="shared" si="26"/>
        <v/>
      </c>
      <c r="AF96" s="106" t="str">
        <f t="shared" si="27"/>
        <v/>
      </c>
      <c r="AG96" s="39">
        <f t="shared" si="28"/>
        <v>0</v>
      </c>
      <c r="AH96" s="39" t="str">
        <f t="shared" si="29"/>
        <v/>
      </c>
      <c r="AI96" s="39">
        <f>IF(AND($E96="timed",$N96&gt;=Settings!$C$9),1,0)</f>
        <v>0</v>
      </c>
      <c r="AJ96" s="39" t="str">
        <f>IF(OR($S96="",Settings!$C$16=""),"",IF($S96&lt;=Settings!$C$16,1,2))</f>
        <v/>
      </c>
      <c r="AK96" s="39" t="str">
        <f>IF($C96="","",IFERROR(IF(INDEX(Settings!$C$20:$C$59,MATCH($C96,Settings!$B$20:$B$59,0))="",Settings!$C$10,INDEX(Settings!$C$20:$C$59,MATCH($C96,Settings!$B$20:$B$59,0))),Settings!$C$10))</f>
        <v/>
      </c>
      <c r="AL96" s="108">
        <f t="shared" si="30"/>
        <v>0</v>
      </c>
      <c r="AM96" s="39" t="str">
        <f t="shared" si="31"/>
        <v/>
      </c>
      <c r="AN96" s="39" t="str">
        <f t="shared" si="32"/>
        <v/>
      </c>
      <c r="AO96" s="39" t="str">
        <f t="shared" si="33"/>
        <v/>
      </c>
      <c r="AP96" s="39">
        <f t="shared" si="34"/>
        <v>0</v>
      </c>
      <c r="AQ96" s="39">
        <f t="shared" si="35"/>
        <v>0</v>
      </c>
    </row>
    <row r="97" spans="14:43" x14ac:dyDescent="0.25">
      <c r="N97" s="105">
        <f t="shared" si="18"/>
        <v>0</v>
      </c>
      <c r="O97" s="106" t="str">
        <f>IF($F97="","",IF(ISNUMBER($F97),$F97+Settings!$C$7/24,IFERROR(DATEVALUE(LEFT($F97,10))+TIMEVALUE(MID($F97,12,8))+Settings!$C$7/24,"")))</f>
        <v/>
      </c>
      <c r="P97" s="106" t="str">
        <f>IF($G97="","",IF(ISNUMBER($G97),$G97+Settings!$C$7/24,IFERROR(DATEVALUE(LEFT($G97,10))+TIMEVALUE(MID($G97,12,8))+Settings!$C$7/24,"")))</f>
        <v/>
      </c>
      <c r="Q97" s="39" t="str">
        <f t="shared" si="19"/>
        <v/>
      </c>
      <c r="R97" s="39" t="str">
        <f t="shared" si="20"/>
        <v/>
      </c>
      <c r="S97" s="107" t="str">
        <f t="shared" si="21"/>
        <v/>
      </c>
      <c r="T97" s="39" t="str">
        <f>IF($C97="","",IF(COUNTIF($C$2:$C97,$C97)=1,1,0))</f>
        <v/>
      </c>
      <c r="U97" s="39" t="str">
        <f>IF($T97=1,COUNTIF($T$2:$T97,1),"")</f>
        <v/>
      </c>
      <c r="V97" s="39" t="str">
        <f>IF($B97="","",IF(COUNTIF($B$2:$B97,$B97)=1,1,0))</f>
        <v/>
      </c>
      <c r="W97" s="39" t="str">
        <f>IF($V97=1,COUNTIF($V$2:$V97,1),"")</f>
        <v/>
      </c>
      <c r="X97" s="39" t="str">
        <f>IF($A97="","",IF(COUNTIF($A$2:$A97,$A97)=1,1,0))</f>
        <v/>
      </c>
      <c r="Y97" s="39" t="str">
        <f>IF($X97=1,COUNTIF($X$2:$X97,1),"")</f>
        <v/>
      </c>
      <c r="Z97" s="39">
        <f>IF(AND($E97="timed",$N97&gt;Settings!$C$8),1,0)</f>
        <v>0</v>
      </c>
      <c r="AA97" s="39">
        <f t="shared" si="22"/>
        <v>0</v>
      </c>
      <c r="AB97" s="39">
        <f t="shared" si="23"/>
        <v>0</v>
      </c>
      <c r="AC97" s="39" t="str">
        <f t="shared" si="24"/>
        <v/>
      </c>
      <c r="AD97" s="39" t="str">
        <f t="shared" si="25"/>
        <v/>
      </c>
      <c r="AE97" s="39" t="str">
        <f t="shared" si="26"/>
        <v/>
      </c>
      <c r="AF97" s="106" t="str">
        <f t="shared" si="27"/>
        <v/>
      </c>
      <c r="AG97" s="39">
        <f t="shared" si="28"/>
        <v>0</v>
      </c>
      <c r="AH97" s="39" t="str">
        <f t="shared" si="29"/>
        <v/>
      </c>
      <c r="AI97" s="39">
        <f>IF(AND($E97="timed",$N97&gt;=Settings!$C$9),1,0)</f>
        <v>0</v>
      </c>
      <c r="AJ97" s="39" t="str">
        <f>IF(OR($S97="",Settings!$C$16=""),"",IF($S97&lt;=Settings!$C$16,1,2))</f>
        <v/>
      </c>
      <c r="AK97" s="39" t="str">
        <f>IF($C97="","",IFERROR(IF(INDEX(Settings!$C$20:$C$59,MATCH($C97,Settings!$B$20:$B$59,0))="",Settings!$C$10,INDEX(Settings!$C$20:$C$59,MATCH($C97,Settings!$B$20:$B$59,0))),Settings!$C$10))</f>
        <v/>
      </c>
      <c r="AL97" s="108">
        <f t="shared" si="30"/>
        <v>0</v>
      </c>
      <c r="AM97" s="39" t="str">
        <f t="shared" si="31"/>
        <v/>
      </c>
      <c r="AN97" s="39" t="str">
        <f t="shared" si="32"/>
        <v/>
      </c>
      <c r="AO97" s="39" t="str">
        <f t="shared" si="33"/>
        <v/>
      </c>
      <c r="AP97" s="39">
        <f t="shared" si="34"/>
        <v>0</v>
      </c>
      <c r="AQ97" s="39">
        <f t="shared" si="35"/>
        <v>0</v>
      </c>
    </row>
    <row r="98" spans="14:43" x14ac:dyDescent="0.25">
      <c r="N98" s="105">
        <f t="shared" si="18"/>
        <v>0</v>
      </c>
      <c r="O98" s="106" t="str">
        <f>IF($F98="","",IF(ISNUMBER($F98),$F98+Settings!$C$7/24,IFERROR(DATEVALUE(LEFT($F98,10))+TIMEVALUE(MID($F98,12,8))+Settings!$C$7/24,"")))</f>
        <v/>
      </c>
      <c r="P98" s="106" t="str">
        <f>IF($G98="","",IF(ISNUMBER($G98),$G98+Settings!$C$7/24,IFERROR(DATEVALUE(LEFT($G98,10))+TIMEVALUE(MID($G98,12,8))+Settings!$C$7/24,"")))</f>
        <v/>
      </c>
      <c r="Q98" s="39" t="str">
        <f t="shared" si="19"/>
        <v/>
      </c>
      <c r="R98" s="39" t="str">
        <f t="shared" si="20"/>
        <v/>
      </c>
      <c r="S98" s="107" t="str">
        <f t="shared" si="21"/>
        <v/>
      </c>
      <c r="T98" s="39" t="str">
        <f>IF($C98="","",IF(COUNTIF($C$2:$C98,$C98)=1,1,0))</f>
        <v/>
      </c>
      <c r="U98" s="39" t="str">
        <f>IF($T98=1,COUNTIF($T$2:$T98,1),"")</f>
        <v/>
      </c>
      <c r="V98" s="39" t="str">
        <f>IF($B98="","",IF(COUNTIF($B$2:$B98,$B98)=1,1,0))</f>
        <v/>
      </c>
      <c r="W98" s="39" t="str">
        <f>IF($V98=1,COUNTIF($V$2:$V98,1),"")</f>
        <v/>
      </c>
      <c r="X98" s="39" t="str">
        <f>IF($A98="","",IF(COUNTIF($A$2:$A98,$A98)=1,1,0))</f>
        <v/>
      </c>
      <c r="Y98" s="39" t="str">
        <f>IF($X98=1,COUNTIF($X$2:$X98,1),"")</f>
        <v/>
      </c>
      <c r="Z98" s="39">
        <f>IF(AND($E98="timed",$N98&gt;Settings!$C$8),1,0)</f>
        <v>0</v>
      </c>
      <c r="AA98" s="39">
        <f t="shared" si="22"/>
        <v>0</v>
      </c>
      <c r="AB98" s="39">
        <f t="shared" si="23"/>
        <v>0</v>
      </c>
      <c r="AC98" s="39" t="str">
        <f t="shared" si="24"/>
        <v/>
      </c>
      <c r="AD98" s="39" t="str">
        <f t="shared" si="25"/>
        <v/>
      </c>
      <c r="AE98" s="39" t="str">
        <f t="shared" si="26"/>
        <v/>
      </c>
      <c r="AF98" s="106" t="str">
        <f t="shared" si="27"/>
        <v/>
      </c>
      <c r="AG98" s="39">
        <f t="shared" si="28"/>
        <v>0</v>
      </c>
      <c r="AH98" s="39" t="str">
        <f t="shared" si="29"/>
        <v/>
      </c>
      <c r="AI98" s="39">
        <f>IF(AND($E98="timed",$N98&gt;=Settings!$C$9),1,0)</f>
        <v>0</v>
      </c>
      <c r="AJ98" s="39" t="str">
        <f>IF(OR($S98="",Settings!$C$16=""),"",IF($S98&lt;=Settings!$C$16,1,2))</f>
        <v/>
      </c>
      <c r="AK98" s="39" t="str">
        <f>IF($C98="","",IFERROR(IF(INDEX(Settings!$C$20:$C$59,MATCH($C98,Settings!$B$20:$B$59,0))="",Settings!$C$10,INDEX(Settings!$C$20:$C$59,MATCH($C98,Settings!$B$20:$B$59,0))),Settings!$C$10))</f>
        <v/>
      </c>
      <c r="AL98" s="108">
        <f t="shared" si="30"/>
        <v>0</v>
      </c>
      <c r="AM98" s="39" t="str">
        <f t="shared" si="31"/>
        <v/>
      </c>
      <c r="AN98" s="39" t="str">
        <f t="shared" si="32"/>
        <v/>
      </c>
      <c r="AO98" s="39" t="str">
        <f t="shared" si="33"/>
        <v/>
      </c>
      <c r="AP98" s="39">
        <f t="shared" si="34"/>
        <v>0</v>
      </c>
      <c r="AQ98" s="39">
        <f t="shared" si="35"/>
        <v>0</v>
      </c>
    </row>
    <row r="99" spans="14:43" x14ac:dyDescent="0.25">
      <c r="N99" s="105">
        <f t="shared" si="18"/>
        <v>0</v>
      </c>
      <c r="O99" s="106" t="str">
        <f>IF($F99="","",IF(ISNUMBER($F99),$F99+Settings!$C$7/24,IFERROR(DATEVALUE(LEFT($F99,10))+TIMEVALUE(MID($F99,12,8))+Settings!$C$7/24,"")))</f>
        <v/>
      </c>
      <c r="P99" s="106" t="str">
        <f>IF($G99="","",IF(ISNUMBER($G99),$G99+Settings!$C$7/24,IFERROR(DATEVALUE(LEFT($G99,10))+TIMEVALUE(MID($G99,12,8))+Settings!$C$7/24,"")))</f>
        <v/>
      </c>
      <c r="Q99" s="39" t="str">
        <f t="shared" si="19"/>
        <v/>
      </c>
      <c r="R99" s="39" t="str">
        <f t="shared" si="20"/>
        <v/>
      </c>
      <c r="S99" s="107" t="str">
        <f t="shared" si="21"/>
        <v/>
      </c>
      <c r="T99" s="39" t="str">
        <f>IF($C99="","",IF(COUNTIF($C$2:$C99,$C99)=1,1,0))</f>
        <v/>
      </c>
      <c r="U99" s="39" t="str">
        <f>IF($T99=1,COUNTIF($T$2:$T99,1),"")</f>
        <v/>
      </c>
      <c r="V99" s="39" t="str">
        <f>IF($B99="","",IF(COUNTIF($B$2:$B99,$B99)=1,1,0))</f>
        <v/>
      </c>
      <c r="W99" s="39" t="str">
        <f>IF($V99=1,COUNTIF($V$2:$V99,1),"")</f>
        <v/>
      </c>
      <c r="X99" s="39" t="str">
        <f>IF($A99="","",IF(COUNTIF($A$2:$A99,$A99)=1,1,0))</f>
        <v/>
      </c>
      <c r="Y99" s="39" t="str">
        <f>IF($X99=1,COUNTIF($X$2:$X99,1),"")</f>
        <v/>
      </c>
      <c r="Z99" s="39">
        <f>IF(AND($E99="timed",$N99&gt;Settings!$C$8),1,0)</f>
        <v>0</v>
      </c>
      <c r="AA99" s="39">
        <f t="shared" si="22"/>
        <v>0</v>
      </c>
      <c r="AB99" s="39">
        <f t="shared" si="23"/>
        <v>0</v>
      </c>
      <c r="AC99" s="39" t="str">
        <f t="shared" si="24"/>
        <v/>
      </c>
      <c r="AD99" s="39" t="str">
        <f t="shared" si="25"/>
        <v/>
      </c>
      <c r="AE99" s="39" t="str">
        <f t="shared" si="26"/>
        <v/>
      </c>
      <c r="AF99" s="106" t="str">
        <f t="shared" si="27"/>
        <v/>
      </c>
      <c r="AG99" s="39">
        <f t="shared" si="28"/>
        <v>0</v>
      </c>
      <c r="AH99" s="39" t="str">
        <f t="shared" si="29"/>
        <v/>
      </c>
      <c r="AI99" s="39">
        <f>IF(AND($E99="timed",$N99&gt;=Settings!$C$9),1,0)</f>
        <v>0</v>
      </c>
      <c r="AJ99" s="39" t="str">
        <f>IF(OR($S99="",Settings!$C$16=""),"",IF($S99&lt;=Settings!$C$16,1,2))</f>
        <v/>
      </c>
      <c r="AK99" s="39" t="str">
        <f>IF($C99="","",IFERROR(IF(INDEX(Settings!$C$20:$C$59,MATCH($C99,Settings!$B$20:$B$59,0))="",Settings!$C$10,INDEX(Settings!$C$20:$C$59,MATCH($C99,Settings!$B$20:$B$59,0))),Settings!$C$10))</f>
        <v/>
      </c>
      <c r="AL99" s="108">
        <f t="shared" si="30"/>
        <v>0</v>
      </c>
      <c r="AM99" s="39" t="str">
        <f t="shared" si="31"/>
        <v/>
      </c>
      <c r="AN99" s="39" t="str">
        <f t="shared" si="32"/>
        <v/>
      </c>
      <c r="AO99" s="39" t="str">
        <f t="shared" si="33"/>
        <v/>
      </c>
      <c r="AP99" s="39">
        <f t="shared" si="34"/>
        <v>0</v>
      </c>
      <c r="AQ99" s="39">
        <f t="shared" si="35"/>
        <v>0</v>
      </c>
    </row>
    <row r="100" spans="14:43" x14ac:dyDescent="0.25">
      <c r="N100" s="105">
        <f t="shared" si="18"/>
        <v>0</v>
      </c>
      <c r="O100" s="106" t="str">
        <f>IF($F100="","",IF(ISNUMBER($F100),$F100+Settings!$C$7/24,IFERROR(DATEVALUE(LEFT($F100,10))+TIMEVALUE(MID($F100,12,8))+Settings!$C$7/24,"")))</f>
        <v/>
      </c>
      <c r="P100" s="106" t="str">
        <f>IF($G100="","",IF(ISNUMBER($G100),$G100+Settings!$C$7/24,IFERROR(DATEVALUE(LEFT($G100,10))+TIMEVALUE(MID($G100,12,8))+Settings!$C$7/24,"")))</f>
        <v/>
      </c>
      <c r="Q100" s="39" t="str">
        <f t="shared" si="19"/>
        <v/>
      </c>
      <c r="R100" s="39" t="str">
        <f t="shared" si="20"/>
        <v/>
      </c>
      <c r="S100" s="107" t="str">
        <f t="shared" si="21"/>
        <v/>
      </c>
      <c r="T100" s="39" t="str">
        <f>IF($C100="","",IF(COUNTIF($C$2:$C100,$C100)=1,1,0))</f>
        <v/>
      </c>
      <c r="U100" s="39" t="str">
        <f>IF($T100=1,COUNTIF($T$2:$T100,1),"")</f>
        <v/>
      </c>
      <c r="V100" s="39" t="str">
        <f>IF($B100="","",IF(COUNTIF($B$2:$B100,$B100)=1,1,0))</f>
        <v/>
      </c>
      <c r="W100" s="39" t="str">
        <f>IF($V100=1,COUNTIF($V$2:$V100,1),"")</f>
        <v/>
      </c>
      <c r="X100" s="39" t="str">
        <f>IF($A100="","",IF(COUNTIF($A$2:$A100,$A100)=1,1,0))</f>
        <v/>
      </c>
      <c r="Y100" s="39" t="str">
        <f>IF($X100=1,COUNTIF($X$2:$X100,1),"")</f>
        <v/>
      </c>
      <c r="Z100" s="39">
        <f>IF(AND($E100="timed",$N100&gt;Settings!$C$8),1,0)</f>
        <v>0</v>
      </c>
      <c r="AA100" s="39">
        <f t="shared" si="22"/>
        <v>0</v>
      </c>
      <c r="AB100" s="39">
        <f t="shared" si="23"/>
        <v>0</v>
      </c>
      <c r="AC100" s="39" t="str">
        <f t="shared" si="24"/>
        <v/>
      </c>
      <c r="AD100" s="39" t="str">
        <f t="shared" si="25"/>
        <v/>
      </c>
      <c r="AE100" s="39" t="str">
        <f t="shared" si="26"/>
        <v/>
      </c>
      <c r="AF100" s="106" t="str">
        <f t="shared" si="27"/>
        <v/>
      </c>
      <c r="AG100" s="39">
        <f t="shared" si="28"/>
        <v>0</v>
      </c>
      <c r="AH100" s="39" t="str">
        <f t="shared" si="29"/>
        <v/>
      </c>
      <c r="AI100" s="39">
        <f>IF(AND($E100="timed",$N100&gt;=Settings!$C$9),1,0)</f>
        <v>0</v>
      </c>
      <c r="AJ100" s="39" t="str">
        <f>IF(OR($S100="",Settings!$C$16=""),"",IF($S100&lt;=Settings!$C$16,1,2))</f>
        <v/>
      </c>
      <c r="AK100" s="39" t="str">
        <f>IF($C100="","",IFERROR(IF(INDEX(Settings!$C$20:$C$59,MATCH($C100,Settings!$B$20:$B$59,0))="",Settings!$C$10,INDEX(Settings!$C$20:$C$59,MATCH($C100,Settings!$B$20:$B$59,0))),Settings!$C$10))</f>
        <v/>
      </c>
      <c r="AL100" s="108">
        <f t="shared" si="30"/>
        <v>0</v>
      </c>
      <c r="AM100" s="39" t="str">
        <f t="shared" si="31"/>
        <v/>
      </c>
      <c r="AN100" s="39" t="str">
        <f t="shared" si="32"/>
        <v/>
      </c>
      <c r="AO100" s="39" t="str">
        <f t="shared" si="33"/>
        <v/>
      </c>
      <c r="AP100" s="39">
        <f t="shared" si="34"/>
        <v>0</v>
      </c>
      <c r="AQ100" s="39">
        <f t="shared" si="35"/>
        <v>0</v>
      </c>
    </row>
    <row r="101" spans="14:43" x14ac:dyDescent="0.25">
      <c r="N101" s="105">
        <f t="shared" si="18"/>
        <v>0</v>
      </c>
      <c r="O101" s="106" t="str">
        <f>IF($F101="","",IF(ISNUMBER($F101),$F101+Settings!$C$7/24,IFERROR(DATEVALUE(LEFT($F101,10))+TIMEVALUE(MID($F101,12,8))+Settings!$C$7/24,"")))</f>
        <v/>
      </c>
      <c r="P101" s="106" t="str">
        <f>IF($G101="","",IF(ISNUMBER($G101),$G101+Settings!$C$7/24,IFERROR(DATEVALUE(LEFT($G101,10))+TIMEVALUE(MID($G101,12,8))+Settings!$C$7/24,"")))</f>
        <v/>
      </c>
      <c r="Q101" s="39" t="str">
        <f t="shared" si="19"/>
        <v/>
      </c>
      <c r="R101" s="39" t="str">
        <f t="shared" si="20"/>
        <v/>
      </c>
      <c r="S101" s="107" t="str">
        <f t="shared" si="21"/>
        <v/>
      </c>
      <c r="T101" s="39" t="str">
        <f>IF($C101="","",IF(COUNTIF($C$2:$C101,$C101)=1,1,0))</f>
        <v/>
      </c>
      <c r="U101" s="39" t="str">
        <f>IF($T101=1,COUNTIF($T$2:$T101,1),"")</f>
        <v/>
      </c>
      <c r="V101" s="39" t="str">
        <f>IF($B101="","",IF(COUNTIF($B$2:$B101,$B101)=1,1,0))</f>
        <v/>
      </c>
      <c r="W101" s="39" t="str">
        <f>IF($V101=1,COUNTIF($V$2:$V101,1),"")</f>
        <v/>
      </c>
      <c r="X101" s="39" t="str">
        <f>IF($A101="","",IF(COUNTIF($A$2:$A101,$A101)=1,1,0))</f>
        <v/>
      </c>
      <c r="Y101" s="39" t="str">
        <f>IF($X101=1,COUNTIF($X$2:$X101,1),"")</f>
        <v/>
      </c>
      <c r="Z101" s="39">
        <f>IF(AND($E101="timed",$N101&gt;Settings!$C$8),1,0)</f>
        <v>0</v>
      </c>
      <c r="AA101" s="39">
        <f t="shared" si="22"/>
        <v>0</v>
      </c>
      <c r="AB101" s="39">
        <f t="shared" si="23"/>
        <v>0</v>
      </c>
      <c r="AC101" s="39" t="str">
        <f t="shared" si="24"/>
        <v/>
      </c>
      <c r="AD101" s="39" t="str">
        <f t="shared" si="25"/>
        <v/>
      </c>
      <c r="AE101" s="39" t="str">
        <f t="shared" si="26"/>
        <v/>
      </c>
      <c r="AF101" s="106" t="str">
        <f t="shared" si="27"/>
        <v/>
      </c>
      <c r="AG101" s="39">
        <f t="shared" si="28"/>
        <v>0</v>
      </c>
      <c r="AH101" s="39" t="str">
        <f t="shared" si="29"/>
        <v/>
      </c>
      <c r="AI101" s="39">
        <f>IF(AND($E101="timed",$N101&gt;=Settings!$C$9),1,0)</f>
        <v>0</v>
      </c>
      <c r="AJ101" s="39" t="str">
        <f>IF(OR($S101="",Settings!$C$16=""),"",IF($S101&lt;=Settings!$C$16,1,2))</f>
        <v/>
      </c>
      <c r="AK101" s="39" t="str">
        <f>IF($C101="","",IFERROR(IF(INDEX(Settings!$C$20:$C$59,MATCH($C101,Settings!$B$20:$B$59,0))="",Settings!$C$10,INDEX(Settings!$C$20:$C$59,MATCH($C101,Settings!$B$20:$B$59,0))),Settings!$C$10))</f>
        <v/>
      </c>
      <c r="AL101" s="108">
        <f t="shared" si="30"/>
        <v>0</v>
      </c>
      <c r="AM101" s="39" t="str">
        <f t="shared" si="31"/>
        <v/>
      </c>
      <c r="AN101" s="39" t="str">
        <f t="shared" si="32"/>
        <v/>
      </c>
      <c r="AO101" s="39" t="str">
        <f t="shared" si="33"/>
        <v/>
      </c>
      <c r="AP101" s="39">
        <f t="shared" si="34"/>
        <v>0</v>
      </c>
      <c r="AQ101" s="39">
        <f t="shared" si="35"/>
        <v>0</v>
      </c>
    </row>
    <row r="102" spans="14:43" x14ac:dyDescent="0.25">
      <c r="N102" s="105">
        <f t="shared" si="18"/>
        <v>0</v>
      </c>
      <c r="O102" s="106" t="str">
        <f>IF($F102="","",IF(ISNUMBER($F102),$F102+Settings!$C$7/24,IFERROR(DATEVALUE(LEFT($F102,10))+TIMEVALUE(MID($F102,12,8))+Settings!$C$7/24,"")))</f>
        <v/>
      </c>
      <c r="P102" s="106" t="str">
        <f>IF($G102="","",IF(ISNUMBER($G102),$G102+Settings!$C$7/24,IFERROR(DATEVALUE(LEFT($G102,10))+TIMEVALUE(MID($G102,12,8))+Settings!$C$7/24,"")))</f>
        <v/>
      </c>
      <c r="Q102" s="39" t="str">
        <f t="shared" si="19"/>
        <v/>
      </c>
      <c r="R102" s="39" t="str">
        <f t="shared" si="20"/>
        <v/>
      </c>
      <c r="S102" s="107" t="str">
        <f t="shared" si="21"/>
        <v/>
      </c>
      <c r="T102" s="39" t="str">
        <f>IF($C102="","",IF(COUNTIF($C$2:$C102,$C102)=1,1,0))</f>
        <v/>
      </c>
      <c r="U102" s="39" t="str">
        <f>IF($T102=1,COUNTIF($T$2:$T102,1),"")</f>
        <v/>
      </c>
      <c r="V102" s="39" t="str">
        <f>IF($B102="","",IF(COUNTIF($B$2:$B102,$B102)=1,1,0))</f>
        <v/>
      </c>
      <c r="W102" s="39" t="str">
        <f>IF($V102=1,COUNTIF($V$2:$V102,1),"")</f>
        <v/>
      </c>
      <c r="X102" s="39" t="str">
        <f>IF($A102="","",IF(COUNTIF($A$2:$A102,$A102)=1,1,0))</f>
        <v/>
      </c>
      <c r="Y102" s="39" t="str">
        <f>IF($X102=1,COUNTIF($X$2:$X102,1),"")</f>
        <v/>
      </c>
      <c r="Z102" s="39">
        <f>IF(AND($E102="timed",$N102&gt;Settings!$C$8),1,0)</f>
        <v>0</v>
      </c>
      <c r="AA102" s="39">
        <f t="shared" si="22"/>
        <v>0</v>
      </c>
      <c r="AB102" s="39">
        <f t="shared" si="23"/>
        <v>0</v>
      </c>
      <c r="AC102" s="39" t="str">
        <f t="shared" si="24"/>
        <v/>
      </c>
      <c r="AD102" s="39" t="str">
        <f t="shared" si="25"/>
        <v/>
      </c>
      <c r="AE102" s="39" t="str">
        <f t="shared" si="26"/>
        <v/>
      </c>
      <c r="AF102" s="106" t="str">
        <f t="shared" si="27"/>
        <v/>
      </c>
      <c r="AG102" s="39">
        <f t="shared" si="28"/>
        <v>0</v>
      </c>
      <c r="AH102" s="39" t="str">
        <f t="shared" si="29"/>
        <v/>
      </c>
      <c r="AI102" s="39">
        <f>IF(AND($E102="timed",$N102&gt;=Settings!$C$9),1,0)</f>
        <v>0</v>
      </c>
      <c r="AJ102" s="39" t="str">
        <f>IF(OR($S102="",Settings!$C$16=""),"",IF($S102&lt;=Settings!$C$16,1,2))</f>
        <v/>
      </c>
      <c r="AK102" s="39" t="str">
        <f>IF($C102="","",IFERROR(IF(INDEX(Settings!$C$20:$C$59,MATCH($C102,Settings!$B$20:$B$59,0))="",Settings!$C$10,INDEX(Settings!$C$20:$C$59,MATCH($C102,Settings!$B$20:$B$59,0))),Settings!$C$10))</f>
        <v/>
      </c>
      <c r="AL102" s="108">
        <f t="shared" si="30"/>
        <v>0</v>
      </c>
      <c r="AM102" s="39" t="str">
        <f t="shared" si="31"/>
        <v/>
      </c>
      <c r="AN102" s="39" t="str">
        <f t="shared" si="32"/>
        <v/>
      </c>
      <c r="AO102" s="39" t="str">
        <f t="shared" si="33"/>
        <v/>
      </c>
      <c r="AP102" s="39">
        <f t="shared" si="34"/>
        <v>0</v>
      </c>
      <c r="AQ102" s="39">
        <f t="shared" si="35"/>
        <v>0</v>
      </c>
    </row>
    <row r="103" spans="14:43" x14ac:dyDescent="0.25">
      <c r="N103" s="105">
        <f t="shared" si="18"/>
        <v>0</v>
      </c>
      <c r="O103" s="106" t="str">
        <f>IF($F103="","",IF(ISNUMBER($F103),$F103+Settings!$C$7/24,IFERROR(DATEVALUE(LEFT($F103,10))+TIMEVALUE(MID($F103,12,8))+Settings!$C$7/24,"")))</f>
        <v/>
      </c>
      <c r="P103" s="106" t="str">
        <f>IF($G103="","",IF(ISNUMBER($G103),$G103+Settings!$C$7/24,IFERROR(DATEVALUE(LEFT($G103,10))+TIMEVALUE(MID($G103,12,8))+Settings!$C$7/24,"")))</f>
        <v/>
      </c>
      <c r="Q103" s="39" t="str">
        <f t="shared" si="19"/>
        <v/>
      </c>
      <c r="R103" s="39" t="str">
        <f t="shared" si="20"/>
        <v/>
      </c>
      <c r="S103" s="107" t="str">
        <f t="shared" si="21"/>
        <v/>
      </c>
      <c r="T103" s="39" t="str">
        <f>IF($C103="","",IF(COUNTIF($C$2:$C103,$C103)=1,1,0))</f>
        <v/>
      </c>
      <c r="U103" s="39" t="str">
        <f>IF($T103=1,COUNTIF($T$2:$T103,1),"")</f>
        <v/>
      </c>
      <c r="V103" s="39" t="str">
        <f>IF($B103="","",IF(COUNTIF($B$2:$B103,$B103)=1,1,0))</f>
        <v/>
      </c>
      <c r="W103" s="39" t="str">
        <f>IF($V103=1,COUNTIF($V$2:$V103,1),"")</f>
        <v/>
      </c>
      <c r="X103" s="39" t="str">
        <f>IF($A103="","",IF(COUNTIF($A$2:$A103,$A103)=1,1,0))</f>
        <v/>
      </c>
      <c r="Y103" s="39" t="str">
        <f>IF($X103=1,COUNTIF($X$2:$X103,1),"")</f>
        <v/>
      </c>
      <c r="Z103" s="39">
        <f>IF(AND($E103="timed",$N103&gt;Settings!$C$8),1,0)</f>
        <v>0</v>
      </c>
      <c r="AA103" s="39">
        <f t="shared" si="22"/>
        <v>0</v>
      </c>
      <c r="AB103" s="39">
        <f t="shared" si="23"/>
        <v>0</v>
      </c>
      <c r="AC103" s="39" t="str">
        <f t="shared" si="24"/>
        <v/>
      </c>
      <c r="AD103" s="39" t="str">
        <f t="shared" si="25"/>
        <v/>
      </c>
      <c r="AE103" s="39" t="str">
        <f t="shared" si="26"/>
        <v/>
      </c>
      <c r="AF103" s="106" t="str">
        <f t="shared" si="27"/>
        <v/>
      </c>
      <c r="AG103" s="39">
        <f t="shared" si="28"/>
        <v>0</v>
      </c>
      <c r="AH103" s="39" t="str">
        <f t="shared" si="29"/>
        <v/>
      </c>
      <c r="AI103" s="39">
        <f>IF(AND($E103="timed",$N103&gt;=Settings!$C$9),1,0)</f>
        <v>0</v>
      </c>
      <c r="AJ103" s="39" t="str">
        <f>IF(OR($S103="",Settings!$C$16=""),"",IF($S103&lt;=Settings!$C$16,1,2))</f>
        <v/>
      </c>
      <c r="AK103" s="39" t="str">
        <f>IF($C103="","",IFERROR(IF(INDEX(Settings!$C$20:$C$59,MATCH($C103,Settings!$B$20:$B$59,0))="",Settings!$C$10,INDEX(Settings!$C$20:$C$59,MATCH($C103,Settings!$B$20:$B$59,0))),Settings!$C$10))</f>
        <v/>
      </c>
      <c r="AL103" s="108">
        <f t="shared" si="30"/>
        <v>0</v>
      </c>
      <c r="AM103" s="39" t="str">
        <f t="shared" si="31"/>
        <v/>
      </c>
      <c r="AN103" s="39" t="str">
        <f t="shared" si="32"/>
        <v/>
      </c>
      <c r="AO103" s="39" t="str">
        <f t="shared" si="33"/>
        <v/>
      </c>
      <c r="AP103" s="39">
        <f t="shared" si="34"/>
        <v>0</v>
      </c>
      <c r="AQ103" s="39">
        <f t="shared" si="35"/>
        <v>0</v>
      </c>
    </row>
    <row r="104" spans="14:43" x14ac:dyDescent="0.25">
      <c r="N104" s="105">
        <f t="shared" si="18"/>
        <v>0</v>
      </c>
      <c r="O104" s="106" t="str">
        <f>IF($F104="","",IF(ISNUMBER($F104),$F104+Settings!$C$7/24,IFERROR(DATEVALUE(LEFT($F104,10))+TIMEVALUE(MID($F104,12,8))+Settings!$C$7/24,"")))</f>
        <v/>
      </c>
      <c r="P104" s="106" t="str">
        <f>IF($G104="","",IF(ISNUMBER($G104),$G104+Settings!$C$7/24,IFERROR(DATEVALUE(LEFT($G104,10))+TIMEVALUE(MID($G104,12,8))+Settings!$C$7/24,"")))</f>
        <v/>
      </c>
      <c r="Q104" s="39" t="str">
        <f t="shared" si="19"/>
        <v/>
      </c>
      <c r="R104" s="39" t="str">
        <f t="shared" si="20"/>
        <v/>
      </c>
      <c r="S104" s="107" t="str">
        <f t="shared" si="21"/>
        <v/>
      </c>
      <c r="T104" s="39" t="str">
        <f>IF($C104="","",IF(COUNTIF($C$2:$C104,$C104)=1,1,0))</f>
        <v/>
      </c>
      <c r="U104" s="39" t="str">
        <f>IF($T104=1,COUNTIF($T$2:$T104,1),"")</f>
        <v/>
      </c>
      <c r="V104" s="39" t="str">
        <f>IF($B104="","",IF(COUNTIF($B$2:$B104,$B104)=1,1,0))</f>
        <v/>
      </c>
      <c r="W104" s="39" t="str">
        <f>IF($V104=1,COUNTIF($V$2:$V104,1),"")</f>
        <v/>
      </c>
      <c r="X104" s="39" t="str">
        <f>IF($A104="","",IF(COUNTIF($A$2:$A104,$A104)=1,1,0))</f>
        <v/>
      </c>
      <c r="Y104" s="39" t="str">
        <f>IF($X104=1,COUNTIF($X$2:$X104,1),"")</f>
        <v/>
      </c>
      <c r="Z104" s="39">
        <f>IF(AND($E104="timed",$N104&gt;Settings!$C$8),1,0)</f>
        <v>0</v>
      </c>
      <c r="AA104" s="39">
        <f t="shared" si="22"/>
        <v>0</v>
      </c>
      <c r="AB104" s="39">
        <f t="shared" si="23"/>
        <v>0</v>
      </c>
      <c r="AC104" s="39" t="str">
        <f t="shared" si="24"/>
        <v/>
      </c>
      <c r="AD104" s="39" t="str">
        <f t="shared" si="25"/>
        <v/>
      </c>
      <c r="AE104" s="39" t="str">
        <f t="shared" si="26"/>
        <v/>
      </c>
      <c r="AF104" s="106" t="str">
        <f t="shared" si="27"/>
        <v/>
      </c>
      <c r="AG104" s="39">
        <f t="shared" si="28"/>
        <v>0</v>
      </c>
      <c r="AH104" s="39" t="str">
        <f t="shared" si="29"/>
        <v/>
      </c>
      <c r="AI104" s="39">
        <f>IF(AND($E104="timed",$N104&gt;=Settings!$C$9),1,0)</f>
        <v>0</v>
      </c>
      <c r="AJ104" s="39" t="str">
        <f>IF(OR($S104="",Settings!$C$16=""),"",IF($S104&lt;=Settings!$C$16,1,2))</f>
        <v/>
      </c>
      <c r="AK104" s="39" t="str">
        <f>IF($C104="","",IFERROR(IF(INDEX(Settings!$C$20:$C$59,MATCH($C104,Settings!$B$20:$B$59,0))="",Settings!$C$10,INDEX(Settings!$C$20:$C$59,MATCH($C104,Settings!$B$20:$B$59,0))),Settings!$C$10))</f>
        <v/>
      </c>
      <c r="AL104" s="108">
        <f t="shared" si="30"/>
        <v>0</v>
      </c>
      <c r="AM104" s="39" t="str">
        <f t="shared" si="31"/>
        <v/>
      </c>
      <c r="AN104" s="39" t="str">
        <f t="shared" si="32"/>
        <v/>
      </c>
      <c r="AO104" s="39" t="str">
        <f t="shared" si="33"/>
        <v/>
      </c>
      <c r="AP104" s="39">
        <f t="shared" si="34"/>
        <v>0</v>
      </c>
      <c r="AQ104" s="39">
        <f t="shared" si="35"/>
        <v>0</v>
      </c>
    </row>
    <row r="105" spans="14:43" x14ac:dyDescent="0.25">
      <c r="N105" s="105">
        <f t="shared" si="18"/>
        <v>0</v>
      </c>
      <c r="O105" s="106" t="str">
        <f>IF($F105="","",IF(ISNUMBER($F105),$F105+Settings!$C$7/24,IFERROR(DATEVALUE(LEFT($F105,10))+TIMEVALUE(MID($F105,12,8))+Settings!$C$7/24,"")))</f>
        <v/>
      </c>
      <c r="P105" s="106" t="str">
        <f>IF($G105="","",IF(ISNUMBER($G105),$G105+Settings!$C$7/24,IFERROR(DATEVALUE(LEFT($G105,10))+TIMEVALUE(MID($G105,12,8))+Settings!$C$7/24,"")))</f>
        <v/>
      </c>
      <c r="Q105" s="39" t="str">
        <f t="shared" si="19"/>
        <v/>
      </c>
      <c r="R105" s="39" t="str">
        <f t="shared" si="20"/>
        <v/>
      </c>
      <c r="S105" s="107" t="str">
        <f t="shared" si="21"/>
        <v/>
      </c>
      <c r="T105" s="39" t="str">
        <f>IF($C105="","",IF(COUNTIF($C$2:$C105,$C105)=1,1,0))</f>
        <v/>
      </c>
      <c r="U105" s="39" t="str">
        <f>IF($T105=1,COUNTIF($T$2:$T105,1),"")</f>
        <v/>
      </c>
      <c r="V105" s="39" t="str">
        <f>IF($B105="","",IF(COUNTIF($B$2:$B105,$B105)=1,1,0))</f>
        <v/>
      </c>
      <c r="W105" s="39" t="str">
        <f>IF($V105=1,COUNTIF($V$2:$V105,1),"")</f>
        <v/>
      </c>
      <c r="X105" s="39" t="str">
        <f>IF($A105="","",IF(COUNTIF($A$2:$A105,$A105)=1,1,0))</f>
        <v/>
      </c>
      <c r="Y105" s="39" t="str">
        <f>IF($X105=1,COUNTIF($X$2:$X105,1),"")</f>
        <v/>
      </c>
      <c r="Z105" s="39">
        <f>IF(AND($E105="timed",$N105&gt;Settings!$C$8),1,0)</f>
        <v>0</v>
      </c>
      <c r="AA105" s="39">
        <f t="shared" si="22"/>
        <v>0</v>
      </c>
      <c r="AB105" s="39">
        <f t="shared" si="23"/>
        <v>0</v>
      </c>
      <c r="AC105" s="39" t="str">
        <f t="shared" si="24"/>
        <v/>
      </c>
      <c r="AD105" s="39" t="str">
        <f t="shared" si="25"/>
        <v/>
      </c>
      <c r="AE105" s="39" t="str">
        <f t="shared" si="26"/>
        <v/>
      </c>
      <c r="AF105" s="106" t="str">
        <f t="shared" si="27"/>
        <v/>
      </c>
      <c r="AG105" s="39">
        <f t="shared" si="28"/>
        <v>0</v>
      </c>
      <c r="AH105" s="39" t="str">
        <f t="shared" si="29"/>
        <v/>
      </c>
      <c r="AI105" s="39">
        <f>IF(AND($E105="timed",$N105&gt;=Settings!$C$9),1,0)</f>
        <v>0</v>
      </c>
      <c r="AJ105" s="39" t="str">
        <f>IF(OR($S105="",Settings!$C$16=""),"",IF($S105&lt;=Settings!$C$16,1,2))</f>
        <v/>
      </c>
      <c r="AK105" s="39" t="str">
        <f>IF($C105="","",IFERROR(IF(INDEX(Settings!$C$20:$C$59,MATCH($C105,Settings!$B$20:$B$59,0))="",Settings!$C$10,INDEX(Settings!$C$20:$C$59,MATCH($C105,Settings!$B$20:$B$59,0))),Settings!$C$10))</f>
        <v/>
      </c>
      <c r="AL105" s="108">
        <f t="shared" si="30"/>
        <v>0</v>
      </c>
      <c r="AM105" s="39" t="str">
        <f t="shared" si="31"/>
        <v/>
      </c>
      <c r="AN105" s="39" t="str">
        <f t="shared" si="32"/>
        <v/>
      </c>
      <c r="AO105" s="39" t="str">
        <f t="shared" si="33"/>
        <v/>
      </c>
      <c r="AP105" s="39">
        <f t="shared" si="34"/>
        <v>0</v>
      </c>
      <c r="AQ105" s="39">
        <f t="shared" si="35"/>
        <v>0</v>
      </c>
    </row>
    <row r="106" spans="14:43" x14ac:dyDescent="0.25">
      <c r="N106" s="105">
        <f t="shared" si="18"/>
        <v>0</v>
      </c>
      <c r="O106" s="106" t="str">
        <f>IF($F106="","",IF(ISNUMBER($F106),$F106+Settings!$C$7/24,IFERROR(DATEVALUE(LEFT($F106,10))+TIMEVALUE(MID($F106,12,8))+Settings!$C$7/24,"")))</f>
        <v/>
      </c>
      <c r="P106" s="106" t="str">
        <f>IF($G106="","",IF(ISNUMBER($G106),$G106+Settings!$C$7/24,IFERROR(DATEVALUE(LEFT($G106,10))+TIMEVALUE(MID($G106,12,8))+Settings!$C$7/24,"")))</f>
        <v/>
      </c>
      <c r="Q106" s="39" t="str">
        <f t="shared" si="19"/>
        <v/>
      </c>
      <c r="R106" s="39" t="str">
        <f t="shared" si="20"/>
        <v/>
      </c>
      <c r="S106" s="107" t="str">
        <f t="shared" si="21"/>
        <v/>
      </c>
      <c r="T106" s="39" t="str">
        <f>IF($C106="","",IF(COUNTIF($C$2:$C106,$C106)=1,1,0))</f>
        <v/>
      </c>
      <c r="U106" s="39" t="str">
        <f>IF($T106=1,COUNTIF($T$2:$T106,1),"")</f>
        <v/>
      </c>
      <c r="V106" s="39" t="str">
        <f>IF($B106="","",IF(COUNTIF($B$2:$B106,$B106)=1,1,0))</f>
        <v/>
      </c>
      <c r="W106" s="39" t="str">
        <f>IF($V106=1,COUNTIF($V$2:$V106,1),"")</f>
        <v/>
      </c>
      <c r="X106" s="39" t="str">
        <f>IF($A106="","",IF(COUNTIF($A$2:$A106,$A106)=1,1,0))</f>
        <v/>
      </c>
      <c r="Y106" s="39" t="str">
        <f>IF($X106=1,COUNTIF($X$2:$X106,1),"")</f>
        <v/>
      </c>
      <c r="Z106" s="39">
        <f>IF(AND($E106="timed",$N106&gt;Settings!$C$8),1,0)</f>
        <v>0</v>
      </c>
      <c r="AA106" s="39">
        <f t="shared" si="22"/>
        <v>0</v>
      </c>
      <c r="AB106" s="39">
        <f t="shared" si="23"/>
        <v>0</v>
      </c>
      <c r="AC106" s="39" t="str">
        <f t="shared" si="24"/>
        <v/>
      </c>
      <c r="AD106" s="39" t="str">
        <f t="shared" si="25"/>
        <v/>
      </c>
      <c r="AE106" s="39" t="str">
        <f t="shared" si="26"/>
        <v/>
      </c>
      <c r="AF106" s="106" t="str">
        <f t="shared" si="27"/>
        <v/>
      </c>
      <c r="AG106" s="39">
        <f t="shared" si="28"/>
        <v>0</v>
      </c>
      <c r="AH106" s="39" t="str">
        <f t="shared" si="29"/>
        <v/>
      </c>
      <c r="AI106" s="39">
        <f>IF(AND($E106="timed",$N106&gt;=Settings!$C$9),1,0)</f>
        <v>0</v>
      </c>
      <c r="AJ106" s="39" t="str">
        <f>IF(OR($S106="",Settings!$C$16=""),"",IF($S106&lt;=Settings!$C$16,1,2))</f>
        <v/>
      </c>
      <c r="AK106" s="39" t="str">
        <f>IF($C106="","",IFERROR(IF(INDEX(Settings!$C$20:$C$59,MATCH($C106,Settings!$B$20:$B$59,0))="",Settings!$C$10,INDEX(Settings!$C$20:$C$59,MATCH($C106,Settings!$B$20:$B$59,0))),Settings!$C$10))</f>
        <v/>
      </c>
      <c r="AL106" s="108">
        <f t="shared" si="30"/>
        <v>0</v>
      </c>
      <c r="AM106" s="39" t="str">
        <f t="shared" si="31"/>
        <v/>
      </c>
      <c r="AN106" s="39" t="str">
        <f t="shared" si="32"/>
        <v/>
      </c>
      <c r="AO106" s="39" t="str">
        <f t="shared" si="33"/>
        <v/>
      </c>
      <c r="AP106" s="39">
        <f t="shared" si="34"/>
        <v>0</v>
      </c>
      <c r="AQ106" s="39">
        <f t="shared" si="35"/>
        <v>0</v>
      </c>
    </row>
    <row r="107" spans="14:43" x14ac:dyDescent="0.25">
      <c r="N107" s="105">
        <f t="shared" si="18"/>
        <v>0</v>
      </c>
      <c r="O107" s="106" t="str">
        <f>IF($F107="","",IF(ISNUMBER($F107),$F107+Settings!$C$7/24,IFERROR(DATEVALUE(LEFT($F107,10))+TIMEVALUE(MID($F107,12,8))+Settings!$C$7/24,"")))</f>
        <v/>
      </c>
      <c r="P107" s="106" t="str">
        <f>IF($G107="","",IF(ISNUMBER($G107),$G107+Settings!$C$7/24,IFERROR(DATEVALUE(LEFT($G107,10))+TIMEVALUE(MID($G107,12,8))+Settings!$C$7/24,"")))</f>
        <v/>
      </c>
      <c r="Q107" s="39" t="str">
        <f t="shared" si="19"/>
        <v/>
      </c>
      <c r="R107" s="39" t="str">
        <f t="shared" si="20"/>
        <v/>
      </c>
      <c r="S107" s="107" t="str">
        <f t="shared" si="21"/>
        <v/>
      </c>
      <c r="T107" s="39" t="str">
        <f>IF($C107="","",IF(COUNTIF($C$2:$C107,$C107)=1,1,0))</f>
        <v/>
      </c>
      <c r="U107" s="39" t="str">
        <f>IF($T107=1,COUNTIF($T$2:$T107,1),"")</f>
        <v/>
      </c>
      <c r="V107" s="39" t="str">
        <f>IF($B107="","",IF(COUNTIF($B$2:$B107,$B107)=1,1,0))</f>
        <v/>
      </c>
      <c r="W107" s="39" t="str">
        <f>IF($V107=1,COUNTIF($V$2:$V107,1),"")</f>
        <v/>
      </c>
      <c r="X107" s="39" t="str">
        <f>IF($A107="","",IF(COUNTIF($A$2:$A107,$A107)=1,1,0))</f>
        <v/>
      </c>
      <c r="Y107" s="39" t="str">
        <f>IF($X107=1,COUNTIF($X$2:$X107,1),"")</f>
        <v/>
      </c>
      <c r="Z107" s="39">
        <f>IF(AND($E107="timed",$N107&gt;Settings!$C$8),1,0)</f>
        <v>0</v>
      </c>
      <c r="AA107" s="39">
        <f t="shared" si="22"/>
        <v>0</v>
      </c>
      <c r="AB107" s="39">
        <f t="shared" si="23"/>
        <v>0</v>
      </c>
      <c r="AC107" s="39" t="str">
        <f t="shared" si="24"/>
        <v/>
      </c>
      <c r="AD107" s="39" t="str">
        <f t="shared" si="25"/>
        <v/>
      </c>
      <c r="AE107" s="39" t="str">
        <f t="shared" si="26"/>
        <v/>
      </c>
      <c r="AF107" s="106" t="str">
        <f t="shared" si="27"/>
        <v/>
      </c>
      <c r="AG107" s="39">
        <f t="shared" si="28"/>
        <v>0</v>
      </c>
      <c r="AH107" s="39" t="str">
        <f t="shared" si="29"/>
        <v/>
      </c>
      <c r="AI107" s="39">
        <f>IF(AND($E107="timed",$N107&gt;=Settings!$C$9),1,0)</f>
        <v>0</v>
      </c>
      <c r="AJ107" s="39" t="str">
        <f>IF(OR($S107="",Settings!$C$16=""),"",IF($S107&lt;=Settings!$C$16,1,2))</f>
        <v/>
      </c>
      <c r="AK107" s="39" t="str">
        <f>IF($C107="","",IFERROR(IF(INDEX(Settings!$C$20:$C$59,MATCH($C107,Settings!$B$20:$B$59,0))="",Settings!$C$10,INDEX(Settings!$C$20:$C$59,MATCH($C107,Settings!$B$20:$B$59,0))),Settings!$C$10))</f>
        <v/>
      </c>
      <c r="AL107" s="108">
        <f t="shared" si="30"/>
        <v>0</v>
      </c>
      <c r="AM107" s="39" t="str">
        <f t="shared" si="31"/>
        <v/>
      </c>
      <c r="AN107" s="39" t="str">
        <f t="shared" si="32"/>
        <v/>
      </c>
      <c r="AO107" s="39" t="str">
        <f t="shared" si="33"/>
        <v/>
      </c>
      <c r="AP107" s="39">
        <f t="shared" si="34"/>
        <v>0</v>
      </c>
      <c r="AQ107" s="39">
        <f t="shared" si="35"/>
        <v>0</v>
      </c>
    </row>
    <row r="108" spans="14:43" x14ac:dyDescent="0.25">
      <c r="N108" s="105">
        <f t="shared" si="18"/>
        <v>0</v>
      </c>
      <c r="O108" s="106" t="str">
        <f>IF($F108="","",IF(ISNUMBER($F108),$F108+Settings!$C$7/24,IFERROR(DATEVALUE(LEFT($F108,10))+TIMEVALUE(MID($F108,12,8))+Settings!$C$7/24,"")))</f>
        <v/>
      </c>
      <c r="P108" s="106" t="str">
        <f>IF($G108="","",IF(ISNUMBER($G108),$G108+Settings!$C$7/24,IFERROR(DATEVALUE(LEFT($G108,10))+TIMEVALUE(MID($G108,12,8))+Settings!$C$7/24,"")))</f>
        <v/>
      </c>
      <c r="Q108" s="39" t="str">
        <f t="shared" si="19"/>
        <v/>
      </c>
      <c r="R108" s="39" t="str">
        <f t="shared" si="20"/>
        <v/>
      </c>
      <c r="S108" s="107" t="str">
        <f t="shared" si="21"/>
        <v/>
      </c>
      <c r="T108" s="39" t="str">
        <f>IF($C108="","",IF(COUNTIF($C$2:$C108,$C108)=1,1,0))</f>
        <v/>
      </c>
      <c r="U108" s="39" t="str">
        <f>IF($T108=1,COUNTIF($T$2:$T108,1),"")</f>
        <v/>
      </c>
      <c r="V108" s="39" t="str">
        <f>IF($B108="","",IF(COUNTIF($B$2:$B108,$B108)=1,1,0))</f>
        <v/>
      </c>
      <c r="W108" s="39" t="str">
        <f>IF($V108=1,COUNTIF($V$2:$V108,1),"")</f>
        <v/>
      </c>
      <c r="X108" s="39" t="str">
        <f>IF($A108="","",IF(COUNTIF($A$2:$A108,$A108)=1,1,0))</f>
        <v/>
      </c>
      <c r="Y108" s="39" t="str">
        <f>IF($X108=1,COUNTIF($X$2:$X108,1),"")</f>
        <v/>
      </c>
      <c r="Z108" s="39">
        <f>IF(AND($E108="timed",$N108&gt;Settings!$C$8),1,0)</f>
        <v>0</v>
      </c>
      <c r="AA108" s="39">
        <f t="shared" si="22"/>
        <v>0</v>
      </c>
      <c r="AB108" s="39">
        <f t="shared" si="23"/>
        <v>0</v>
      </c>
      <c r="AC108" s="39" t="str">
        <f t="shared" si="24"/>
        <v/>
      </c>
      <c r="AD108" s="39" t="str">
        <f t="shared" si="25"/>
        <v/>
      </c>
      <c r="AE108" s="39" t="str">
        <f t="shared" si="26"/>
        <v/>
      </c>
      <c r="AF108" s="106" t="str">
        <f t="shared" si="27"/>
        <v/>
      </c>
      <c r="AG108" s="39">
        <f t="shared" si="28"/>
        <v>0</v>
      </c>
      <c r="AH108" s="39" t="str">
        <f t="shared" si="29"/>
        <v/>
      </c>
      <c r="AI108" s="39">
        <f>IF(AND($E108="timed",$N108&gt;=Settings!$C$9),1,0)</f>
        <v>0</v>
      </c>
      <c r="AJ108" s="39" t="str">
        <f>IF(OR($S108="",Settings!$C$16=""),"",IF($S108&lt;=Settings!$C$16,1,2))</f>
        <v/>
      </c>
      <c r="AK108" s="39" t="str">
        <f>IF($C108="","",IFERROR(IF(INDEX(Settings!$C$20:$C$59,MATCH($C108,Settings!$B$20:$B$59,0))="",Settings!$C$10,INDEX(Settings!$C$20:$C$59,MATCH($C108,Settings!$B$20:$B$59,0))),Settings!$C$10))</f>
        <v/>
      </c>
      <c r="AL108" s="108">
        <f t="shared" si="30"/>
        <v>0</v>
      </c>
      <c r="AM108" s="39" t="str">
        <f t="shared" si="31"/>
        <v/>
      </c>
      <c r="AN108" s="39" t="str">
        <f t="shared" si="32"/>
        <v/>
      </c>
      <c r="AO108" s="39" t="str">
        <f t="shared" si="33"/>
        <v/>
      </c>
      <c r="AP108" s="39">
        <f t="shared" si="34"/>
        <v>0</v>
      </c>
      <c r="AQ108" s="39">
        <f t="shared" si="35"/>
        <v>0</v>
      </c>
    </row>
    <row r="109" spans="14:43" x14ac:dyDescent="0.25">
      <c r="N109" s="105">
        <f t="shared" si="18"/>
        <v>0</v>
      </c>
      <c r="O109" s="106" t="str">
        <f>IF($F109="","",IF(ISNUMBER($F109),$F109+Settings!$C$7/24,IFERROR(DATEVALUE(LEFT($F109,10))+TIMEVALUE(MID($F109,12,8))+Settings!$C$7/24,"")))</f>
        <v/>
      </c>
      <c r="P109" s="106" t="str">
        <f>IF($G109="","",IF(ISNUMBER($G109),$G109+Settings!$C$7/24,IFERROR(DATEVALUE(LEFT($G109,10))+TIMEVALUE(MID($G109,12,8))+Settings!$C$7/24,"")))</f>
        <v/>
      </c>
      <c r="Q109" s="39" t="str">
        <f t="shared" si="19"/>
        <v/>
      </c>
      <c r="R109" s="39" t="str">
        <f t="shared" si="20"/>
        <v/>
      </c>
      <c r="S109" s="107" t="str">
        <f t="shared" si="21"/>
        <v/>
      </c>
      <c r="T109" s="39" t="str">
        <f>IF($C109="","",IF(COUNTIF($C$2:$C109,$C109)=1,1,0))</f>
        <v/>
      </c>
      <c r="U109" s="39" t="str">
        <f>IF($T109=1,COUNTIF($T$2:$T109,1),"")</f>
        <v/>
      </c>
      <c r="V109" s="39" t="str">
        <f>IF($B109="","",IF(COUNTIF($B$2:$B109,$B109)=1,1,0))</f>
        <v/>
      </c>
      <c r="W109" s="39" t="str">
        <f>IF($V109=1,COUNTIF($V$2:$V109,1),"")</f>
        <v/>
      </c>
      <c r="X109" s="39" t="str">
        <f>IF($A109="","",IF(COUNTIF($A$2:$A109,$A109)=1,1,0))</f>
        <v/>
      </c>
      <c r="Y109" s="39" t="str">
        <f>IF($X109=1,COUNTIF($X$2:$X109,1),"")</f>
        <v/>
      </c>
      <c r="Z109" s="39">
        <f>IF(AND($E109="timed",$N109&gt;Settings!$C$8),1,0)</f>
        <v>0</v>
      </c>
      <c r="AA109" s="39">
        <f t="shared" si="22"/>
        <v>0</v>
      </c>
      <c r="AB109" s="39">
        <f t="shared" si="23"/>
        <v>0</v>
      </c>
      <c r="AC109" s="39" t="str">
        <f t="shared" si="24"/>
        <v/>
      </c>
      <c r="AD109" s="39" t="str">
        <f t="shared" si="25"/>
        <v/>
      </c>
      <c r="AE109" s="39" t="str">
        <f t="shared" si="26"/>
        <v/>
      </c>
      <c r="AF109" s="106" t="str">
        <f t="shared" si="27"/>
        <v/>
      </c>
      <c r="AG109" s="39">
        <f t="shared" si="28"/>
        <v>0</v>
      </c>
      <c r="AH109" s="39" t="str">
        <f t="shared" si="29"/>
        <v/>
      </c>
      <c r="AI109" s="39">
        <f>IF(AND($E109="timed",$N109&gt;=Settings!$C$9),1,0)</f>
        <v>0</v>
      </c>
      <c r="AJ109" s="39" t="str">
        <f>IF(OR($S109="",Settings!$C$16=""),"",IF($S109&lt;=Settings!$C$16,1,2))</f>
        <v/>
      </c>
      <c r="AK109" s="39" t="str">
        <f>IF($C109="","",IFERROR(IF(INDEX(Settings!$C$20:$C$59,MATCH($C109,Settings!$B$20:$B$59,0))="",Settings!$C$10,INDEX(Settings!$C$20:$C$59,MATCH($C109,Settings!$B$20:$B$59,0))),Settings!$C$10))</f>
        <v/>
      </c>
      <c r="AL109" s="108">
        <f t="shared" si="30"/>
        <v>0</v>
      </c>
      <c r="AM109" s="39" t="str">
        <f t="shared" si="31"/>
        <v/>
      </c>
      <c r="AN109" s="39" t="str">
        <f t="shared" si="32"/>
        <v/>
      </c>
      <c r="AO109" s="39" t="str">
        <f t="shared" si="33"/>
        <v/>
      </c>
      <c r="AP109" s="39">
        <f t="shared" si="34"/>
        <v>0</v>
      </c>
      <c r="AQ109" s="39">
        <f t="shared" si="35"/>
        <v>0</v>
      </c>
    </row>
    <row r="110" spans="14:43" x14ac:dyDescent="0.25">
      <c r="N110" s="105">
        <f t="shared" si="18"/>
        <v>0</v>
      </c>
      <c r="O110" s="106" t="str">
        <f>IF($F110="","",IF(ISNUMBER($F110),$F110+Settings!$C$7/24,IFERROR(DATEVALUE(LEFT($F110,10))+TIMEVALUE(MID($F110,12,8))+Settings!$C$7/24,"")))</f>
        <v/>
      </c>
      <c r="P110" s="106" t="str">
        <f>IF($G110="","",IF(ISNUMBER($G110),$G110+Settings!$C$7/24,IFERROR(DATEVALUE(LEFT($G110,10))+TIMEVALUE(MID($G110,12,8))+Settings!$C$7/24,"")))</f>
        <v/>
      </c>
      <c r="Q110" s="39" t="str">
        <f t="shared" si="19"/>
        <v/>
      </c>
      <c r="R110" s="39" t="str">
        <f t="shared" si="20"/>
        <v/>
      </c>
      <c r="S110" s="107" t="str">
        <f t="shared" si="21"/>
        <v/>
      </c>
      <c r="T110" s="39" t="str">
        <f>IF($C110="","",IF(COUNTIF($C$2:$C110,$C110)=1,1,0))</f>
        <v/>
      </c>
      <c r="U110" s="39" t="str">
        <f>IF($T110=1,COUNTIF($T$2:$T110,1),"")</f>
        <v/>
      </c>
      <c r="V110" s="39" t="str">
        <f>IF($B110="","",IF(COUNTIF($B$2:$B110,$B110)=1,1,0))</f>
        <v/>
      </c>
      <c r="W110" s="39" t="str">
        <f>IF($V110=1,COUNTIF($V$2:$V110,1),"")</f>
        <v/>
      </c>
      <c r="X110" s="39" t="str">
        <f>IF($A110="","",IF(COUNTIF($A$2:$A110,$A110)=1,1,0))</f>
        <v/>
      </c>
      <c r="Y110" s="39" t="str">
        <f>IF($X110=1,COUNTIF($X$2:$X110,1),"")</f>
        <v/>
      </c>
      <c r="Z110" s="39">
        <f>IF(AND($E110="timed",$N110&gt;Settings!$C$8),1,0)</f>
        <v>0</v>
      </c>
      <c r="AA110" s="39">
        <f t="shared" si="22"/>
        <v>0</v>
      </c>
      <c r="AB110" s="39">
        <f t="shared" si="23"/>
        <v>0</v>
      </c>
      <c r="AC110" s="39" t="str">
        <f t="shared" si="24"/>
        <v/>
      </c>
      <c r="AD110" s="39" t="str">
        <f t="shared" si="25"/>
        <v/>
      </c>
      <c r="AE110" s="39" t="str">
        <f t="shared" si="26"/>
        <v/>
      </c>
      <c r="AF110" s="106" t="str">
        <f t="shared" si="27"/>
        <v/>
      </c>
      <c r="AG110" s="39">
        <f t="shared" si="28"/>
        <v>0</v>
      </c>
      <c r="AH110" s="39" t="str">
        <f t="shared" si="29"/>
        <v/>
      </c>
      <c r="AI110" s="39">
        <f>IF(AND($E110="timed",$N110&gt;=Settings!$C$9),1,0)</f>
        <v>0</v>
      </c>
      <c r="AJ110" s="39" t="str">
        <f>IF(OR($S110="",Settings!$C$16=""),"",IF($S110&lt;=Settings!$C$16,1,2))</f>
        <v/>
      </c>
      <c r="AK110" s="39" t="str">
        <f>IF($C110="","",IFERROR(IF(INDEX(Settings!$C$20:$C$59,MATCH($C110,Settings!$B$20:$B$59,0))="",Settings!$C$10,INDEX(Settings!$C$20:$C$59,MATCH($C110,Settings!$B$20:$B$59,0))),Settings!$C$10))</f>
        <v/>
      </c>
      <c r="AL110" s="108">
        <f t="shared" si="30"/>
        <v>0</v>
      </c>
      <c r="AM110" s="39" t="str">
        <f t="shared" si="31"/>
        <v/>
      </c>
      <c r="AN110" s="39" t="str">
        <f t="shared" si="32"/>
        <v/>
      </c>
      <c r="AO110" s="39" t="str">
        <f t="shared" si="33"/>
        <v/>
      </c>
      <c r="AP110" s="39">
        <f t="shared" si="34"/>
        <v>0</v>
      </c>
      <c r="AQ110" s="39">
        <f t="shared" si="35"/>
        <v>0</v>
      </c>
    </row>
    <row r="111" spans="14:43" x14ac:dyDescent="0.25">
      <c r="N111" s="105">
        <f t="shared" si="18"/>
        <v>0</v>
      </c>
      <c r="O111" s="106" t="str">
        <f>IF($F111="","",IF(ISNUMBER($F111),$F111+Settings!$C$7/24,IFERROR(DATEVALUE(LEFT($F111,10))+TIMEVALUE(MID($F111,12,8))+Settings!$C$7/24,"")))</f>
        <v/>
      </c>
      <c r="P111" s="106" t="str">
        <f>IF($G111="","",IF(ISNUMBER($G111),$G111+Settings!$C$7/24,IFERROR(DATEVALUE(LEFT($G111,10))+TIMEVALUE(MID($G111,12,8))+Settings!$C$7/24,"")))</f>
        <v/>
      </c>
      <c r="Q111" s="39" t="str">
        <f t="shared" si="19"/>
        <v/>
      </c>
      <c r="R111" s="39" t="str">
        <f t="shared" si="20"/>
        <v/>
      </c>
      <c r="S111" s="107" t="str">
        <f t="shared" si="21"/>
        <v/>
      </c>
      <c r="T111" s="39" t="str">
        <f>IF($C111="","",IF(COUNTIF($C$2:$C111,$C111)=1,1,0))</f>
        <v/>
      </c>
      <c r="U111" s="39" t="str">
        <f>IF($T111=1,COUNTIF($T$2:$T111,1),"")</f>
        <v/>
      </c>
      <c r="V111" s="39" t="str">
        <f>IF($B111="","",IF(COUNTIF($B$2:$B111,$B111)=1,1,0))</f>
        <v/>
      </c>
      <c r="W111" s="39" t="str">
        <f>IF($V111=1,COUNTIF($V$2:$V111,1),"")</f>
        <v/>
      </c>
      <c r="X111" s="39" t="str">
        <f>IF($A111="","",IF(COUNTIF($A$2:$A111,$A111)=1,1,0))</f>
        <v/>
      </c>
      <c r="Y111" s="39" t="str">
        <f>IF($X111=1,COUNTIF($X$2:$X111,1),"")</f>
        <v/>
      </c>
      <c r="Z111" s="39">
        <f>IF(AND($E111="timed",$N111&gt;Settings!$C$8),1,0)</f>
        <v>0</v>
      </c>
      <c r="AA111" s="39">
        <f t="shared" si="22"/>
        <v>0</v>
      </c>
      <c r="AB111" s="39">
        <f t="shared" si="23"/>
        <v>0</v>
      </c>
      <c r="AC111" s="39" t="str">
        <f t="shared" si="24"/>
        <v/>
      </c>
      <c r="AD111" s="39" t="str">
        <f t="shared" si="25"/>
        <v/>
      </c>
      <c r="AE111" s="39" t="str">
        <f t="shared" si="26"/>
        <v/>
      </c>
      <c r="AF111" s="106" t="str">
        <f t="shared" si="27"/>
        <v/>
      </c>
      <c r="AG111" s="39">
        <f t="shared" si="28"/>
        <v>0</v>
      </c>
      <c r="AH111" s="39" t="str">
        <f t="shared" si="29"/>
        <v/>
      </c>
      <c r="AI111" s="39">
        <f>IF(AND($E111="timed",$N111&gt;=Settings!$C$9),1,0)</f>
        <v>0</v>
      </c>
      <c r="AJ111" s="39" t="str">
        <f>IF(OR($S111="",Settings!$C$16=""),"",IF($S111&lt;=Settings!$C$16,1,2))</f>
        <v/>
      </c>
      <c r="AK111" s="39" t="str">
        <f>IF($C111="","",IFERROR(IF(INDEX(Settings!$C$20:$C$59,MATCH($C111,Settings!$B$20:$B$59,0))="",Settings!$C$10,INDEX(Settings!$C$20:$C$59,MATCH($C111,Settings!$B$20:$B$59,0))),Settings!$C$10))</f>
        <v/>
      </c>
      <c r="AL111" s="108">
        <f t="shared" si="30"/>
        <v>0</v>
      </c>
      <c r="AM111" s="39" t="str">
        <f t="shared" si="31"/>
        <v/>
      </c>
      <c r="AN111" s="39" t="str">
        <f t="shared" si="32"/>
        <v/>
      </c>
      <c r="AO111" s="39" t="str">
        <f t="shared" si="33"/>
        <v/>
      </c>
      <c r="AP111" s="39">
        <f t="shared" si="34"/>
        <v>0</v>
      </c>
      <c r="AQ111" s="39">
        <f t="shared" si="35"/>
        <v>0</v>
      </c>
    </row>
    <row r="112" spans="14:43" x14ac:dyDescent="0.25">
      <c r="N112" s="105">
        <f t="shared" si="18"/>
        <v>0</v>
      </c>
      <c r="O112" s="106" t="str">
        <f>IF($F112="","",IF(ISNUMBER($F112),$F112+Settings!$C$7/24,IFERROR(DATEVALUE(LEFT($F112,10))+TIMEVALUE(MID($F112,12,8))+Settings!$C$7/24,"")))</f>
        <v/>
      </c>
      <c r="P112" s="106" t="str">
        <f>IF($G112="","",IF(ISNUMBER($G112),$G112+Settings!$C$7/24,IFERROR(DATEVALUE(LEFT($G112,10))+TIMEVALUE(MID($G112,12,8))+Settings!$C$7/24,"")))</f>
        <v/>
      </c>
      <c r="Q112" s="39" t="str">
        <f t="shared" si="19"/>
        <v/>
      </c>
      <c r="R112" s="39" t="str">
        <f t="shared" si="20"/>
        <v/>
      </c>
      <c r="S112" s="107" t="str">
        <f t="shared" si="21"/>
        <v/>
      </c>
      <c r="T112" s="39" t="str">
        <f>IF($C112="","",IF(COUNTIF($C$2:$C112,$C112)=1,1,0))</f>
        <v/>
      </c>
      <c r="U112" s="39" t="str">
        <f>IF($T112=1,COUNTIF($T$2:$T112,1),"")</f>
        <v/>
      </c>
      <c r="V112" s="39" t="str">
        <f>IF($B112="","",IF(COUNTIF($B$2:$B112,$B112)=1,1,0))</f>
        <v/>
      </c>
      <c r="W112" s="39" t="str">
        <f>IF($V112=1,COUNTIF($V$2:$V112,1),"")</f>
        <v/>
      </c>
      <c r="X112" s="39" t="str">
        <f>IF($A112="","",IF(COUNTIF($A$2:$A112,$A112)=1,1,0))</f>
        <v/>
      </c>
      <c r="Y112" s="39" t="str">
        <f>IF($X112=1,COUNTIF($X$2:$X112,1),"")</f>
        <v/>
      </c>
      <c r="Z112" s="39">
        <f>IF(AND($E112="timed",$N112&gt;Settings!$C$8),1,0)</f>
        <v>0</v>
      </c>
      <c r="AA112" s="39">
        <f t="shared" si="22"/>
        <v>0</v>
      </c>
      <c r="AB112" s="39">
        <f t="shared" si="23"/>
        <v>0</v>
      </c>
      <c r="AC112" s="39" t="str">
        <f t="shared" si="24"/>
        <v/>
      </c>
      <c r="AD112" s="39" t="str">
        <f t="shared" si="25"/>
        <v/>
      </c>
      <c r="AE112" s="39" t="str">
        <f t="shared" si="26"/>
        <v/>
      </c>
      <c r="AF112" s="106" t="str">
        <f t="shared" si="27"/>
        <v/>
      </c>
      <c r="AG112" s="39">
        <f t="shared" si="28"/>
        <v>0</v>
      </c>
      <c r="AH112" s="39" t="str">
        <f t="shared" si="29"/>
        <v/>
      </c>
      <c r="AI112" s="39">
        <f>IF(AND($E112="timed",$N112&gt;=Settings!$C$9),1,0)</f>
        <v>0</v>
      </c>
      <c r="AJ112" s="39" t="str">
        <f>IF(OR($S112="",Settings!$C$16=""),"",IF($S112&lt;=Settings!$C$16,1,2))</f>
        <v/>
      </c>
      <c r="AK112" s="39" t="str">
        <f>IF($C112="","",IFERROR(IF(INDEX(Settings!$C$20:$C$59,MATCH($C112,Settings!$B$20:$B$59,0))="",Settings!$C$10,INDEX(Settings!$C$20:$C$59,MATCH($C112,Settings!$B$20:$B$59,0))),Settings!$C$10))</f>
        <v/>
      </c>
      <c r="AL112" s="108">
        <f t="shared" si="30"/>
        <v>0</v>
      </c>
      <c r="AM112" s="39" t="str">
        <f t="shared" si="31"/>
        <v/>
      </c>
      <c r="AN112" s="39" t="str">
        <f t="shared" si="32"/>
        <v/>
      </c>
      <c r="AO112" s="39" t="str">
        <f t="shared" si="33"/>
        <v/>
      </c>
      <c r="AP112" s="39">
        <f t="shared" si="34"/>
        <v>0</v>
      </c>
      <c r="AQ112" s="39">
        <f t="shared" si="35"/>
        <v>0</v>
      </c>
    </row>
    <row r="113" spans="14:43" x14ac:dyDescent="0.25">
      <c r="N113" s="105">
        <f t="shared" si="18"/>
        <v>0</v>
      </c>
      <c r="O113" s="106" t="str">
        <f>IF($F113="","",IF(ISNUMBER($F113),$F113+Settings!$C$7/24,IFERROR(DATEVALUE(LEFT($F113,10))+TIMEVALUE(MID($F113,12,8))+Settings!$C$7/24,"")))</f>
        <v/>
      </c>
      <c r="P113" s="106" t="str">
        <f>IF($G113="","",IF(ISNUMBER($G113),$G113+Settings!$C$7/24,IFERROR(DATEVALUE(LEFT($G113,10))+TIMEVALUE(MID($G113,12,8))+Settings!$C$7/24,"")))</f>
        <v/>
      </c>
      <c r="Q113" s="39" t="str">
        <f t="shared" si="19"/>
        <v/>
      </c>
      <c r="R113" s="39" t="str">
        <f t="shared" si="20"/>
        <v/>
      </c>
      <c r="S113" s="107" t="str">
        <f t="shared" si="21"/>
        <v/>
      </c>
      <c r="T113" s="39" t="str">
        <f>IF($C113="","",IF(COUNTIF($C$2:$C113,$C113)=1,1,0))</f>
        <v/>
      </c>
      <c r="U113" s="39" t="str">
        <f>IF($T113=1,COUNTIF($T$2:$T113,1),"")</f>
        <v/>
      </c>
      <c r="V113" s="39" t="str">
        <f>IF($B113="","",IF(COUNTIF($B$2:$B113,$B113)=1,1,0))</f>
        <v/>
      </c>
      <c r="W113" s="39" t="str">
        <f>IF($V113=1,COUNTIF($V$2:$V113,1),"")</f>
        <v/>
      </c>
      <c r="X113" s="39" t="str">
        <f>IF($A113="","",IF(COUNTIF($A$2:$A113,$A113)=1,1,0))</f>
        <v/>
      </c>
      <c r="Y113" s="39" t="str">
        <f>IF($X113=1,COUNTIF($X$2:$X113,1),"")</f>
        <v/>
      </c>
      <c r="Z113" s="39">
        <f>IF(AND($E113="timed",$N113&gt;Settings!$C$8),1,0)</f>
        <v>0</v>
      </c>
      <c r="AA113" s="39">
        <f t="shared" si="22"/>
        <v>0</v>
      </c>
      <c r="AB113" s="39">
        <f t="shared" si="23"/>
        <v>0</v>
      </c>
      <c r="AC113" s="39" t="str">
        <f t="shared" si="24"/>
        <v/>
      </c>
      <c r="AD113" s="39" t="str">
        <f t="shared" si="25"/>
        <v/>
      </c>
      <c r="AE113" s="39" t="str">
        <f t="shared" si="26"/>
        <v/>
      </c>
      <c r="AF113" s="106" t="str">
        <f t="shared" si="27"/>
        <v/>
      </c>
      <c r="AG113" s="39">
        <f t="shared" si="28"/>
        <v>0</v>
      </c>
      <c r="AH113" s="39" t="str">
        <f t="shared" si="29"/>
        <v/>
      </c>
      <c r="AI113" s="39">
        <f>IF(AND($E113="timed",$N113&gt;=Settings!$C$9),1,0)</f>
        <v>0</v>
      </c>
      <c r="AJ113" s="39" t="str">
        <f>IF(OR($S113="",Settings!$C$16=""),"",IF($S113&lt;=Settings!$C$16,1,2))</f>
        <v/>
      </c>
      <c r="AK113" s="39" t="str">
        <f>IF($C113="","",IFERROR(IF(INDEX(Settings!$C$20:$C$59,MATCH($C113,Settings!$B$20:$B$59,0))="",Settings!$C$10,INDEX(Settings!$C$20:$C$59,MATCH($C113,Settings!$B$20:$B$59,0))),Settings!$C$10))</f>
        <v/>
      </c>
      <c r="AL113" s="108">
        <f t="shared" si="30"/>
        <v>0</v>
      </c>
      <c r="AM113" s="39" t="str">
        <f t="shared" si="31"/>
        <v/>
      </c>
      <c r="AN113" s="39" t="str">
        <f t="shared" si="32"/>
        <v/>
      </c>
      <c r="AO113" s="39" t="str">
        <f t="shared" si="33"/>
        <v/>
      </c>
      <c r="AP113" s="39">
        <f t="shared" si="34"/>
        <v>0</v>
      </c>
      <c r="AQ113" s="39">
        <f t="shared" si="35"/>
        <v>0</v>
      </c>
    </row>
    <row r="114" spans="14:43" x14ac:dyDescent="0.25">
      <c r="N114" s="105">
        <f t="shared" si="18"/>
        <v>0</v>
      </c>
      <c r="O114" s="106" t="str">
        <f>IF($F114="","",IF(ISNUMBER($F114),$F114+Settings!$C$7/24,IFERROR(DATEVALUE(LEFT($F114,10))+TIMEVALUE(MID($F114,12,8))+Settings!$C$7/24,"")))</f>
        <v/>
      </c>
      <c r="P114" s="106" t="str">
        <f>IF($G114="","",IF(ISNUMBER($G114),$G114+Settings!$C$7/24,IFERROR(DATEVALUE(LEFT($G114,10))+TIMEVALUE(MID($G114,12,8))+Settings!$C$7/24,"")))</f>
        <v/>
      </c>
      <c r="Q114" s="39" t="str">
        <f t="shared" si="19"/>
        <v/>
      </c>
      <c r="R114" s="39" t="str">
        <f t="shared" si="20"/>
        <v/>
      </c>
      <c r="S114" s="107" t="str">
        <f t="shared" si="21"/>
        <v/>
      </c>
      <c r="T114" s="39" t="str">
        <f>IF($C114="","",IF(COUNTIF($C$2:$C114,$C114)=1,1,0))</f>
        <v/>
      </c>
      <c r="U114" s="39" t="str">
        <f>IF($T114=1,COUNTIF($T$2:$T114,1),"")</f>
        <v/>
      </c>
      <c r="V114" s="39" t="str">
        <f>IF($B114="","",IF(COUNTIF($B$2:$B114,$B114)=1,1,0))</f>
        <v/>
      </c>
      <c r="W114" s="39" t="str">
        <f>IF($V114=1,COUNTIF($V$2:$V114,1),"")</f>
        <v/>
      </c>
      <c r="X114" s="39" t="str">
        <f>IF($A114="","",IF(COUNTIF($A$2:$A114,$A114)=1,1,0))</f>
        <v/>
      </c>
      <c r="Y114" s="39" t="str">
        <f>IF($X114=1,COUNTIF($X$2:$X114,1),"")</f>
        <v/>
      </c>
      <c r="Z114" s="39">
        <f>IF(AND($E114="timed",$N114&gt;Settings!$C$8),1,0)</f>
        <v>0</v>
      </c>
      <c r="AA114" s="39">
        <f t="shared" si="22"/>
        <v>0</v>
      </c>
      <c r="AB114" s="39">
        <f t="shared" si="23"/>
        <v>0</v>
      </c>
      <c r="AC114" s="39" t="str">
        <f t="shared" si="24"/>
        <v/>
      </c>
      <c r="AD114" s="39" t="str">
        <f t="shared" si="25"/>
        <v/>
      </c>
      <c r="AE114" s="39" t="str">
        <f t="shared" si="26"/>
        <v/>
      </c>
      <c r="AF114" s="106" t="str">
        <f t="shared" si="27"/>
        <v/>
      </c>
      <c r="AG114" s="39">
        <f t="shared" si="28"/>
        <v>0</v>
      </c>
      <c r="AH114" s="39" t="str">
        <f t="shared" si="29"/>
        <v/>
      </c>
      <c r="AI114" s="39">
        <f>IF(AND($E114="timed",$N114&gt;=Settings!$C$9),1,0)</f>
        <v>0</v>
      </c>
      <c r="AJ114" s="39" t="str">
        <f>IF(OR($S114="",Settings!$C$16=""),"",IF($S114&lt;=Settings!$C$16,1,2))</f>
        <v/>
      </c>
      <c r="AK114" s="39" t="str">
        <f>IF($C114="","",IFERROR(IF(INDEX(Settings!$C$20:$C$59,MATCH($C114,Settings!$B$20:$B$59,0))="",Settings!$C$10,INDEX(Settings!$C$20:$C$59,MATCH($C114,Settings!$B$20:$B$59,0))),Settings!$C$10))</f>
        <v/>
      </c>
      <c r="AL114" s="108">
        <f t="shared" si="30"/>
        <v>0</v>
      </c>
      <c r="AM114" s="39" t="str">
        <f t="shared" si="31"/>
        <v/>
      </c>
      <c r="AN114" s="39" t="str">
        <f t="shared" si="32"/>
        <v/>
      </c>
      <c r="AO114" s="39" t="str">
        <f t="shared" si="33"/>
        <v/>
      </c>
      <c r="AP114" s="39">
        <f t="shared" si="34"/>
        <v>0</v>
      </c>
      <c r="AQ114" s="39">
        <f t="shared" si="35"/>
        <v>0</v>
      </c>
    </row>
    <row r="115" spans="14:43" x14ac:dyDescent="0.25">
      <c r="N115" s="105">
        <f t="shared" si="18"/>
        <v>0</v>
      </c>
      <c r="O115" s="106" t="str">
        <f>IF($F115="","",IF(ISNUMBER($F115),$F115+Settings!$C$7/24,IFERROR(DATEVALUE(LEFT($F115,10))+TIMEVALUE(MID($F115,12,8))+Settings!$C$7/24,"")))</f>
        <v/>
      </c>
      <c r="P115" s="106" t="str">
        <f>IF($G115="","",IF(ISNUMBER($G115),$G115+Settings!$C$7/24,IFERROR(DATEVALUE(LEFT($G115,10))+TIMEVALUE(MID($G115,12,8))+Settings!$C$7/24,"")))</f>
        <v/>
      </c>
      <c r="Q115" s="39" t="str">
        <f t="shared" si="19"/>
        <v/>
      </c>
      <c r="R115" s="39" t="str">
        <f t="shared" si="20"/>
        <v/>
      </c>
      <c r="S115" s="107" t="str">
        <f t="shared" si="21"/>
        <v/>
      </c>
      <c r="T115" s="39" t="str">
        <f>IF($C115="","",IF(COUNTIF($C$2:$C115,$C115)=1,1,0))</f>
        <v/>
      </c>
      <c r="U115" s="39" t="str">
        <f>IF($T115=1,COUNTIF($T$2:$T115,1),"")</f>
        <v/>
      </c>
      <c r="V115" s="39" t="str">
        <f>IF($B115="","",IF(COUNTIF($B$2:$B115,$B115)=1,1,0))</f>
        <v/>
      </c>
      <c r="W115" s="39" t="str">
        <f>IF($V115=1,COUNTIF($V$2:$V115,1),"")</f>
        <v/>
      </c>
      <c r="X115" s="39" t="str">
        <f>IF($A115="","",IF(COUNTIF($A$2:$A115,$A115)=1,1,0))</f>
        <v/>
      </c>
      <c r="Y115" s="39" t="str">
        <f>IF($X115=1,COUNTIF($X$2:$X115,1),"")</f>
        <v/>
      </c>
      <c r="Z115" s="39">
        <f>IF(AND($E115="timed",$N115&gt;Settings!$C$8),1,0)</f>
        <v>0</v>
      </c>
      <c r="AA115" s="39">
        <f t="shared" si="22"/>
        <v>0</v>
      </c>
      <c r="AB115" s="39">
        <f t="shared" si="23"/>
        <v>0</v>
      </c>
      <c r="AC115" s="39" t="str">
        <f t="shared" si="24"/>
        <v/>
      </c>
      <c r="AD115" s="39" t="str">
        <f t="shared" si="25"/>
        <v/>
      </c>
      <c r="AE115" s="39" t="str">
        <f t="shared" si="26"/>
        <v/>
      </c>
      <c r="AF115" s="106" t="str">
        <f t="shared" si="27"/>
        <v/>
      </c>
      <c r="AG115" s="39">
        <f t="shared" si="28"/>
        <v>0</v>
      </c>
      <c r="AH115" s="39" t="str">
        <f t="shared" si="29"/>
        <v/>
      </c>
      <c r="AI115" s="39">
        <f>IF(AND($E115="timed",$N115&gt;=Settings!$C$9),1,0)</f>
        <v>0</v>
      </c>
      <c r="AJ115" s="39" t="str">
        <f>IF(OR($S115="",Settings!$C$16=""),"",IF($S115&lt;=Settings!$C$16,1,2))</f>
        <v/>
      </c>
      <c r="AK115" s="39" t="str">
        <f>IF($C115="","",IFERROR(IF(INDEX(Settings!$C$20:$C$59,MATCH($C115,Settings!$B$20:$B$59,0))="",Settings!$C$10,INDEX(Settings!$C$20:$C$59,MATCH($C115,Settings!$B$20:$B$59,0))),Settings!$C$10))</f>
        <v/>
      </c>
      <c r="AL115" s="108">
        <f t="shared" si="30"/>
        <v>0</v>
      </c>
      <c r="AM115" s="39" t="str">
        <f t="shared" si="31"/>
        <v/>
      </c>
      <c r="AN115" s="39" t="str">
        <f t="shared" si="32"/>
        <v/>
      </c>
      <c r="AO115" s="39" t="str">
        <f t="shared" si="33"/>
        <v/>
      </c>
      <c r="AP115" s="39">
        <f t="shared" si="34"/>
        <v>0</v>
      </c>
      <c r="AQ115" s="39">
        <f t="shared" si="35"/>
        <v>0</v>
      </c>
    </row>
    <row r="116" spans="14:43" x14ac:dyDescent="0.25">
      <c r="N116" s="105">
        <f t="shared" si="18"/>
        <v>0</v>
      </c>
      <c r="O116" s="106" t="str">
        <f>IF($F116="","",IF(ISNUMBER($F116),$F116+Settings!$C$7/24,IFERROR(DATEVALUE(LEFT($F116,10))+TIMEVALUE(MID($F116,12,8))+Settings!$C$7/24,"")))</f>
        <v/>
      </c>
      <c r="P116" s="106" t="str">
        <f>IF($G116="","",IF(ISNUMBER($G116),$G116+Settings!$C$7/24,IFERROR(DATEVALUE(LEFT($G116,10))+TIMEVALUE(MID($G116,12,8))+Settings!$C$7/24,"")))</f>
        <v/>
      </c>
      <c r="Q116" s="39" t="str">
        <f t="shared" si="19"/>
        <v/>
      </c>
      <c r="R116" s="39" t="str">
        <f t="shared" si="20"/>
        <v/>
      </c>
      <c r="S116" s="107" t="str">
        <f t="shared" si="21"/>
        <v/>
      </c>
      <c r="T116" s="39" t="str">
        <f>IF($C116="","",IF(COUNTIF($C$2:$C116,$C116)=1,1,0))</f>
        <v/>
      </c>
      <c r="U116" s="39" t="str">
        <f>IF($T116=1,COUNTIF($T$2:$T116,1),"")</f>
        <v/>
      </c>
      <c r="V116" s="39" t="str">
        <f>IF($B116="","",IF(COUNTIF($B$2:$B116,$B116)=1,1,0))</f>
        <v/>
      </c>
      <c r="W116" s="39" t="str">
        <f>IF($V116=1,COUNTIF($V$2:$V116,1),"")</f>
        <v/>
      </c>
      <c r="X116" s="39" t="str">
        <f>IF($A116="","",IF(COUNTIF($A$2:$A116,$A116)=1,1,0))</f>
        <v/>
      </c>
      <c r="Y116" s="39" t="str">
        <f>IF($X116=1,COUNTIF($X$2:$X116,1),"")</f>
        <v/>
      </c>
      <c r="Z116" s="39">
        <f>IF(AND($E116="timed",$N116&gt;Settings!$C$8),1,0)</f>
        <v>0</v>
      </c>
      <c r="AA116" s="39">
        <f t="shared" si="22"/>
        <v>0</v>
      </c>
      <c r="AB116" s="39">
        <f t="shared" si="23"/>
        <v>0</v>
      </c>
      <c r="AC116" s="39" t="str">
        <f t="shared" si="24"/>
        <v/>
      </c>
      <c r="AD116" s="39" t="str">
        <f t="shared" si="25"/>
        <v/>
      </c>
      <c r="AE116" s="39" t="str">
        <f t="shared" si="26"/>
        <v/>
      </c>
      <c r="AF116" s="106" t="str">
        <f t="shared" si="27"/>
        <v/>
      </c>
      <c r="AG116" s="39">
        <f t="shared" si="28"/>
        <v>0</v>
      </c>
      <c r="AH116" s="39" t="str">
        <f t="shared" si="29"/>
        <v/>
      </c>
      <c r="AI116" s="39">
        <f>IF(AND($E116="timed",$N116&gt;=Settings!$C$9),1,0)</f>
        <v>0</v>
      </c>
      <c r="AJ116" s="39" t="str">
        <f>IF(OR($S116="",Settings!$C$16=""),"",IF($S116&lt;=Settings!$C$16,1,2))</f>
        <v/>
      </c>
      <c r="AK116" s="39" t="str">
        <f>IF($C116="","",IFERROR(IF(INDEX(Settings!$C$20:$C$59,MATCH($C116,Settings!$B$20:$B$59,0))="",Settings!$C$10,INDEX(Settings!$C$20:$C$59,MATCH($C116,Settings!$B$20:$B$59,0))),Settings!$C$10))</f>
        <v/>
      </c>
      <c r="AL116" s="108">
        <f t="shared" si="30"/>
        <v>0</v>
      </c>
      <c r="AM116" s="39" t="str">
        <f t="shared" si="31"/>
        <v/>
      </c>
      <c r="AN116" s="39" t="str">
        <f t="shared" si="32"/>
        <v/>
      </c>
      <c r="AO116" s="39" t="str">
        <f t="shared" si="33"/>
        <v/>
      </c>
      <c r="AP116" s="39">
        <f t="shared" si="34"/>
        <v>0</v>
      </c>
      <c r="AQ116" s="39">
        <f t="shared" si="35"/>
        <v>0</v>
      </c>
    </row>
    <row r="117" spans="14:43" x14ac:dyDescent="0.25">
      <c r="N117" s="105">
        <f t="shared" si="18"/>
        <v>0</v>
      </c>
      <c r="O117" s="106" t="str">
        <f>IF($F117="","",IF(ISNUMBER($F117),$F117+Settings!$C$7/24,IFERROR(DATEVALUE(LEFT($F117,10))+TIMEVALUE(MID($F117,12,8))+Settings!$C$7/24,"")))</f>
        <v/>
      </c>
      <c r="P117" s="106" t="str">
        <f>IF($G117="","",IF(ISNUMBER($G117),$G117+Settings!$C$7/24,IFERROR(DATEVALUE(LEFT($G117,10))+TIMEVALUE(MID($G117,12,8))+Settings!$C$7/24,"")))</f>
        <v/>
      </c>
      <c r="Q117" s="39" t="str">
        <f t="shared" si="19"/>
        <v/>
      </c>
      <c r="R117" s="39" t="str">
        <f t="shared" si="20"/>
        <v/>
      </c>
      <c r="S117" s="107" t="str">
        <f t="shared" si="21"/>
        <v/>
      </c>
      <c r="T117" s="39" t="str">
        <f>IF($C117="","",IF(COUNTIF($C$2:$C117,$C117)=1,1,0))</f>
        <v/>
      </c>
      <c r="U117" s="39" t="str">
        <f>IF($T117=1,COUNTIF($T$2:$T117,1),"")</f>
        <v/>
      </c>
      <c r="V117" s="39" t="str">
        <f>IF($B117="","",IF(COUNTIF($B$2:$B117,$B117)=1,1,0))</f>
        <v/>
      </c>
      <c r="W117" s="39" t="str">
        <f>IF($V117=1,COUNTIF($V$2:$V117,1),"")</f>
        <v/>
      </c>
      <c r="X117" s="39" t="str">
        <f>IF($A117="","",IF(COUNTIF($A$2:$A117,$A117)=1,1,0))</f>
        <v/>
      </c>
      <c r="Y117" s="39" t="str">
        <f>IF($X117=1,COUNTIF($X$2:$X117,1),"")</f>
        <v/>
      </c>
      <c r="Z117" s="39">
        <f>IF(AND($E117="timed",$N117&gt;Settings!$C$8),1,0)</f>
        <v>0</v>
      </c>
      <c r="AA117" s="39">
        <f t="shared" si="22"/>
        <v>0</v>
      </c>
      <c r="AB117" s="39">
        <f t="shared" si="23"/>
        <v>0</v>
      </c>
      <c r="AC117" s="39" t="str">
        <f t="shared" si="24"/>
        <v/>
      </c>
      <c r="AD117" s="39" t="str">
        <f t="shared" si="25"/>
        <v/>
      </c>
      <c r="AE117" s="39" t="str">
        <f t="shared" si="26"/>
        <v/>
      </c>
      <c r="AF117" s="106" t="str">
        <f t="shared" si="27"/>
        <v/>
      </c>
      <c r="AG117" s="39">
        <f t="shared" si="28"/>
        <v>0</v>
      </c>
      <c r="AH117" s="39" t="str">
        <f t="shared" si="29"/>
        <v/>
      </c>
      <c r="AI117" s="39">
        <f>IF(AND($E117="timed",$N117&gt;=Settings!$C$9),1,0)</f>
        <v>0</v>
      </c>
      <c r="AJ117" s="39" t="str">
        <f>IF(OR($S117="",Settings!$C$16=""),"",IF($S117&lt;=Settings!$C$16,1,2))</f>
        <v/>
      </c>
      <c r="AK117" s="39" t="str">
        <f>IF($C117="","",IFERROR(IF(INDEX(Settings!$C$20:$C$59,MATCH($C117,Settings!$B$20:$B$59,0))="",Settings!$C$10,INDEX(Settings!$C$20:$C$59,MATCH($C117,Settings!$B$20:$B$59,0))),Settings!$C$10))</f>
        <v/>
      </c>
      <c r="AL117" s="108">
        <f t="shared" si="30"/>
        <v>0</v>
      </c>
      <c r="AM117" s="39" t="str">
        <f t="shared" si="31"/>
        <v/>
      </c>
      <c r="AN117" s="39" t="str">
        <f t="shared" si="32"/>
        <v/>
      </c>
      <c r="AO117" s="39" t="str">
        <f t="shared" si="33"/>
        <v/>
      </c>
      <c r="AP117" s="39">
        <f t="shared" si="34"/>
        <v>0</v>
      </c>
      <c r="AQ117" s="39">
        <f t="shared" si="35"/>
        <v>0</v>
      </c>
    </row>
    <row r="118" spans="14:43" x14ac:dyDescent="0.25">
      <c r="N118" s="105">
        <f t="shared" si="18"/>
        <v>0</v>
      </c>
      <c r="O118" s="106" t="str">
        <f>IF($F118="","",IF(ISNUMBER($F118),$F118+Settings!$C$7/24,IFERROR(DATEVALUE(LEFT($F118,10))+TIMEVALUE(MID($F118,12,8))+Settings!$C$7/24,"")))</f>
        <v/>
      </c>
      <c r="P118" s="106" t="str">
        <f>IF($G118="","",IF(ISNUMBER($G118),$G118+Settings!$C$7/24,IFERROR(DATEVALUE(LEFT($G118,10))+TIMEVALUE(MID($G118,12,8))+Settings!$C$7/24,"")))</f>
        <v/>
      </c>
      <c r="Q118" s="39" t="str">
        <f t="shared" si="19"/>
        <v/>
      </c>
      <c r="R118" s="39" t="str">
        <f t="shared" si="20"/>
        <v/>
      </c>
      <c r="S118" s="107" t="str">
        <f t="shared" si="21"/>
        <v/>
      </c>
      <c r="T118" s="39" t="str">
        <f>IF($C118="","",IF(COUNTIF($C$2:$C118,$C118)=1,1,0))</f>
        <v/>
      </c>
      <c r="U118" s="39" t="str">
        <f>IF($T118=1,COUNTIF($T$2:$T118,1),"")</f>
        <v/>
      </c>
      <c r="V118" s="39" t="str">
        <f>IF($B118="","",IF(COUNTIF($B$2:$B118,$B118)=1,1,0))</f>
        <v/>
      </c>
      <c r="W118" s="39" t="str">
        <f>IF($V118=1,COUNTIF($V$2:$V118,1),"")</f>
        <v/>
      </c>
      <c r="X118" s="39" t="str">
        <f>IF($A118="","",IF(COUNTIF($A$2:$A118,$A118)=1,1,0))</f>
        <v/>
      </c>
      <c r="Y118" s="39" t="str">
        <f>IF($X118=1,COUNTIF($X$2:$X118,1),"")</f>
        <v/>
      </c>
      <c r="Z118" s="39">
        <f>IF(AND($E118="timed",$N118&gt;Settings!$C$8),1,0)</f>
        <v>0</v>
      </c>
      <c r="AA118" s="39">
        <f t="shared" si="22"/>
        <v>0</v>
      </c>
      <c r="AB118" s="39">
        <f t="shared" si="23"/>
        <v>0</v>
      </c>
      <c r="AC118" s="39" t="str">
        <f t="shared" si="24"/>
        <v/>
      </c>
      <c r="AD118" s="39" t="str">
        <f t="shared" si="25"/>
        <v/>
      </c>
      <c r="AE118" s="39" t="str">
        <f t="shared" si="26"/>
        <v/>
      </c>
      <c r="AF118" s="106" t="str">
        <f t="shared" si="27"/>
        <v/>
      </c>
      <c r="AG118" s="39">
        <f t="shared" si="28"/>
        <v>0</v>
      </c>
      <c r="AH118" s="39" t="str">
        <f t="shared" si="29"/>
        <v/>
      </c>
      <c r="AI118" s="39">
        <f>IF(AND($E118="timed",$N118&gt;=Settings!$C$9),1,0)</f>
        <v>0</v>
      </c>
      <c r="AJ118" s="39" t="str">
        <f>IF(OR($S118="",Settings!$C$16=""),"",IF($S118&lt;=Settings!$C$16,1,2))</f>
        <v/>
      </c>
      <c r="AK118" s="39" t="str">
        <f>IF($C118="","",IFERROR(IF(INDEX(Settings!$C$20:$C$59,MATCH($C118,Settings!$B$20:$B$59,0))="",Settings!$C$10,INDEX(Settings!$C$20:$C$59,MATCH($C118,Settings!$B$20:$B$59,0))),Settings!$C$10))</f>
        <v/>
      </c>
      <c r="AL118" s="108">
        <f t="shared" si="30"/>
        <v>0</v>
      </c>
      <c r="AM118" s="39" t="str">
        <f t="shared" si="31"/>
        <v/>
      </c>
      <c r="AN118" s="39" t="str">
        <f t="shared" si="32"/>
        <v/>
      </c>
      <c r="AO118" s="39" t="str">
        <f t="shared" si="33"/>
        <v/>
      </c>
      <c r="AP118" s="39">
        <f t="shared" si="34"/>
        <v>0</v>
      </c>
      <c r="AQ118" s="39">
        <f t="shared" si="35"/>
        <v>0</v>
      </c>
    </row>
    <row r="119" spans="14:43" x14ac:dyDescent="0.25">
      <c r="N119" s="105">
        <f t="shared" si="18"/>
        <v>0</v>
      </c>
      <c r="O119" s="106" t="str">
        <f>IF($F119="","",IF(ISNUMBER($F119),$F119+Settings!$C$7/24,IFERROR(DATEVALUE(LEFT($F119,10))+TIMEVALUE(MID($F119,12,8))+Settings!$C$7/24,"")))</f>
        <v/>
      </c>
      <c r="P119" s="106" t="str">
        <f>IF($G119="","",IF(ISNUMBER($G119),$G119+Settings!$C$7/24,IFERROR(DATEVALUE(LEFT($G119,10))+TIMEVALUE(MID($G119,12,8))+Settings!$C$7/24,"")))</f>
        <v/>
      </c>
      <c r="Q119" s="39" t="str">
        <f t="shared" si="19"/>
        <v/>
      </c>
      <c r="R119" s="39" t="str">
        <f t="shared" si="20"/>
        <v/>
      </c>
      <c r="S119" s="107" t="str">
        <f t="shared" si="21"/>
        <v/>
      </c>
      <c r="T119" s="39" t="str">
        <f>IF($C119="","",IF(COUNTIF($C$2:$C119,$C119)=1,1,0))</f>
        <v/>
      </c>
      <c r="U119" s="39" t="str">
        <f>IF($T119=1,COUNTIF($T$2:$T119,1),"")</f>
        <v/>
      </c>
      <c r="V119" s="39" t="str">
        <f>IF($B119="","",IF(COUNTIF($B$2:$B119,$B119)=1,1,0))</f>
        <v/>
      </c>
      <c r="W119" s="39" t="str">
        <f>IF($V119=1,COUNTIF($V$2:$V119,1),"")</f>
        <v/>
      </c>
      <c r="X119" s="39" t="str">
        <f>IF($A119="","",IF(COUNTIF($A$2:$A119,$A119)=1,1,0))</f>
        <v/>
      </c>
      <c r="Y119" s="39" t="str">
        <f>IF($X119=1,COUNTIF($X$2:$X119,1),"")</f>
        <v/>
      </c>
      <c r="Z119" s="39">
        <f>IF(AND($E119="timed",$N119&gt;Settings!$C$8),1,0)</f>
        <v>0</v>
      </c>
      <c r="AA119" s="39">
        <f t="shared" si="22"/>
        <v>0</v>
      </c>
      <c r="AB119" s="39">
        <f t="shared" si="23"/>
        <v>0</v>
      </c>
      <c r="AC119" s="39" t="str">
        <f t="shared" si="24"/>
        <v/>
      </c>
      <c r="AD119" s="39" t="str">
        <f t="shared" si="25"/>
        <v/>
      </c>
      <c r="AE119" s="39" t="str">
        <f t="shared" si="26"/>
        <v/>
      </c>
      <c r="AF119" s="106" t="str">
        <f t="shared" si="27"/>
        <v/>
      </c>
      <c r="AG119" s="39">
        <f t="shared" si="28"/>
        <v>0</v>
      </c>
      <c r="AH119" s="39" t="str">
        <f t="shared" si="29"/>
        <v/>
      </c>
      <c r="AI119" s="39">
        <f>IF(AND($E119="timed",$N119&gt;=Settings!$C$9),1,0)</f>
        <v>0</v>
      </c>
      <c r="AJ119" s="39" t="str">
        <f>IF(OR($S119="",Settings!$C$16=""),"",IF($S119&lt;=Settings!$C$16,1,2))</f>
        <v/>
      </c>
      <c r="AK119" s="39" t="str">
        <f>IF($C119="","",IFERROR(IF(INDEX(Settings!$C$20:$C$59,MATCH($C119,Settings!$B$20:$B$59,0))="",Settings!$C$10,INDEX(Settings!$C$20:$C$59,MATCH($C119,Settings!$B$20:$B$59,0))),Settings!$C$10))</f>
        <v/>
      </c>
      <c r="AL119" s="108">
        <f t="shared" si="30"/>
        <v>0</v>
      </c>
      <c r="AM119" s="39" t="str">
        <f t="shared" si="31"/>
        <v/>
      </c>
      <c r="AN119" s="39" t="str">
        <f t="shared" si="32"/>
        <v/>
      </c>
      <c r="AO119" s="39" t="str">
        <f t="shared" si="33"/>
        <v/>
      </c>
      <c r="AP119" s="39">
        <f t="shared" si="34"/>
        <v>0</v>
      </c>
      <c r="AQ119" s="39">
        <f t="shared" si="35"/>
        <v>0</v>
      </c>
    </row>
    <row r="120" spans="14:43" x14ac:dyDescent="0.25">
      <c r="N120" s="105">
        <f t="shared" si="18"/>
        <v>0</v>
      </c>
      <c r="O120" s="106" t="str">
        <f>IF($F120="","",IF(ISNUMBER($F120),$F120+Settings!$C$7/24,IFERROR(DATEVALUE(LEFT($F120,10))+TIMEVALUE(MID($F120,12,8))+Settings!$C$7/24,"")))</f>
        <v/>
      </c>
      <c r="P120" s="106" t="str">
        <f>IF($G120="","",IF(ISNUMBER($G120),$G120+Settings!$C$7/24,IFERROR(DATEVALUE(LEFT($G120,10))+TIMEVALUE(MID($G120,12,8))+Settings!$C$7/24,"")))</f>
        <v/>
      </c>
      <c r="Q120" s="39" t="str">
        <f t="shared" si="19"/>
        <v/>
      </c>
      <c r="R120" s="39" t="str">
        <f t="shared" si="20"/>
        <v/>
      </c>
      <c r="S120" s="107" t="str">
        <f t="shared" si="21"/>
        <v/>
      </c>
      <c r="T120" s="39" t="str">
        <f>IF($C120="","",IF(COUNTIF($C$2:$C120,$C120)=1,1,0))</f>
        <v/>
      </c>
      <c r="U120" s="39" t="str">
        <f>IF($T120=1,COUNTIF($T$2:$T120,1),"")</f>
        <v/>
      </c>
      <c r="V120" s="39" t="str">
        <f>IF($B120="","",IF(COUNTIF($B$2:$B120,$B120)=1,1,0))</f>
        <v/>
      </c>
      <c r="W120" s="39" t="str">
        <f>IF($V120=1,COUNTIF($V$2:$V120,1),"")</f>
        <v/>
      </c>
      <c r="X120" s="39" t="str">
        <f>IF($A120="","",IF(COUNTIF($A$2:$A120,$A120)=1,1,0))</f>
        <v/>
      </c>
      <c r="Y120" s="39" t="str">
        <f>IF($X120=1,COUNTIF($X$2:$X120,1),"")</f>
        <v/>
      </c>
      <c r="Z120" s="39">
        <f>IF(AND($E120="timed",$N120&gt;Settings!$C$8),1,0)</f>
        <v>0</v>
      </c>
      <c r="AA120" s="39">
        <f t="shared" si="22"/>
        <v>0</v>
      </c>
      <c r="AB120" s="39">
        <f t="shared" si="23"/>
        <v>0</v>
      </c>
      <c r="AC120" s="39" t="str">
        <f t="shared" si="24"/>
        <v/>
      </c>
      <c r="AD120" s="39" t="str">
        <f t="shared" si="25"/>
        <v/>
      </c>
      <c r="AE120" s="39" t="str">
        <f t="shared" si="26"/>
        <v/>
      </c>
      <c r="AF120" s="106" t="str">
        <f t="shared" si="27"/>
        <v/>
      </c>
      <c r="AG120" s="39">
        <f t="shared" si="28"/>
        <v>0</v>
      </c>
      <c r="AH120" s="39" t="str">
        <f t="shared" si="29"/>
        <v/>
      </c>
      <c r="AI120" s="39">
        <f>IF(AND($E120="timed",$N120&gt;=Settings!$C$9),1,0)</f>
        <v>0</v>
      </c>
      <c r="AJ120" s="39" t="str">
        <f>IF(OR($S120="",Settings!$C$16=""),"",IF($S120&lt;=Settings!$C$16,1,2))</f>
        <v/>
      </c>
      <c r="AK120" s="39" t="str">
        <f>IF($C120="","",IFERROR(IF(INDEX(Settings!$C$20:$C$59,MATCH($C120,Settings!$B$20:$B$59,0))="",Settings!$C$10,INDEX(Settings!$C$20:$C$59,MATCH($C120,Settings!$B$20:$B$59,0))),Settings!$C$10))</f>
        <v/>
      </c>
      <c r="AL120" s="108">
        <f t="shared" si="30"/>
        <v>0</v>
      </c>
      <c r="AM120" s="39" t="str">
        <f t="shared" si="31"/>
        <v/>
      </c>
      <c r="AN120" s="39" t="str">
        <f t="shared" si="32"/>
        <v/>
      </c>
      <c r="AO120" s="39" t="str">
        <f t="shared" si="33"/>
        <v/>
      </c>
      <c r="AP120" s="39">
        <f t="shared" si="34"/>
        <v>0</v>
      </c>
      <c r="AQ120" s="39">
        <f t="shared" si="35"/>
        <v>0</v>
      </c>
    </row>
    <row r="121" spans="14:43" x14ac:dyDescent="0.25">
      <c r="N121" s="105">
        <f t="shared" si="18"/>
        <v>0</v>
      </c>
      <c r="O121" s="106" t="str">
        <f>IF($F121="","",IF(ISNUMBER($F121),$F121+Settings!$C$7/24,IFERROR(DATEVALUE(LEFT($F121,10))+TIMEVALUE(MID($F121,12,8))+Settings!$C$7/24,"")))</f>
        <v/>
      </c>
      <c r="P121" s="106" t="str">
        <f>IF($G121="","",IF(ISNUMBER($G121),$G121+Settings!$C$7/24,IFERROR(DATEVALUE(LEFT($G121,10))+TIMEVALUE(MID($G121,12,8))+Settings!$C$7/24,"")))</f>
        <v/>
      </c>
      <c r="Q121" s="39" t="str">
        <f t="shared" si="19"/>
        <v/>
      </c>
      <c r="R121" s="39" t="str">
        <f t="shared" si="20"/>
        <v/>
      </c>
      <c r="S121" s="107" t="str">
        <f t="shared" si="21"/>
        <v/>
      </c>
      <c r="T121" s="39" t="str">
        <f>IF($C121="","",IF(COUNTIF($C$2:$C121,$C121)=1,1,0))</f>
        <v/>
      </c>
      <c r="U121" s="39" t="str">
        <f>IF($T121=1,COUNTIF($T$2:$T121,1),"")</f>
        <v/>
      </c>
      <c r="V121" s="39" t="str">
        <f>IF($B121="","",IF(COUNTIF($B$2:$B121,$B121)=1,1,0))</f>
        <v/>
      </c>
      <c r="W121" s="39" t="str">
        <f>IF($V121=1,COUNTIF($V$2:$V121,1),"")</f>
        <v/>
      </c>
      <c r="X121" s="39" t="str">
        <f>IF($A121="","",IF(COUNTIF($A$2:$A121,$A121)=1,1,0))</f>
        <v/>
      </c>
      <c r="Y121" s="39" t="str">
        <f>IF($X121=1,COUNTIF($X$2:$X121,1),"")</f>
        <v/>
      </c>
      <c r="Z121" s="39">
        <f>IF(AND($E121="timed",$N121&gt;Settings!$C$8),1,0)</f>
        <v>0</v>
      </c>
      <c r="AA121" s="39">
        <f t="shared" si="22"/>
        <v>0</v>
      </c>
      <c r="AB121" s="39">
        <f t="shared" si="23"/>
        <v>0</v>
      </c>
      <c r="AC121" s="39" t="str">
        <f t="shared" si="24"/>
        <v/>
      </c>
      <c r="AD121" s="39" t="str">
        <f t="shared" si="25"/>
        <v/>
      </c>
      <c r="AE121" s="39" t="str">
        <f t="shared" si="26"/>
        <v/>
      </c>
      <c r="AF121" s="106" t="str">
        <f t="shared" si="27"/>
        <v/>
      </c>
      <c r="AG121" s="39">
        <f t="shared" si="28"/>
        <v>0</v>
      </c>
      <c r="AH121" s="39" t="str">
        <f t="shared" si="29"/>
        <v/>
      </c>
      <c r="AI121" s="39">
        <f>IF(AND($E121="timed",$N121&gt;=Settings!$C$9),1,0)</f>
        <v>0</v>
      </c>
      <c r="AJ121" s="39" t="str">
        <f>IF(OR($S121="",Settings!$C$16=""),"",IF($S121&lt;=Settings!$C$16,1,2))</f>
        <v/>
      </c>
      <c r="AK121" s="39" t="str">
        <f>IF($C121="","",IFERROR(IF(INDEX(Settings!$C$20:$C$59,MATCH($C121,Settings!$B$20:$B$59,0))="",Settings!$C$10,INDEX(Settings!$C$20:$C$59,MATCH($C121,Settings!$B$20:$B$59,0))),Settings!$C$10))</f>
        <v/>
      </c>
      <c r="AL121" s="108">
        <f t="shared" si="30"/>
        <v>0</v>
      </c>
      <c r="AM121" s="39" t="str">
        <f t="shared" si="31"/>
        <v/>
      </c>
      <c r="AN121" s="39" t="str">
        <f t="shared" si="32"/>
        <v/>
      </c>
      <c r="AO121" s="39" t="str">
        <f t="shared" si="33"/>
        <v/>
      </c>
      <c r="AP121" s="39">
        <f t="shared" si="34"/>
        <v>0</v>
      </c>
      <c r="AQ121" s="39">
        <f t="shared" si="35"/>
        <v>0</v>
      </c>
    </row>
    <row r="122" spans="14:43" x14ac:dyDescent="0.25">
      <c r="N122" s="105">
        <f t="shared" si="18"/>
        <v>0</v>
      </c>
      <c r="O122" s="106" t="str">
        <f>IF($F122="","",IF(ISNUMBER($F122),$F122+Settings!$C$7/24,IFERROR(DATEVALUE(LEFT($F122,10))+TIMEVALUE(MID($F122,12,8))+Settings!$C$7/24,"")))</f>
        <v/>
      </c>
      <c r="P122" s="106" t="str">
        <f>IF($G122="","",IF(ISNUMBER($G122),$G122+Settings!$C$7/24,IFERROR(DATEVALUE(LEFT($G122,10))+TIMEVALUE(MID($G122,12,8))+Settings!$C$7/24,"")))</f>
        <v/>
      </c>
      <c r="Q122" s="39" t="str">
        <f t="shared" si="19"/>
        <v/>
      </c>
      <c r="R122" s="39" t="str">
        <f t="shared" si="20"/>
        <v/>
      </c>
      <c r="S122" s="107" t="str">
        <f t="shared" si="21"/>
        <v/>
      </c>
      <c r="T122" s="39" t="str">
        <f>IF($C122="","",IF(COUNTIF($C$2:$C122,$C122)=1,1,0))</f>
        <v/>
      </c>
      <c r="U122" s="39" t="str">
        <f>IF($T122=1,COUNTIF($T$2:$T122,1),"")</f>
        <v/>
      </c>
      <c r="V122" s="39" t="str">
        <f>IF($B122="","",IF(COUNTIF($B$2:$B122,$B122)=1,1,0))</f>
        <v/>
      </c>
      <c r="W122" s="39" t="str">
        <f>IF($V122=1,COUNTIF($V$2:$V122,1),"")</f>
        <v/>
      </c>
      <c r="X122" s="39" t="str">
        <f>IF($A122="","",IF(COUNTIF($A$2:$A122,$A122)=1,1,0))</f>
        <v/>
      </c>
      <c r="Y122" s="39" t="str">
        <f>IF($X122=1,COUNTIF($X$2:$X122,1),"")</f>
        <v/>
      </c>
      <c r="Z122" s="39">
        <f>IF(AND($E122="timed",$N122&gt;Settings!$C$8),1,0)</f>
        <v>0</v>
      </c>
      <c r="AA122" s="39">
        <f t="shared" si="22"/>
        <v>0</v>
      </c>
      <c r="AB122" s="39">
        <f t="shared" si="23"/>
        <v>0</v>
      </c>
      <c r="AC122" s="39" t="str">
        <f t="shared" si="24"/>
        <v/>
      </c>
      <c r="AD122" s="39" t="str">
        <f t="shared" si="25"/>
        <v/>
      </c>
      <c r="AE122" s="39" t="str">
        <f t="shared" si="26"/>
        <v/>
      </c>
      <c r="AF122" s="106" t="str">
        <f t="shared" si="27"/>
        <v/>
      </c>
      <c r="AG122" s="39">
        <f t="shared" si="28"/>
        <v>0</v>
      </c>
      <c r="AH122" s="39" t="str">
        <f t="shared" si="29"/>
        <v/>
      </c>
      <c r="AI122" s="39">
        <f>IF(AND($E122="timed",$N122&gt;=Settings!$C$9),1,0)</f>
        <v>0</v>
      </c>
      <c r="AJ122" s="39" t="str">
        <f>IF(OR($S122="",Settings!$C$16=""),"",IF($S122&lt;=Settings!$C$16,1,2))</f>
        <v/>
      </c>
      <c r="AK122" s="39" t="str">
        <f>IF($C122="","",IFERROR(IF(INDEX(Settings!$C$20:$C$59,MATCH($C122,Settings!$B$20:$B$59,0))="",Settings!$C$10,INDEX(Settings!$C$20:$C$59,MATCH($C122,Settings!$B$20:$B$59,0))),Settings!$C$10))</f>
        <v/>
      </c>
      <c r="AL122" s="108">
        <f t="shared" si="30"/>
        <v>0</v>
      </c>
      <c r="AM122" s="39" t="str">
        <f t="shared" si="31"/>
        <v/>
      </c>
      <c r="AN122" s="39" t="str">
        <f t="shared" si="32"/>
        <v/>
      </c>
      <c r="AO122" s="39" t="str">
        <f t="shared" si="33"/>
        <v/>
      </c>
      <c r="AP122" s="39">
        <f t="shared" si="34"/>
        <v>0</v>
      </c>
      <c r="AQ122" s="39">
        <f t="shared" si="35"/>
        <v>0</v>
      </c>
    </row>
    <row r="123" spans="14:43" x14ac:dyDescent="0.25">
      <c r="N123" s="105">
        <f t="shared" si="18"/>
        <v>0</v>
      </c>
      <c r="O123" s="106" t="str">
        <f>IF($F123="","",IF(ISNUMBER($F123),$F123+Settings!$C$7/24,IFERROR(DATEVALUE(LEFT($F123,10))+TIMEVALUE(MID($F123,12,8))+Settings!$C$7/24,"")))</f>
        <v/>
      </c>
      <c r="P123" s="106" t="str">
        <f>IF($G123="","",IF(ISNUMBER($G123),$G123+Settings!$C$7/24,IFERROR(DATEVALUE(LEFT($G123,10))+TIMEVALUE(MID($G123,12,8))+Settings!$C$7/24,"")))</f>
        <v/>
      </c>
      <c r="Q123" s="39" t="str">
        <f t="shared" si="19"/>
        <v/>
      </c>
      <c r="R123" s="39" t="str">
        <f t="shared" si="20"/>
        <v/>
      </c>
      <c r="S123" s="107" t="str">
        <f t="shared" si="21"/>
        <v/>
      </c>
      <c r="T123" s="39" t="str">
        <f>IF($C123="","",IF(COUNTIF($C$2:$C123,$C123)=1,1,0))</f>
        <v/>
      </c>
      <c r="U123" s="39" t="str">
        <f>IF($T123=1,COUNTIF($T$2:$T123,1),"")</f>
        <v/>
      </c>
      <c r="V123" s="39" t="str">
        <f>IF($B123="","",IF(COUNTIF($B$2:$B123,$B123)=1,1,0))</f>
        <v/>
      </c>
      <c r="W123" s="39" t="str">
        <f>IF($V123=1,COUNTIF($V$2:$V123,1),"")</f>
        <v/>
      </c>
      <c r="X123" s="39" t="str">
        <f>IF($A123="","",IF(COUNTIF($A$2:$A123,$A123)=1,1,0))</f>
        <v/>
      </c>
      <c r="Y123" s="39" t="str">
        <f>IF($X123=1,COUNTIF($X$2:$X123,1),"")</f>
        <v/>
      </c>
      <c r="Z123" s="39">
        <f>IF(AND($E123="timed",$N123&gt;Settings!$C$8),1,0)</f>
        <v>0</v>
      </c>
      <c r="AA123" s="39">
        <f t="shared" si="22"/>
        <v>0</v>
      </c>
      <c r="AB123" s="39">
        <f t="shared" si="23"/>
        <v>0</v>
      </c>
      <c r="AC123" s="39" t="str">
        <f t="shared" si="24"/>
        <v/>
      </c>
      <c r="AD123" s="39" t="str">
        <f t="shared" si="25"/>
        <v/>
      </c>
      <c r="AE123" s="39" t="str">
        <f t="shared" si="26"/>
        <v/>
      </c>
      <c r="AF123" s="106" t="str">
        <f t="shared" si="27"/>
        <v/>
      </c>
      <c r="AG123" s="39">
        <f t="shared" si="28"/>
        <v>0</v>
      </c>
      <c r="AH123" s="39" t="str">
        <f t="shared" si="29"/>
        <v/>
      </c>
      <c r="AI123" s="39">
        <f>IF(AND($E123="timed",$N123&gt;=Settings!$C$9),1,0)</f>
        <v>0</v>
      </c>
      <c r="AJ123" s="39" t="str">
        <f>IF(OR($S123="",Settings!$C$16=""),"",IF($S123&lt;=Settings!$C$16,1,2))</f>
        <v/>
      </c>
      <c r="AK123" s="39" t="str">
        <f>IF($C123="","",IFERROR(IF(INDEX(Settings!$C$20:$C$59,MATCH($C123,Settings!$B$20:$B$59,0))="",Settings!$C$10,INDEX(Settings!$C$20:$C$59,MATCH($C123,Settings!$B$20:$B$59,0))),Settings!$C$10))</f>
        <v/>
      </c>
      <c r="AL123" s="108">
        <f t="shared" si="30"/>
        <v>0</v>
      </c>
      <c r="AM123" s="39" t="str">
        <f t="shared" si="31"/>
        <v/>
      </c>
      <c r="AN123" s="39" t="str">
        <f t="shared" si="32"/>
        <v/>
      </c>
      <c r="AO123" s="39" t="str">
        <f t="shared" si="33"/>
        <v/>
      </c>
      <c r="AP123" s="39">
        <f t="shared" si="34"/>
        <v>0</v>
      </c>
      <c r="AQ123" s="39">
        <f t="shared" si="35"/>
        <v>0</v>
      </c>
    </row>
    <row r="124" spans="14:43" x14ac:dyDescent="0.25">
      <c r="N124" s="105">
        <f t="shared" si="18"/>
        <v>0</v>
      </c>
      <c r="O124" s="106" t="str">
        <f>IF($F124="","",IF(ISNUMBER($F124),$F124+Settings!$C$7/24,IFERROR(DATEVALUE(LEFT($F124,10))+TIMEVALUE(MID($F124,12,8))+Settings!$C$7/24,"")))</f>
        <v/>
      </c>
      <c r="P124" s="106" t="str">
        <f>IF($G124="","",IF(ISNUMBER($G124),$G124+Settings!$C$7/24,IFERROR(DATEVALUE(LEFT($G124,10))+TIMEVALUE(MID($G124,12,8))+Settings!$C$7/24,"")))</f>
        <v/>
      </c>
      <c r="Q124" s="39" t="str">
        <f t="shared" si="19"/>
        <v/>
      </c>
      <c r="R124" s="39" t="str">
        <f t="shared" si="20"/>
        <v/>
      </c>
      <c r="S124" s="107" t="str">
        <f t="shared" si="21"/>
        <v/>
      </c>
      <c r="T124" s="39" t="str">
        <f>IF($C124="","",IF(COUNTIF($C$2:$C124,$C124)=1,1,0))</f>
        <v/>
      </c>
      <c r="U124" s="39" t="str">
        <f>IF($T124=1,COUNTIF($T$2:$T124,1),"")</f>
        <v/>
      </c>
      <c r="V124" s="39" t="str">
        <f>IF($B124="","",IF(COUNTIF($B$2:$B124,$B124)=1,1,0))</f>
        <v/>
      </c>
      <c r="W124" s="39" t="str">
        <f>IF($V124=1,COUNTIF($V$2:$V124,1),"")</f>
        <v/>
      </c>
      <c r="X124" s="39" t="str">
        <f>IF($A124="","",IF(COUNTIF($A$2:$A124,$A124)=1,1,0))</f>
        <v/>
      </c>
      <c r="Y124" s="39" t="str">
        <f>IF($X124=1,COUNTIF($X$2:$X124,1),"")</f>
        <v/>
      </c>
      <c r="Z124" s="39">
        <f>IF(AND($E124="timed",$N124&gt;Settings!$C$8),1,0)</f>
        <v>0</v>
      </c>
      <c r="AA124" s="39">
        <f t="shared" si="22"/>
        <v>0</v>
      </c>
      <c r="AB124" s="39">
        <f t="shared" si="23"/>
        <v>0</v>
      </c>
      <c r="AC124" s="39" t="str">
        <f t="shared" si="24"/>
        <v/>
      </c>
      <c r="AD124" s="39" t="str">
        <f t="shared" si="25"/>
        <v/>
      </c>
      <c r="AE124" s="39" t="str">
        <f t="shared" si="26"/>
        <v/>
      </c>
      <c r="AF124" s="106" t="str">
        <f t="shared" si="27"/>
        <v/>
      </c>
      <c r="AG124" s="39">
        <f t="shared" si="28"/>
        <v>0</v>
      </c>
      <c r="AH124" s="39" t="str">
        <f t="shared" si="29"/>
        <v/>
      </c>
      <c r="AI124" s="39">
        <f>IF(AND($E124="timed",$N124&gt;=Settings!$C$9),1,0)</f>
        <v>0</v>
      </c>
      <c r="AJ124" s="39" t="str">
        <f>IF(OR($S124="",Settings!$C$16=""),"",IF($S124&lt;=Settings!$C$16,1,2))</f>
        <v/>
      </c>
      <c r="AK124" s="39" t="str">
        <f>IF($C124="","",IFERROR(IF(INDEX(Settings!$C$20:$C$59,MATCH($C124,Settings!$B$20:$B$59,0))="",Settings!$C$10,INDEX(Settings!$C$20:$C$59,MATCH($C124,Settings!$B$20:$B$59,0))),Settings!$C$10))</f>
        <v/>
      </c>
      <c r="AL124" s="108">
        <f t="shared" si="30"/>
        <v>0</v>
      </c>
      <c r="AM124" s="39" t="str">
        <f t="shared" si="31"/>
        <v/>
      </c>
      <c r="AN124" s="39" t="str">
        <f t="shared" si="32"/>
        <v/>
      </c>
      <c r="AO124" s="39" t="str">
        <f t="shared" si="33"/>
        <v/>
      </c>
      <c r="AP124" s="39">
        <f t="shared" si="34"/>
        <v>0</v>
      </c>
      <c r="AQ124" s="39">
        <f t="shared" si="35"/>
        <v>0</v>
      </c>
    </row>
    <row r="125" spans="14:43" x14ac:dyDescent="0.25">
      <c r="N125" s="105">
        <f t="shared" si="18"/>
        <v>0</v>
      </c>
      <c r="O125" s="106" t="str">
        <f>IF($F125="","",IF(ISNUMBER($F125),$F125+Settings!$C$7/24,IFERROR(DATEVALUE(LEFT($F125,10))+TIMEVALUE(MID($F125,12,8))+Settings!$C$7/24,"")))</f>
        <v/>
      </c>
      <c r="P125" s="106" t="str">
        <f>IF($G125="","",IF(ISNUMBER($G125),$G125+Settings!$C$7/24,IFERROR(DATEVALUE(LEFT($G125,10))+TIMEVALUE(MID($G125,12,8))+Settings!$C$7/24,"")))</f>
        <v/>
      </c>
      <c r="Q125" s="39" t="str">
        <f t="shared" si="19"/>
        <v/>
      </c>
      <c r="R125" s="39" t="str">
        <f t="shared" si="20"/>
        <v/>
      </c>
      <c r="S125" s="107" t="str">
        <f t="shared" si="21"/>
        <v/>
      </c>
      <c r="T125" s="39" t="str">
        <f>IF($C125="","",IF(COUNTIF($C$2:$C125,$C125)=1,1,0))</f>
        <v/>
      </c>
      <c r="U125" s="39" t="str">
        <f>IF($T125=1,COUNTIF($T$2:$T125,1),"")</f>
        <v/>
      </c>
      <c r="V125" s="39" t="str">
        <f>IF($B125="","",IF(COUNTIF($B$2:$B125,$B125)=1,1,0))</f>
        <v/>
      </c>
      <c r="W125" s="39" t="str">
        <f>IF($V125=1,COUNTIF($V$2:$V125,1),"")</f>
        <v/>
      </c>
      <c r="X125" s="39" t="str">
        <f>IF($A125="","",IF(COUNTIF($A$2:$A125,$A125)=1,1,0))</f>
        <v/>
      </c>
      <c r="Y125" s="39" t="str">
        <f>IF($X125=1,COUNTIF($X$2:$X125,1),"")</f>
        <v/>
      </c>
      <c r="Z125" s="39">
        <f>IF(AND($E125="timed",$N125&gt;Settings!$C$8),1,0)</f>
        <v>0</v>
      </c>
      <c r="AA125" s="39">
        <f t="shared" si="22"/>
        <v>0</v>
      </c>
      <c r="AB125" s="39">
        <f t="shared" si="23"/>
        <v>0</v>
      </c>
      <c r="AC125" s="39" t="str">
        <f t="shared" si="24"/>
        <v/>
      </c>
      <c r="AD125" s="39" t="str">
        <f t="shared" si="25"/>
        <v/>
      </c>
      <c r="AE125" s="39" t="str">
        <f t="shared" si="26"/>
        <v/>
      </c>
      <c r="AF125" s="106" t="str">
        <f t="shared" si="27"/>
        <v/>
      </c>
      <c r="AG125" s="39">
        <f t="shared" si="28"/>
        <v>0</v>
      </c>
      <c r="AH125" s="39" t="str">
        <f t="shared" si="29"/>
        <v/>
      </c>
      <c r="AI125" s="39">
        <f>IF(AND($E125="timed",$N125&gt;=Settings!$C$9),1,0)</f>
        <v>0</v>
      </c>
      <c r="AJ125" s="39" t="str">
        <f>IF(OR($S125="",Settings!$C$16=""),"",IF($S125&lt;=Settings!$C$16,1,2))</f>
        <v/>
      </c>
      <c r="AK125" s="39" t="str">
        <f>IF($C125="","",IFERROR(IF(INDEX(Settings!$C$20:$C$59,MATCH($C125,Settings!$B$20:$B$59,0))="",Settings!$C$10,INDEX(Settings!$C$20:$C$59,MATCH($C125,Settings!$B$20:$B$59,0))),Settings!$C$10))</f>
        <v/>
      </c>
      <c r="AL125" s="108">
        <f t="shared" si="30"/>
        <v>0</v>
      </c>
      <c r="AM125" s="39" t="str">
        <f t="shared" si="31"/>
        <v/>
      </c>
      <c r="AN125" s="39" t="str">
        <f t="shared" si="32"/>
        <v/>
      </c>
      <c r="AO125" s="39" t="str">
        <f t="shared" si="33"/>
        <v/>
      </c>
      <c r="AP125" s="39">
        <f t="shared" si="34"/>
        <v>0</v>
      </c>
      <c r="AQ125" s="39">
        <f t="shared" si="35"/>
        <v>0</v>
      </c>
    </row>
    <row r="126" spans="14:43" x14ac:dyDescent="0.25">
      <c r="N126" s="105">
        <f t="shared" si="18"/>
        <v>0</v>
      </c>
      <c r="O126" s="106" t="str">
        <f>IF($F126="","",IF(ISNUMBER($F126),$F126+Settings!$C$7/24,IFERROR(DATEVALUE(LEFT($F126,10))+TIMEVALUE(MID($F126,12,8))+Settings!$C$7/24,"")))</f>
        <v/>
      </c>
      <c r="P126" s="106" t="str">
        <f>IF($G126="","",IF(ISNUMBER($G126),$G126+Settings!$C$7/24,IFERROR(DATEVALUE(LEFT($G126,10))+TIMEVALUE(MID($G126,12,8))+Settings!$C$7/24,"")))</f>
        <v/>
      </c>
      <c r="Q126" s="39" t="str">
        <f t="shared" si="19"/>
        <v/>
      </c>
      <c r="R126" s="39" t="str">
        <f t="shared" si="20"/>
        <v/>
      </c>
      <c r="S126" s="107" t="str">
        <f t="shared" si="21"/>
        <v/>
      </c>
      <c r="T126" s="39" t="str">
        <f>IF($C126="","",IF(COUNTIF($C$2:$C126,$C126)=1,1,0))</f>
        <v/>
      </c>
      <c r="U126" s="39" t="str">
        <f>IF($T126=1,COUNTIF($T$2:$T126,1),"")</f>
        <v/>
      </c>
      <c r="V126" s="39" t="str">
        <f>IF($B126="","",IF(COUNTIF($B$2:$B126,$B126)=1,1,0))</f>
        <v/>
      </c>
      <c r="W126" s="39" t="str">
        <f>IF($V126=1,COUNTIF($V$2:$V126,1),"")</f>
        <v/>
      </c>
      <c r="X126" s="39" t="str">
        <f>IF($A126="","",IF(COUNTIF($A$2:$A126,$A126)=1,1,0))</f>
        <v/>
      </c>
      <c r="Y126" s="39" t="str">
        <f>IF($X126=1,COUNTIF($X$2:$X126,1),"")</f>
        <v/>
      </c>
      <c r="Z126" s="39">
        <f>IF(AND($E126="timed",$N126&gt;Settings!$C$8),1,0)</f>
        <v>0</v>
      </c>
      <c r="AA126" s="39">
        <f t="shared" si="22"/>
        <v>0</v>
      </c>
      <c r="AB126" s="39">
        <f t="shared" si="23"/>
        <v>0</v>
      </c>
      <c r="AC126" s="39" t="str">
        <f t="shared" si="24"/>
        <v/>
      </c>
      <c r="AD126" s="39" t="str">
        <f t="shared" si="25"/>
        <v/>
      </c>
      <c r="AE126" s="39" t="str">
        <f t="shared" si="26"/>
        <v/>
      </c>
      <c r="AF126" s="106" t="str">
        <f t="shared" si="27"/>
        <v/>
      </c>
      <c r="AG126" s="39">
        <f t="shared" si="28"/>
        <v>0</v>
      </c>
      <c r="AH126" s="39" t="str">
        <f t="shared" si="29"/>
        <v/>
      </c>
      <c r="AI126" s="39">
        <f>IF(AND($E126="timed",$N126&gt;=Settings!$C$9),1,0)</f>
        <v>0</v>
      </c>
      <c r="AJ126" s="39" t="str">
        <f>IF(OR($S126="",Settings!$C$16=""),"",IF($S126&lt;=Settings!$C$16,1,2))</f>
        <v/>
      </c>
      <c r="AK126" s="39" t="str">
        <f>IF($C126="","",IFERROR(IF(INDEX(Settings!$C$20:$C$59,MATCH($C126,Settings!$B$20:$B$59,0))="",Settings!$C$10,INDEX(Settings!$C$20:$C$59,MATCH($C126,Settings!$B$20:$B$59,0))),Settings!$C$10))</f>
        <v/>
      </c>
      <c r="AL126" s="108">
        <f t="shared" si="30"/>
        <v>0</v>
      </c>
      <c r="AM126" s="39" t="str">
        <f t="shared" si="31"/>
        <v/>
      </c>
      <c r="AN126" s="39" t="str">
        <f t="shared" si="32"/>
        <v/>
      </c>
      <c r="AO126" s="39" t="str">
        <f t="shared" si="33"/>
        <v/>
      </c>
      <c r="AP126" s="39">
        <f t="shared" si="34"/>
        <v>0</v>
      </c>
      <c r="AQ126" s="39">
        <f t="shared" si="35"/>
        <v>0</v>
      </c>
    </row>
    <row r="127" spans="14:43" x14ac:dyDescent="0.25">
      <c r="N127" s="105">
        <f t="shared" si="18"/>
        <v>0</v>
      </c>
      <c r="O127" s="106" t="str">
        <f>IF($F127="","",IF(ISNUMBER($F127),$F127+Settings!$C$7/24,IFERROR(DATEVALUE(LEFT($F127,10))+TIMEVALUE(MID($F127,12,8))+Settings!$C$7/24,"")))</f>
        <v/>
      </c>
      <c r="P127" s="106" t="str">
        <f>IF($G127="","",IF(ISNUMBER($G127),$G127+Settings!$C$7/24,IFERROR(DATEVALUE(LEFT($G127,10))+TIMEVALUE(MID($G127,12,8))+Settings!$C$7/24,"")))</f>
        <v/>
      </c>
      <c r="Q127" s="39" t="str">
        <f t="shared" si="19"/>
        <v/>
      </c>
      <c r="R127" s="39" t="str">
        <f t="shared" si="20"/>
        <v/>
      </c>
      <c r="S127" s="107" t="str">
        <f t="shared" si="21"/>
        <v/>
      </c>
      <c r="T127" s="39" t="str">
        <f>IF($C127="","",IF(COUNTIF($C$2:$C127,$C127)=1,1,0))</f>
        <v/>
      </c>
      <c r="U127" s="39" t="str">
        <f>IF($T127=1,COUNTIF($T$2:$T127,1),"")</f>
        <v/>
      </c>
      <c r="V127" s="39" t="str">
        <f>IF($B127="","",IF(COUNTIF($B$2:$B127,$B127)=1,1,0))</f>
        <v/>
      </c>
      <c r="W127" s="39" t="str">
        <f>IF($V127=1,COUNTIF($V$2:$V127,1),"")</f>
        <v/>
      </c>
      <c r="X127" s="39" t="str">
        <f>IF($A127="","",IF(COUNTIF($A$2:$A127,$A127)=1,1,0))</f>
        <v/>
      </c>
      <c r="Y127" s="39" t="str">
        <f>IF($X127=1,COUNTIF($X$2:$X127,1),"")</f>
        <v/>
      </c>
      <c r="Z127" s="39">
        <f>IF(AND($E127="timed",$N127&gt;Settings!$C$8),1,0)</f>
        <v>0</v>
      </c>
      <c r="AA127" s="39">
        <f t="shared" si="22"/>
        <v>0</v>
      </c>
      <c r="AB127" s="39">
        <f t="shared" si="23"/>
        <v>0</v>
      </c>
      <c r="AC127" s="39" t="str">
        <f t="shared" si="24"/>
        <v/>
      </c>
      <c r="AD127" s="39" t="str">
        <f t="shared" si="25"/>
        <v/>
      </c>
      <c r="AE127" s="39" t="str">
        <f t="shared" si="26"/>
        <v/>
      </c>
      <c r="AF127" s="106" t="str">
        <f t="shared" si="27"/>
        <v/>
      </c>
      <c r="AG127" s="39">
        <f t="shared" si="28"/>
        <v>0</v>
      </c>
      <c r="AH127" s="39" t="str">
        <f t="shared" si="29"/>
        <v/>
      </c>
      <c r="AI127" s="39">
        <f>IF(AND($E127="timed",$N127&gt;=Settings!$C$9),1,0)</f>
        <v>0</v>
      </c>
      <c r="AJ127" s="39" t="str">
        <f>IF(OR($S127="",Settings!$C$16=""),"",IF($S127&lt;=Settings!$C$16,1,2))</f>
        <v/>
      </c>
      <c r="AK127" s="39" t="str">
        <f>IF($C127="","",IFERROR(IF(INDEX(Settings!$C$20:$C$59,MATCH($C127,Settings!$B$20:$B$59,0))="",Settings!$C$10,INDEX(Settings!$C$20:$C$59,MATCH($C127,Settings!$B$20:$B$59,0))),Settings!$C$10))</f>
        <v/>
      </c>
      <c r="AL127" s="108">
        <f t="shared" si="30"/>
        <v>0</v>
      </c>
      <c r="AM127" s="39" t="str">
        <f t="shared" si="31"/>
        <v/>
      </c>
      <c r="AN127" s="39" t="str">
        <f t="shared" si="32"/>
        <v/>
      </c>
      <c r="AO127" s="39" t="str">
        <f t="shared" si="33"/>
        <v/>
      </c>
      <c r="AP127" s="39">
        <f t="shared" si="34"/>
        <v>0</v>
      </c>
      <c r="AQ127" s="39">
        <f t="shared" si="35"/>
        <v>0</v>
      </c>
    </row>
    <row r="128" spans="14:43" x14ac:dyDescent="0.25">
      <c r="N128" s="105">
        <f t="shared" si="18"/>
        <v>0</v>
      </c>
      <c r="O128" s="106" t="str">
        <f>IF($F128="","",IF(ISNUMBER($F128),$F128+Settings!$C$7/24,IFERROR(DATEVALUE(LEFT($F128,10))+TIMEVALUE(MID($F128,12,8))+Settings!$C$7/24,"")))</f>
        <v/>
      </c>
      <c r="P128" s="106" t="str">
        <f>IF($G128="","",IF(ISNUMBER($G128),$G128+Settings!$C$7/24,IFERROR(DATEVALUE(LEFT($G128,10))+TIMEVALUE(MID($G128,12,8))+Settings!$C$7/24,"")))</f>
        <v/>
      </c>
      <c r="Q128" s="39" t="str">
        <f t="shared" si="19"/>
        <v/>
      </c>
      <c r="R128" s="39" t="str">
        <f t="shared" si="20"/>
        <v/>
      </c>
      <c r="S128" s="107" t="str">
        <f t="shared" si="21"/>
        <v/>
      </c>
      <c r="T128" s="39" t="str">
        <f>IF($C128="","",IF(COUNTIF($C$2:$C128,$C128)=1,1,0))</f>
        <v/>
      </c>
      <c r="U128" s="39" t="str">
        <f>IF($T128=1,COUNTIF($T$2:$T128,1),"")</f>
        <v/>
      </c>
      <c r="V128" s="39" t="str">
        <f>IF($B128="","",IF(COUNTIF($B$2:$B128,$B128)=1,1,0))</f>
        <v/>
      </c>
      <c r="W128" s="39" t="str">
        <f>IF($V128=1,COUNTIF($V$2:$V128,1),"")</f>
        <v/>
      </c>
      <c r="X128" s="39" t="str">
        <f>IF($A128="","",IF(COUNTIF($A$2:$A128,$A128)=1,1,0))</f>
        <v/>
      </c>
      <c r="Y128" s="39" t="str">
        <f>IF($X128=1,COUNTIF($X$2:$X128,1),"")</f>
        <v/>
      </c>
      <c r="Z128" s="39">
        <f>IF(AND($E128="timed",$N128&gt;Settings!$C$8),1,0)</f>
        <v>0</v>
      </c>
      <c r="AA128" s="39">
        <f t="shared" si="22"/>
        <v>0</v>
      </c>
      <c r="AB128" s="39">
        <f t="shared" si="23"/>
        <v>0</v>
      </c>
      <c r="AC128" s="39" t="str">
        <f t="shared" si="24"/>
        <v/>
      </c>
      <c r="AD128" s="39" t="str">
        <f t="shared" si="25"/>
        <v/>
      </c>
      <c r="AE128" s="39" t="str">
        <f t="shared" si="26"/>
        <v/>
      </c>
      <c r="AF128" s="106" t="str">
        <f t="shared" si="27"/>
        <v/>
      </c>
      <c r="AG128" s="39">
        <f t="shared" si="28"/>
        <v>0</v>
      </c>
      <c r="AH128" s="39" t="str">
        <f t="shared" si="29"/>
        <v/>
      </c>
      <c r="AI128" s="39">
        <f>IF(AND($E128="timed",$N128&gt;=Settings!$C$9),1,0)</f>
        <v>0</v>
      </c>
      <c r="AJ128" s="39" t="str">
        <f>IF(OR($S128="",Settings!$C$16=""),"",IF($S128&lt;=Settings!$C$16,1,2))</f>
        <v/>
      </c>
      <c r="AK128" s="39" t="str">
        <f>IF($C128="","",IFERROR(IF(INDEX(Settings!$C$20:$C$59,MATCH($C128,Settings!$B$20:$B$59,0))="",Settings!$C$10,INDEX(Settings!$C$20:$C$59,MATCH($C128,Settings!$B$20:$B$59,0))),Settings!$C$10))</f>
        <v/>
      </c>
      <c r="AL128" s="108">
        <f t="shared" si="30"/>
        <v>0</v>
      </c>
      <c r="AM128" s="39" t="str">
        <f t="shared" si="31"/>
        <v/>
      </c>
      <c r="AN128" s="39" t="str">
        <f t="shared" si="32"/>
        <v/>
      </c>
      <c r="AO128" s="39" t="str">
        <f t="shared" si="33"/>
        <v/>
      </c>
      <c r="AP128" s="39">
        <f t="shared" si="34"/>
        <v>0</v>
      </c>
      <c r="AQ128" s="39">
        <f t="shared" si="35"/>
        <v>0</v>
      </c>
    </row>
    <row r="129" spans="14:43" x14ac:dyDescent="0.25">
      <c r="N129" s="105">
        <f t="shared" si="18"/>
        <v>0</v>
      </c>
      <c r="O129" s="106" t="str">
        <f>IF($F129="","",IF(ISNUMBER($F129),$F129+Settings!$C$7/24,IFERROR(DATEVALUE(LEFT($F129,10))+TIMEVALUE(MID($F129,12,8))+Settings!$C$7/24,"")))</f>
        <v/>
      </c>
      <c r="P129" s="106" t="str">
        <f>IF($G129="","",IF(ISNUMBER($G129),$G129+Settings!$C$7/24,IFERROR(DATEVALUE(LEFT($G129,10))+TIMEVALUE(MID($G129,12,8))+Settings!$C$7/24,"")))</f>
        <v/>
      </c>
      <c r="Q129" s="39" t="str">
        <f t="shared" si="19"/>
        <v/>
      </c>
      <c r="R129" s="39" t="str">
        <f t="shared" si="20"/>
        <v/>
      </c>
      <c r="S129" s="107" t="str">
        <f t="shared" si="21"/>
        <v/>
      </c>
      <c r="T129" s="39" t="str">
        <f>IF($C129="","",IF(COUNTIF($C$2:$C129,$C129)=1,1,0))</f>
        <v/>
      </c>
      <c r="U129" s="39" t="str">
        <f>IF($T129=1,COUNTIF($T$2:$T129,1),"")</f>
        <v/>
      </c>
      <c r="V129" s="39" t="str">
        <f>IF($B129="","",IF(COUNTIF($B$2:$B129,$B129)=1,1,0))</f>
        <v/>
      </c>
      <c r="W129" s="39" t="str">
        <f>IF($V129=1,COUNTIF($V$2:$V129,1),"")</f>
        <v/>
      </c>
      <c r="X129" s="39" t="str">
        <f>IF($A129="","",IF(COUNTIF($A$2:$A129,$A129)=1,1,0))</f>
        <v/>
      </c>
      <c r="Y129" s="39" t="str">
        <f>IF($X129=1,COUNTIF($X$2:$X129,1),"")</f>
        <v/>
      </c>
      <c r="Z129" s="39">
        <f>IF(AND($E129="timed",$N129&gt;Settings!$C$8),1,0)</f>
        <v>0</v>
      </c>
      <c r="AA129" s="39">
        <f t="shared" si="22"/>
        <v>0</v>
      </c>
      <c r="AB129" s="39">
        <f t="shared" si="23"/>
        <v>0</v>
      </c>
      <c r="AC129" s="39" t="str">
        <f t="shared" si="24"/>
        <v/>
      </c>
      <c r="AD129" s="39" t="str">
        <f t="shared" si="25"/>
        <v/>
      </c>
      <c r="AE129" s="39" t="str">
        <f t="shared" si="26"/>
        <v/>
      </c>
      <c r="AF129" s="106" t="str">
        <f t="shared" si="27"/>
        <v/>
      </c>
      <c r="AG129" s="39">
        <f t="shared" si="28"/>
        <v>0</v>
      </c>
      <c r="AH129" s="39" t="str">
        <f t="shared" si="29"/>
        <v/>
      </c>
      <c r="AI129" s="39">
        <f>IF(AND($E129="timed",$N129&gt;=Settings!$C$9),1,0)</f>
        <v>0</v>
      </c>
      <c r="AJ129" s="39" t="str">
        <f>IF(OR($S129="",Settings!$C$16=""),"",IF($S129&lt;=Settings!$C$16,1,2))</f>
        <v/>
      </c>
      <c r="AK129" s="39" t="str">
        <f>IF($C129="","",IFERROR(IF(INDEX(Settings!$C$20:$C$59,MATCH($C129,Settings!$B$20:$B$59,0))="",Settings!$C$10,INDEX(Settings!$C$20:$C$59,MATCH($C129,Settings!$B$20:$B$59,0))),Settings!$C$10))</f>
        <v/>
      </c>
      <c r="AL129" s="108">
        <f t="shared" si="30"/>
        <v>0</v>
      </c>
      <c r="AM129" s="39" t="str">
        <f t="shared" si="31"/>
        <v/>
      </c>
      <c r="AN129" s="39" t="str">
        <f t="shared" si="32"/>
        <v/>
      </c>
      <c r="AO129" s="39" t="str">
        <f t="shared" si="33"/>
        <v/>
      </c>
      <c r="AP129" s="39">
        <f t="shared" si="34"/>
        <v>0</v>
      </c>
      <c r="AQ129" s="39">
        <f t="shared" si="35"/>
        <v>0</v>
      </c>
    </row>
    <row r="130" spans="14:43" x14ac:dyDescent="0.25">
      <c r="N130" s="105">
        <f t="shared" ref="N130:N193" si="36">IF($E130&lt;&gt;"timed",0,IF(ISNUMBER($H130),$H130,IFERROR(VALUE($H130),0)))</f>
        <v>0</v>
      </c>
      <c r="O130" s="106" t="str">
        <f>IF($F130="","",IF(ISNUMBER($F130),$F130+Settings!$C$7/24,IFERROR(DATEVALUE(LEFT($F130,10))+TIMEVALUE(MID($F130,12,8))+Settings!$C$7/24,"")))</f>
        <v/>
      </c>
      <c r="P130" s="106" t="str">
        <f>IF($G130="","",IF(ISNUMBER($G130),$G130+Settings!$C$7/24,IFERROR(DATEVALUE(LEFT($G130,10))+TIMEVALUE(MID($G130,12,8))+Settings!$C$7/24,"")))</f>
        <v/>
      </c>
      <c r="Q130" s="39" t="str">
        <f t="shared" ref="Q130:Q193" si="37">IF($O130="","",HOUR($O130))</f>
        <v/>
      </c>
      <c r="R130" s="39" t="str">
        <f t="shared" ref="R130:R193" si="38">IF($O130="","",WEEKDAY($O130,2))</f>
        <v/>
      </c>
      <c r="S130" s="107" t="str">
        <f t="shared" ref="S130:S193" si="39">IF($A130="","",IF(ISNUMBER($A130),INT($A130),IFERROR(DATEVALUE($A130),"")))</f>
        <v/>
      </c>
      <c r="T130" s="39" t="str">
        <f>IF($C130="","",IF(COUNTIF($C$2:$C130,$C130)=1,1,0))</f>
        <v/>
      </c>
      <c r="U130" s="39" t="str">
        <f>IF($T130=1,COUNTIF($T$2:$T130,1),"")</f>
        <v/>
      </c>
      <c r="V130" s="39" t="str">
        <f>IF($B130="","",IF(COUNTIF($B$2:$B130,$B130)=1,1,0))</f>
        <v/>
      </c>
      <c r="W130" s="39" t="str">
        <f>IF($V130=1,COUNTIF($V$2:$V130,1),"")</f>
        <v/>
      </c>
      <c r="X130" s="39" t="str">
        <f>IF($A130="","",IF(COUNTIF($A$2:$A130,$A130)=1,1,0))</f>
        <v/>
      </c>
      <c r="Y130" s="39" t="str">
        <f>IF($X130=1,COUNTIF($X$2:$X130,1),"")</f>
        <v/>
      </c>
      <c r="Z130" s="39">
        <f>IF(AND($E130="timed",$N130&gt;Settings!$C$8),1,0)</f>
        <v>0</v>
      </c>
      <c r="AA130" s="39">
        <f t="shared" ref="AA130:AA193" si="40">IF(AND($E130="timed",$G130=""),1,0)</f>
        <v>0</v>
      </c>
      <c r="AB130" s="39">
        <f t="shared" ref="AB130:AB193" si="41">IF($E130&lt;&gt;"timed",0,IF(ISNUMBER($I130),$I130,IFERROR(VALUE($I130),0)))</f>
        <v>0</v>
      </c>
      <c r="AC130" s="39" t="str">
        <f t="shared" ref="AC130:AC193" si="42">IF(OR($E130&lt;&gt;"timed",$O130=""),"",ROUND($O130*86400,0)*10000+ROW())</f>
        <v/>
      </c>
      <c r="AD130" s="39" t="str">
        <f t="shared" ref="AD130:AD193" si="43">IF($AC130="","",COUNTIF($AC$2:$AC$1201,"&lt;"&amp;$AC130)+1)</f>
        <v/>
      </c>
      <c r="AE130" s="39" t="str">
        <f t="shared" ref="AE130:AE193" si="44">IF($AD130="","",IFERROR(IF(INDEX($S$2:$S$1201,MATCH($AD130-1,$AD$2:$AD$1201,0))=$S130,INDEX($C$2:$C$1201,MATCH($AD130-1,$AD$2:$AD$1201,0)),""),""))</f>
        <v/>
      </c>
      <c r="AF130" s="106" t="str">
        <f t="shared" ref="AF130:AF193" si="45">IF($AD130="","",IFERROR(IF(INDEX($S$2:$S$1201,MATCH($AD130-1,$AD$2:$AD$1201,0))=$S130,INDEX($P$2:$P$1201,MATCH($AD130-1,$AD$2:$AD$1201,0)),""),""))</f>
        <v/>
      </c>
      <c r="AG130" s="39">
        <f t="shared" ref="AG130:AG193" si="46">IF(OR($E130&lt;&gt;"timed",$AE130=""),0,IF($AE130=$C130,0,1))</f>
        <v>0</v>
      </c>
      <c r="AH130" s="39" t="str">
        <f t="shared" ref="AH130:AH193" si="47">IF(OR($AF130="",$O130=""),"",MAX(0,ROUND(($O130-$AF130)*1440,0)))</f>
        <v/>
      </c>
      <c r="AI130" s="39">
        <f>IF(AND($E130="timed",$N130&gt;=Settings!$C$9),1,0)</f>
        <v>0</v>
      </c>
      <c r="AJ130" s="39" t="str">
        <f>IF(OR($S130="",Settings!$C$16=""),"",IF($S130&lt;=Settings!$C$16,1,2))</f>
        <v/>
      </c>
      <c r="AK130" s="39" t="str">
        <f>IF($C130="","",IFERROR(IF(INDEX(Settings!$C$20:$C$59,MATCH($C130,Settings!$B$20:$B$59,0))="",Settings!$C$10,INDEX(Settings!$C$20:$C$59,MATCH($C130,Settings!$B$20:$B$59,0))),Settings!$C$10))</f>
        <v/>
      </c>
      <c r="AL130" s="108">
        <f t="shared" ref="AL130:AL193" si="48">IF(OR($N130=0,$AK130=""),0,ROUND($N130/60*$AK130,2))</f>
        <v>0</v>
      </c>
      <c r="AM130" s="39" t="str">
        <f t="shared" ref="AM130:AM193" si="49">IF($AD130="","",IFERROR(INDEX($S$2:$S$1201,MATCH($AD130-1,$AD$2:$AD$1201,0)),""))</f>
        <v/>
      </c>
      <c r="AN130" s="39" t="str">
        <f t="shared" ref="AN130:AN193" si="50">IF($Z130=1,$N130+ROW()/1000000,"")</f>
        <v/>
      </c>
      <c r="AO130" s="39" t="str">
        <f t="shared" ref="AO130:AO193" si="51">IF(OR($E130&lt;&gt;"timed",$P130=""),"",ROUND($P130*86400,0)*10000+ROW())</f>
        <v/>
      </c>
      <c r="AP130" s="39">
        <f t="shared" ref="AP130:AP193" si="52">IF($AC130="",0,IF(COUNTIFS($S$2:$S$1201,$S130,$AC$2:$AC$1201,"&lt;"&amp;$AC130)=0,1,0))</f>
        <v>0</v>
      </c>
      <c r="AQ130" s="39">
        <f t="shared" ref="AQ130:AQ193" si="53">IF($AO130="",0,IF(COUNTIFS($S$2:$S$1201,$S130,$AO$2:$AO$1201,"&gt;"&amp;$AO130)=0,1,0))</f>
        <v>0</v>
      </c>
    </row>
    <row r="131" spans="14:43" x14ac:dyDescent="0.25">
      <c r="N131" s="105">
        <f t="shared" si="36"/>
        <v>0</v>
      </c>
      <c r="O131" s="106" t="str">
        <f>IF($F131="","",IF(ISNUMBER($F131),$F131+Settings!$C$7/24,IFERROR(DATEVALUE(LEFT($F131,10))+TIMEVALUE(MID($F131,12,8))+Settings!$C$7/24,"")))</f>
        <v/>
      </c>
      <c r="P131" s="106" t="str">
        <f>IF($G131="","",IF(ISNUMBER($G131),$G131+Settings!$C$7/24,IFERROR(DATEVALUE(LEFT($G131,10))+TIMEVALUE(MID($G131,12,8))+Settings!$C$7/24,"")))</f>
        <v/>
      </c>
      <c r="Q131" s="39" t="str">
        <f t="shared" si="37"/>
        <v/>
      </c>
      <c r="R131" s="39" t="str">
        <f t="shared" si="38"/>
        <v/>
      </c>
      <c r="S131" s="107" t="str">
        <f t="shared" si="39"/>
        <v/>
      </c>
      <c r="T131" s="39" t="str">
        <f>IF($C131="","",IF(COUNTIF($C$2:$C131,$C131)=1,1,0))</f>
        <v/>
      </c>
      <c r="U131" s="39" t="str">
        <f>IF($T131=1,COUNTIF($T$2:$T131,1),"")</f>
        <v/>
      </c>
      <c r="V131" s="39" t="str">
        <f>IF($B131="","",IF(COUNTIF($B$2:$B131,$B131)=1,1,0))</f>
        <v/>
      </c>
      <c r="W131" s="39" t="str">
        <f>IF($V131=1,COUNTIF($V$2:$V131,1),"")</f>
        <v/>
      </c>
      <c r="X131" s="39" t="str">
        <f>IF($A131="","",IF(COUNTIF($A$2:$A131,$A131)=1,1,0))</f>
        <v/>
      </c>
      <c r="Y131" s="39" t="str">
        <f>IF($X131=1,COUNTIF($X$2:$X131,1),"")</f>
        <v/>
      </c>
      <c r="Z131" s="39">
        <f>IF(AND($E131="timed",$N131&gt;Settings!$C$8),1,0)</f>
        <v>0</v>
      </c>
      <c r="AA131" s="39">
        <f t="shared" si="40"/>
        <v>0</v>
      </c>
      <c r="AB131" s="39">
        <f t="shared" si="41"/>
        <v>0</v>
      </c>
      <c r="AC131" s="39" t="str">
        <f t="shared" si="42"/>
        <v/>
      </c>
      <c r="AD131" s="39" t="str">
        <f t="shared" si="43"/>
        <v/>
      </c>
      <c r="AE131" s="39" t="str">
        <f t="shared" si="44"/>
        <v/>
      </c>
      <c r="AF131" s="106" t="str">
        <f t="shared" si="45"/>
        <v/>
      </c>
      <c r="AG131" s="39">
        <f t="shared" si="46"/>
        <v>0</v>
      </c>
      <c r="AH131" s="39" t="str">
        <f t="shared" si="47"/>
        <v/>
      </c>
      <c r="AI131" s="39">
        <f>IF(AND($E131="timed",$N131&gt;=Settings!$C$9),1,0)</f>
        <v>0</v>
      </c>
      <c r="AJ131" s="39" t="str">
        <f>IF(OR($S131="",Settings!$C$16=""),"",IF($S131&lt;=Settings!$C$16,1,2))</f>
        <v/>
      </c>
      <c r="AK131" s="39" t="str">
        <f>IF($C131="","",IFERROR(IF(INDEX(Settings!$C$20:$C$59,MATCH($C131,Settings!$B$20:$B$59,0))="",Settings!$C$10,INDEX(Settings!$C$20:$C$59,MATCH($C131,Settings!$B$20:$B$59,0))),Settings!$C$10))</f>
        <v/>
      </c>
      <c r="AL131" s="108">
        <f t="shared" si="48"/>
        <v>0</v>
      </c>
      <c r="AM131" s="39" t="str">
        <f t="shared" si="49"/>
        <v/>
      </c>
      <c r="AN131" s="39" t="str">
        <f t="shared" si="50"/>
        <v/>
      </c>
      <c r="AO131" s="39" t="str">
        <f t="shared" si="51"/>
        <v/>
      </c>
      <c r="AP131" s="39">
        <f t="shared" si="52"/>
        <v>0</v>
      </c>
      <c r="AQ131" s="39">
        <f t="shared" si="53"/>
        <v>0</v>
      </c>
    </row>
    <row r="132" spans="14:43" x14ac:dyDescent="0.25">
      <c r="N132" s="105">
        <f t="shared" si="36"/>
        <v>0</v>
      </c>
      <c r="O132" s="106" t="str">
        <f>IF($F132="","",IF(ISNUMBER($F132),$F132+Settings!$C$7/24,IFERROR(DATEVALUE(LEFT($F132,10))+TIMEVALUE(MID($F132,12,8))+Settings!$C$7/24,"")))</f>
        <v/>
      </c>
      <c r="P132" s="106" t="str">
        <f>IF($G132="","",IF(ISNUMBER($G132),$G132+Settings!$C$7/24,IFERROR(DATEVALUE(LEFT($G132,10))+TIMEVALUE(MID($G132,12,8))+Settings!$C$7/24,"")))</f>
        <v/>
      </c>
      <c r="Q132" s="39" t="str">
        <f t="shared" si="37"/>
        <v/>
      </c>
      <c r="R132" s="39" t="str">
        <f t="shared" si="38"/>
        <v/>
      </c>
      <c r="S132" s="107" t="str">
        <f t="shared" si="39"/>
        <v/>
      </c>
      <c r="T132" s="39" t="str">
        <f>IF($C132="","",IF(COUNTIF($C$2:$C132,$C132)=1,1,0))</f>
        <v/>
      </c>
      <c r="U132" s="39" t="str">
        <f>IF($T132=1,COUNTIF($T$2:$T132,1),"")</f>
        <v/>
      </c>
      <c r="V132" s="39" t="str">
        <f>IF($B132="","",IF(COUNTIF($B$2:$B132,$B132)=1,1,0))</f>
        <v/>
      </c>
      <c r="W132" s="39" t="str">
        <f>IF($V132=1,COUNTIF($V$2:$V132,1),"")</f>
        <v/>
      </c>
      <c r="X132" s="39" t="str">
        <f>IF($A132="","",IF(COUNTIF($A$2:$A132,$A132)=1,1,0))</f>
        <v/>
      </c>
      <c r="Y132" s="39" t="str">
        <f>IF($X132=1,COUNTIF($X$2:$X132,1),"")</f>
        <v/>
      </c>
      <c r="Z132" s="39">
        <f>IF(AND($E132="timed",$N132&gt;Settings!$C$8),1,0)</f>
        <v>0</v>
      </c>
      <c r="AA132" s="39">
        <f t="shared" si="40"/>
        <v>0</v>
      </c>
      <c r="AB132" s="39">
        <f t="shared" si="41"/>
        <v>0</v>
      </c>
      <c r="AC132" s="39" t="str">
        <f t="shared" si="42"/>
        <v/>
      </c>
      <c r="AD132" s="39" t="str">
        <f t="shared" si="43"/>
        <v/>
      </c>
      <c r="AE132" s="39" t="str">
        <f t="shared" si="44"/>
        <v/>
      </c>
      <c r="AF132" s="106" t="str">
        <f t="shared" si="45"/>
        <v/>
      </c>
      <c r="AG132" s="39">
        <f t="shared" si="46"/>
        <v>0</v>
      </c>
      <c r="AH132" s="39" t="str">
        <f t="shared" si="47"/>
        <v/>
      </c>
      <c r="AI132" s="39">
        <f>IF(AND($E132="timed",$N132&gt;=Settings!$C$9),1,0)</f>
        <v>0</v>
      </c>
      <c r="AJ132" s="39" t="str">
        <f>IF(OR($S132="",Settings!$C$16=""),"",IF($S132&lt;=Settings!$C$16,1,2))</f>
        <v/>
      </c>
      <c r="AK132" s="39" t="str">
        <f>IF($C132="","",IFERROR(IF(INDEX(Settings!$C$20:$C$59,MATCH($C132,Settings!$B$20:$B$59,0))="",Settings!$C$10,INDEX(Settings!$C$20:$C$59,MATCH($C132,Settings!$B$20:$B$59,0))),Settings!$C$10))</f>
        <v/>
      </c>
      <c r="AL132" s="108">
        <f t="shared" si="48"/>
        <v>0</v>
      </c>
      <c r="AM132" s="39" t="str">
        <f t="shared" si="49"/>
        <v/>
      </c>
      <c r="AN132" s="39" t="str">
        <f t="shared" si="50"/>
        <v/>
      </c>
      <c r="AO132" s="39" t="str">
        <f t="shared" si="51"/>
        <v/>
      </c>
      <c r="AP132" s="39">
        <f t="shared" si="52"/>
        <v>0</v>
      </c>
      <c r="AQ132" s="39">
        <f t="shared" si="53"/>
        <v>0</v>
      </c>
    </row>
    <row r="133" spans="14:43" x14ac:dyDescent="0.25">
      <c r="N133" s="105">
        <f t="shared" si="36"/>
        <v>0</v>
      </c>
      <c r="O133" s="106" t="str">
        <f>IF($F133="","",IF(ISNUMBER($F133),$F133+Settings!$C$7/24,IFERROR(DATEVALUE(LEFT($F133,10))+TIMEVALUE(MID($F133,12,8))+Settings!$C$7/24,"")))</f>
        <v/>
      </c>
      <c r="P133" s="106" t="str">
        <f>IF($G133="","",IF(ISNUMBER($G133),$G133+Settings!$C$7/24,IFERROR(DATEVALUE(LEFT($G133,10))+TIMEVALUE(MID($G133,12,8))+Settings!$C$7/24,"")))</f>
        <v/>
      </c>
      <c r="Q133" s="39" t="str">
        <f t="shared" si="37"/>
        <v/>
      </c>
      <c r="R133" s="39" t="str">
        <f t="shared" si="38"/>
        <v/>
      </c>
      <c r="S133" s="107" t="str">
        <f t="shared" si="39"/>
        <v/>
      </c>
      <c r="T133" s="39" t="str">
        <f>IF($C133="","",IF(COUNTIF($C$2:$C133,$C133)=1,1,0))</f>
        <v/>
      </c>
      <c r="U133" s="39" t="str">
        <f>IF($T133=1,COUNTIF($T$2:$T133,1),"")</f>
        <v/>
      </c>
      <c r="V133" s="39" t="str">
        <f>IF($B133="","",IF(COUNTIF($B$2:$B133,$B133)=1,1,0))</f>
        <v/>
      </c>
      <c r="W133" s="39" t="str">
        <f>IF($V133=1,COUNTIF($V$2:$V133,1),"")</f>
        <v/>
      </c>
      <c r="X133" s="39" t="str">
        <f>IF($A133="","",IF(COUNTIF($A$2:$A133,$A133)=1,1,0))</f>
        <v/>
      </c>
      <c r="Y133" s="39" t="str">
        <f>IF($X133=1,COUNTIF($X$2:$X133,1),"")</f>
        <v/>
      </c>
      <c r="Z133" s="39">
        <f>IF(AND($E133="timed",$N133&gt;Settings!$C$8),1,0)</f>
        <v>0</v>
      </c>
      <c r="AA133" s="39">
        <f t="shared" si="40"/>
        <v>0</v>
      </c>
      <c r="AB133" s="39">
        <f t="shared" si="41"/>
        <v>0</v>
      </c>
      <c r="AC133" s="39" t="str">
        <f t="shared" si="42"/>
        <v/>
      </c>
      <c r="AD133" s="39" t="str">
        <f t="shared" si="43"/>
        <v/>
      </c>
      <c r="AE133" s="39" t="str">
        <f t="shared" si="44"/>
        <v/>
      </c>
      <c r="AF133" s="106" t="str">
        <f t="shared" si="45"/>
        <v/>
      </c>
      <c r="AG133" s="39">
        <f t="shared" si="46"/>
        <v>0</v>
      </c>
      <c r="AH133" s="39" t="str">
        <f t="shared" si="47"/>
        <v/>
      </c>
      <c r="AI133" s="39">
        <f>IF(AND($E133="timed",$N133&gt;=Settings!$C$9),1,0)</f>
        <v>0</v>
      </c>
      <c r="AJ133" s="39" t="str">
        <f>IF(OR($S133="",Settings!$C$16=""),"",IF($S133&lt;=Settings!$C$16,1,2))</f>
        <v/>
      </c>
      <c r="AK133" s="39" t="str">
        <f>IF($C133="","",IFERROR(IF(INDEX(Settings!$C$20:$C$59,MATCH($C133,Settings!$B$20:$B$59,0))="",Settings!$C$10,INDEX(Settings!$C$20:$C$59,MATCH($C133,Settings!$B$20:$B$59,0))),Settings!$C$10))</f>
        <v/>
      </c>
      <c r="AL133" s="108">
        <f t="shared" si="48"/>
        <v>0</v>
      </c>
      <c r="AM133" s="39" t="str">
        <f t="shared" si="49"/>
        <v/>
      </c>
      <c r="AN133" s="39" t="str">
        <f t="shared" si="50"/>
        <v/>
      </c>
      <c r="AO133" s="39" t="str">
        <f t="shared" si="51"/>
        <v/>
      </c>
      <c r="AP133" s="39">
        <f t="shared" si="52"/>
        <v>0</v>
      </c>
      <c r="AQ133" s="39">
        <f t="shared" si="53"/>
        <v>0</v>
      </c>
    </row>
    <row r="134" spans="14:43" x14ac:dyDescent="0.25">
      <c r="N134" s="105">
        <f t="shared" si="36"/>
        <v>0</v>
      </c>
      <c r="O134" s="106" t="str">
        <f>IF($F134="","",IF(ISNUMBER($F134),$F134+Settings!$C$7/24,IFERROR(DATEVALUE(LEFT($F134,10))+TIMEVALUE(MID($F134,12,8))+Settings!$C$7/24,"")))</f>
        <v/>
      </c>
      <c r="P134" s="106" t="str">
        <f>IF($G134="","",IF(ISNUMBER($G134),$G134+Settings!$C$7/24,IFERROR(DATEVALUE(LEFT($G134,10))+TIMEVALUE(MID($G134,12,8))+Settings!$C$7/24,"")))</f>
        <v/>
      </c>
      <c r="Q134" s="39" t="str">
        <f t="shared" si="37"/>
        <v/>
      </c>
      <c r="R134" s="39" t="str">
        <f t="shared" si="38"/>
        <v/>
      </c>
      <c r="S134" s="107" t="str">
        <f t="shared" si="39"/>
        <v/>
      </c>
      <c r="T134" s="39" t="str">
        <f>IF($C134="","",IF(COUNTIF($C$2:$C134,$C134)=1,1,0))</f>
        <v/>
      </c>
      <c r="U134" s="39" t="str">
        <f>IF($T134=1,COUNTIF($T$2:$T134,1),"")</f>
        <v/>
      </c>
      <c r="V134" s="39" t="str">
        <f>IF($B134="","",IF(COUNTIF($B$2:$B134,$B134)=1,1,0))</f>
        <v/>
      </c>
      <c r="W134" s="39" t="str">
        <f>IF($V134=1,COUNTIF($V$2:$V134,1),"")</f>
        <v/>
      </c>
      <c r="X134" s="39" t="str">
        <f>IF($A134="","",IF(COUNTIF($A$2:$A134,$A134)=1,1,0))</f>
        <v/>
      </c>
      <c r="Y134" s="39" t="str">
        <f>IF($X134=1,COUNTIF($X$2:$X134,1),"")</f>
        <v/>
      </c>
      <c r="Z134" s="39">
        <f>IF(AND($E134="timed",$N134&gt;Settings!$C$8),1,0)</f>
        <v>0</v>
      </c>
      <c r="AA134" s="39">
        <f t="shared" si="40"/>
        <v>0</v>
      </c>
      <c r="AB134" s="39">
        <f t="shared" si="41"/>
        <v>0</v>
      </c>
      <c r="AC134" s="39" t="str">
        <f t="shared" si="42"/>
        <v/>
      </c>
      <c r="AD134" s="39" t="str">
        <f t="shared" si="43"/>
        <v/>
      </c>
      <c r="AE134" s="39" t="str">
        <f t="shared" si="44"/>
        <v/>
      </c>
      <c r="AF134" s="106" t="str">
        <f t="shared" si="45"/>
        <v/>
      </c>
      <c r="AG134" s="39">
        <f t="shared" si="46"/>
        <v>0</v>
      </c>
      <c r="AH134" s="39" t="str">
        <f t="shared" si="47"/>
        <v/>
      </c>
      <c r="AI134" s="39">
        <f>IF(AND($E134="timed",$N134&gt;=Settings!$C$9),1,0)</f>
        <v>0</v>
      </c>
      <c r="AJ134" s="39" t="str">
        <f>IF(OR($S134="",Settings!$C$16=""),"",IF($S134&lt;=Settings!$C$16,1,2))</f>
        <v/>
      </c>
      <c r="AK134" s="39" t="str">
        <f>IF($C134="","",IFERROR(IF(INDEX(Settings!$C$20:$C$59,MATCH($C134,Settings!$B$20:$B$59,0))="",Settings!$C$10,INDEX(Settings!$C$20:$C$59,MATCH($C134,Settings!$B$20:$B$59,0))),Settings!$C$10))</f>
        <v/>
      </c>
      <c r="AL134" s="108">
        <f t="shared" si="48"/>
        <v>0</v>
      </c>
      <c r="AM134" s="39" t="str">
        <f t="shared" si="49"/>
        <v/>
      </c>
      <c r="AN134" s="39" t="str">
        <f t="shared" si="50"/>
        <v/>
      </c>
      <c r="AO134" s="39" t="str">
        <f t="shared" si="51"/>
        <v/>
      </c>
      <c r="AP134" s="39">
        <f t="shared" si="52"/>
        <v>0</v>
      </c>
      <c r="AQ134" s="39">
        <f t="shared" si="53"/>
        <v>0</v>
      </c>
    </row>
    <row r="135" spans="14:43" x14ac:dyDescent="0.25">
      <c r="N135" s="105">
        <f t="shared" si="36"/>
        <v>0</v>
      </c>
      <c r="O135" s="106" t="str">
        <f>IF($F135="","",IF(ISNUMBER($F135),$F135+Settings!$C$7/24,IFERROR(DATEVALUE(LEFT($F135,10))+TIMEVALUE(MID($F135,12,8))+Settings!$C$7/24,"")))</f>
        <v/>
      </c>
      <c r="P135" s="106" t="str">
        <f>IF($G135="","",IF(ISNUMBER($G135),$G135+Settings!$C$7/24,IFERROR(DATEVALUE(LEFT($G135,10))+TIMEVALUE(MID($G135,12,8))+Settings!$C$7/24,"")))</f>
        <v/>
      </c>
      <c r="Q135" s="39" t="str">
        <f t="shared" si="37"/>
        <v/>
      </c>
      <c r="R135" s="39" t="str">
        <f t="shared" si="38"/>
        <v/>
      </c>
      <c r="S135" s="107" t="str">
        <f t="shared" si="39"/>
        <v/>
      </c>
      <c r="T135" s="39" t="str">
        <f>IF($C135="","",IF(COUNTIF($C$2:$C135,$C135)=1,1,0))</f>
        <v/>
      </c>
      <c r="U135" s="39" t="str">
        <f>IF($T135=1,COUNTIF($T$2:$T135,1),"")</f>
        <v/>
      </c>
      <c r="V135" s="39" t="str">
        <f>IF($B135="","",IF(COUNTIF($B$2:$B135,$B135)=1,1,0))</f>
        <v/>
      </c>
      <c r="W135" s="39" t="str">
        <f>IF($V135=1,COUNTIF($V$2:$V135,1),"")</f>
        <v/>
      </c>
      <c r="X135" s="39" t="str">
        <f>IF($A135="","",IF(COUNTIF($A$2:$A135,$A135)=1,1,0))</f>
        <v/>
      </c>
      <c r="Y135" s="39" t="str">
        <f>IF($X135=1,COUNTIF($X$2:$X135,1),"")</f>
        <v/>
      </c>
      <c r="Z135" s="39">
        <f>IF(AND($E135="timed",$N135&gt;Settings!$C$8),1,0)</f>
        <v>0</v>
      </c>
      <c r="AA135" s="39">
        <f t="shared" si="40"/>
        <v>0</v>
      </c>
      <c r="AB135" s="39">
        <f t="shared" si="41"/>
        <v>0</v>
      </c>
      <c r="AC135" s="39" t="str">
        <f t="shared" si="42"/>
        <v/>
      </c>
      <c r="AD135" s="39" t="str">
        <f t="shared" si="43"/>
        <v/>
      </c>
      <c r="AE135" s="39" t="str">
        <f t="shared" si="44"/>
        <v/>
      </c>
      <c r="AF135" s="106" t="str">
        <f t="shared" si="45"/>
        <v/>
      </c>
      <c r="AG135" s="39">
        <f t="shared" si="46"/>
        <v>0</v>
      </c>
      <c r="AH135" s="39" t="str">
        <f t="shared" si="47"/>
        <v/>
      </c>
      <c r="AI135" s="39">
        <f>IF(AND($E135="timed",$N135&gt;=Settings!$C$9),1,0)</f>
        <v>0</v>
      </c>
      <c r="AJ135" s="39" t="str">
        <f>IF(OR($S135="",Settings!$C$16=""),"",IF($S135&lt;=Settings!$C$16,1,2))</f>
        <v/>
      </c>
      <c r="AK135" s="39" t="str">
        <f>IF($C135="","",IFERROR(IF(INDEX(Settings!$C$20:$C$59,MATCH($C135,Settings!$B$20:$B$59,0))="",Settings!$C$10,INDEX(Settings!$C$20:$C$59,MATCH($C135,Settings!$B$20:$B$59,0))),Settings!$C$10))</f>
        <v/>
      </c>
      <c r="AL135" s="108">
        <f t="shared" si="48"/>
        <v>0</v>
      </c>
      <c r="AM135" s="39" t="str">
        <f t="shared" si="49"/>
        <v/>
      </c>
      <c r="AN135" s="39" t="str">
        <f t="shared" si="50"/>
        <v/>
      </c>
      <c r="AO135" s="39" t="str">
        <f t="shared" si="51"/>
        <v/>
      </c>
      <c r="AP135" s="39">
        <f t="shared" si="52"/>
        <v>0</v>
      </c>
      <c r="AQ135" s="39">
        <f t="shared" si="53"/>
        <v>0</v>
      </c>
    </row>
    <row r="136" spans="14:43" x14ac:dyDescent="0.25">
      <c r="N136" s="105">
        <f t="shared" si="36"/>
        <v>0</v>
      </c>
      <c r="O136" s="106" t="str">
        <f>IF($F136="","",IF(ISNUMBER($F136),$F136+Settings!$C$7/24,IFERROR(DATEVALUE(LEFT($F136,10))+TIMEVALUE(MID($F136,12,8))+Settings!$C$7/24,"")))</f>
        <v/>
      </c>
      <c r="P136" s="106" t="str">
        <f>IF($G136="","",IF(ISNUMBER($G136),$G136+Settings!$C$7/24,IFERROR(DATEVALUE(LEFT($G136,10))+TIMEVALUE(MID($G136,12,8))+Settings!$C$7/24,"")))</f>
        <v/>
      </c>
      <c r="Q136" s="39" t="str">
        <f t="shared" si="37"/>
        <v/>
      </c>
      <c r="R136" s="39" t="str">
        <f t="shared" si="38"/>
        <v/>
      </c>
      <c r="S136" s="107" t="str">
        <f t="shared" si="39"/>
        <v/>
      </c>
      <c r="T136" s="39" t="str">
        <f>IF($C136="","",IF(COUNTIF($C$2:$C136,$C136)=1,1,0))</f>
        <v/>
      </c>
      <c r="U136" s="39" t="str">
        <f>IF($T136=1,COUNTIF($T$2:$T136,1),"")</f>
        <v/>
      </c>
      <c r="V136" s="39" t="str">
        <f>IF($B136="","",IF(COUNTIF($B$2:$B136,$B136)=1,1,0))</f>
        <v/>
      </c>
      <c r="W136" s="39" t="str">
        <f>IF($V136=1,COUNTIF($V$2:$V136,1),"")</f>
        <v/>
      </c>
      <c r="X136" s="39" t="str">
        <f>IF($A136="","",IF(COUNTIF($A$2:$A136,$A136)=1,1,0))</f>
        <v/>
      </c>
      <c r="Y136" s="39" t="str">
        <f>IF($X136=1,COUNTIF($X$2:$X136,1),"")</f>
        <v/>
      </c>
      <c r="Z136" s="39">
        <f>IF(AND($E136="timed",$N136&gt;Settings!$C$8),1,0)</f>
        <v>0</v>
      </c>
      <c r="AA136" s="39">
        <f t="shared" si="40"/>
        <v>0</v>
      </c>
      <c r="AB136" s="39">
        <f t="shared" si="41"/>
        <v>0</v>
      </c>
      <c r="AC136" s="39" t="str">
        <f t="shared" si="42"/>
        <v/>
      </c>
      <c r="AD136" s="39" t="str">
        <f t="shared" si="43"/>
        <v/>
      </c>
      <c r="AE136" s="39" t="str">
        <f t="shared" si="44"/>
        <v/>
      </c>
      <c r="AF136" s="106" t="str">
        <f t="shared" si="45"/>
        <v/>
      </c>
      <c r="AG136" s="39">
        <f t="shared" si="46"/>
        <v>0</v>
      </c>
      <c r="AH136" s="39" t="str">
        <f t="shared" si="47"/>
        <v/>
      </c>
      <c r="AI136" s="39">
        <f>IF(AND($E136="timed",$N136&gt;=Settings!$C$9),1,0)</f>
        <v>0</v>
      </c>
      <c r="AJ136" s="39" t="str">
        <f>IF(OR($S136="",Settings!$C$16=""),"",IF($S136&lt;=Settings!$C$16,1,2))</f>
        <v/>
      </c>
      <c r="AK136" s="39" t="str">
        <f>IF($C136="","",IFERROR(IF(INDEX(Settings!$C$20:$C$59,MATCH($C136,Settings!$B$20:$B$59,0))="",Settings!$C$10,INDEX(Settings!$C$20:$C$59,MATCH($C136,Settings!$B$20:$B$59,0))),Settings!$C$10))</f>
        <v/>
      </c>
      <c r="AL136" s="108">
        <f t="shared" si="48"/>
        <v>0</v>
      </c>
      <c r="AM136" s="39" t="str">
        <f t="shared" si="49"/>
        <v/>
      </c>
      <c r="AN136" s="39" t="str">
        <f t="shared" si="50"/>
        <v/>
      </c>
      <c r="AO136" s="39" t="str">
        <f t="shared" si="51"/>
        <v/>
      </c>
      <c r="AP136" s="39">
        <f t="shared" si="52"/>
        <v>0</v>
      </c>
      <c r="AQ136" s="39">
        <f t="shared" si="53"/>
        <v>0</v>
      </c>
    </row>
    <row r="137" spans="14:43" x14ac:dyDescent="0.25">
      <c r="N137" s="105">
        <f t="shared" si="36"/>
        <v>0</v>
      </c>
      <c r="O137" s="106" t="str">
        <f>IF($F137="","",IF(ISNUMBER($F137),$F137+Settings!$C$7/24,IFERROR(DATEVALUE(LEFT($F137,10))+TIMEVALUE(MID($F137,12,8))+Settings!$C$7/24,"")))</f>
        <v/>
      </c>
      <c r="P137" s="106" t="str">
        <f>IF($G137="","",IF(ISNUMBER($G137),$G137+Settings!$C$7/24,IFERROR(DATEVALUE(LEFT($G137,10))+TIMEVALUE(MID($G137,12,8))+Settings!$C$7/24,"")))</f>
        <v/>
      </c>
      <c r="Q137" s="39" t="str">
        <f t="shared" si="37"/>
        <v/>
      </c>
      <c r="R137" s="39" t="str">
        <f t="shared" si="38"/>
        <v/>
      </c>
      <c r="S137" s="107" t="str">
        <f t="shared" si="39"/>
        <v/>
      </c>
      <c r="T137" s="39" t="str">
        <f>IF($C137="","",IF(COUNTIF($C$2:$C137,$C137)=1,1,0))</f>
        <v/>
      </c>
      <c r="U137" s="39" t="str">
        <f>IF($T137=1,COUNTIF($T$2:$T137,1),"")</f>
        <v/>
      </c>
      <c r="V137" s="39" t="str">
        <f>IF($B137="","",IF(COUNTIF($B$2:$B137,$B137)=1,1,0))</f>
        <v/>
      </c>
      <c r="W137" s="39" t="str">
        <f>IF($V137=1,COUNTIF($V$2:$V137,1),"")</f>
        <v/>
      </c>
      <c r="X137" s="39" t="str">
        <f>IF($A137="","",IF(COUNTIF($A$2:$A137,$A137)=1,1,0))</f>
        <v/>
      </c>
      <c r="Y137" s="39" t="str">
        <f>IF($X137=1,COUNTIF($X$2:$X137,1),"")</f>
        <v/>
      </c>
      <c r="Z137" s="39">
        <f>IF(AND($E137="timed",$N137&gt;Settings!$C$8),1,0)</f>
        <v>0</v>
      </c>
      <c r="AA137" s="39">
        <f t="shared" si="40"/>
        <v>0</v>
      </c>
      <c r="AB137" s="39">
        <f t="shared" si="41"/>
        <v>0</v>
      </c>
      <c r="AC137" s="39" t="str">
        <f t="shared" si="42"/>
        <v/>
      </c>
      <c r="AD137" s="39" t="str">
        <f t="shared" si="43"/>
        <v/>
      </c>
      <c r="AE137" s="39" t="str">
        <f t="shared" si="44"/>
        <v/>
      </c>
      <c r="AF137" s="106" t="str">
        <f t="shared" si="45"/>
        <v/>
      </c>
      <c r="AG137" s="39">
        <f t="shared" si="46"/>
        <v>0</v>
      </c>
      <c r="AH137" s="39" t="str">
        <f t="shared" si="47"/>
        <v/>
      </c>
      <c r="AI137" s="39">
        <f>IF(AND($E137="timed",$N137&gt;=Settings!$C$9),1,0)</f>
        <v>0</v>
      </c>
      <c r="AJ137" s="39" t="str">
        <f>IF(OR($S137="",Settings!$C$16=""),"",IF($S137&lt;=Settings!$C$16,1,2))</f>
        <v/>
      </c>
      <c r="AK137" s="39" t="str">
        <f>IF($C137="","",IFERROR(IF(INDEX(Settings!$C$20:$C$59,MATCH($C137,Settings!$B$20:$B$59,0))="",Settings!$C$10,INDEX(Settings!$C$20:$C$59,MATCH($C137,Settings!$B$20:$B$59,0))),Settings!$C$10))</f>
        <v/>
      </c>
      <c r="AL137" s="108">
        <f t="shared" si="48"/>
        <v>0</v>
      </c>
      <c r="AM137" s="39" t="str">
        <f t="shared" si="49"/>
        <v/>
      </c>
      <c r="AN137" s="39" t="str">
        <f t="shared" si="50"/>
        <v/>
      </c>
      <c r="AO137" s="39" t="str">
        <f t="shared" si="51"/>
        <v/>
      </c>
      <c r="AP137" s="39">
        <f t="shared" si="52"/>
        <v>0</v>
      </c>
      <c r="AQ137" s="39">
        <f t="shared" si="53"/>
        <v>0</v>
      </c>
    </row>
    <row r="138" spans="14:43" x14ac:dyDescent="0.25">
      <c r="N138" s="105">
        <f t="shared" si="36"/>
        <v>0</v>
      </c>
      <c r="O138" s="106" t="str">
        <f>IF($F138="","",IF(ISNUMBER($F138),$F138+Settings!$C$7/24,IFERROR(DATEVALUE(LEFT($F138,10))+TIMEVALUE(MID($F138,12,8))+Settings!$C$7/24,"")))</f>
        <v/>
      </c>
      <c r="P138" s="106" t="str">
        <f>IF($G138="","",IF(ISNUMBER($G138),$G138+Settings!$C$7/24,IFERROR(DATEVALUE(LEFT($G138,10))+TIMEVALUE(MID($G138,12,8))+Settings!$C$7/24,"")))</f>
        <v/>
      </c>
      <c r="Q138" s="39" t="str">
        <f t="shared" si="37"/>
        <v/>
      </c>
      <c r="R138" s="39" t="str">
        <f t="shared" si="38"/>
        <v/>
      </c>
      <c r="S138" s="107" t="str">
        <f t="shared" si="39"/>
        <v/>
      </c>
      <c r="T138" s="39" t="str">
        <f>IF($C138="","",IF(COUNTIF($C$2:$C138,$C138)=1,1,0))</f>
        <v/>
      </c>
      <c r="U138" s="39" t="str">
        <f>IF($T138=1,COUNTIF($T$2:$T138,1),"")</f>
        <v/>
      </c>
      <c r="V138" s="39" t="str">
        <f>IF($B138="","",IF(COUNTIF($B$2:$B138,$B138)=1,1,0))</f>
        <v/>
      </c>
      <c r="W138" s="39" t="str">
        <f>IF($V138=1,COUNTIF($V$2:$V138,1),"")</f>
        <v/>
      </c>
      <c r="X138" s="39" t="str">
        <f>IF($A138="","",IF(COUNTIF($A$2:$A138,$A138)=1,1,0))</f>
        <v/>
      </c>
      <c r="Y138" s="39" t="str">
        <f>IF($X138=1,COUNTIF($X$2:$X138,1),"")</f>
        <v/>
      </c>
      <c r="Z138" s="39">
        <f>IF(AND($E138="timed",$N138&gt;Settings!$C$8),1,0)</f>
        <v>0</v>
      </c>
      <c r="AA138" s="39">
        <f t="shared" si="40"/>
        <v>0</v>
      </c>
      <c r="AB138" s="39">
        <f t="shared" si="41"/>
        <v>0</v>
      </c>
      <c r="AC138" s="39" t="str">
        <f t="shared" si="42"/>
        <v/>
      </c>
      <c r="AD138" s="39" t="str">
        <f t="shared" si="43"/>
        <v/>
      </c>
      <c r="AE138" s="39" t="str">
        <f t="shared" si="44"/>
        <v/>
      </c>
      <c r="AF138" s="106" t="str">
        <f t="shared" si="45"/>
        <v/>
      </c>
      <c r="AG138" s="39">
        <f t="shared" si="46"/>
        <v>0</v>
      </c>
      <c r="AH138" s="39" t="str">
        <f t="shared" si="47"/>
        <v/>
      </c>
      <c r="AI138" s="39">
        <f>IF(AND($E138="timed",$N138&gt;=Settings!$C$9),1,0)</f>
        <v>0</v>
      </c>
      <c r="AJ138" s="39" t="str">
        <f>IF(OR($S138="",Settings!$C$16=""),"",IF($S138&lt;=Settings!$C$16,1,2))</f>
        <v/>
      </c>
      <c r="AK138" s="39" t="str">
        <f>IF($C138="","",IFERROR(IF(INDEX(Settings!$C$20:$C$59,MATCH($C138,Settings!$B$20:$B$59,0))="",Settings!$C$10,INDEX(Settings!$C$20:$C$59,MATCH($C138,Settings!$B$20:$B$59,0))),Settings!$C$10))</f>
        <v/>
      </c>
      <c r="AL138" s="108">
        <f t="shared" si="48"/>
        <v>0</v>
      </c>
      <c r="AM138" s="39" t="str">
        <f t="shared" si="49"/>
        <v/>
      </c>
      <c r="AN138" s="39" t="str">
        <f t="shared" si="50"/>
        <v/>
      </c>
      <c r="AO138" s="39" t="str">
        <f t="shared" si="51"/>
        <v/>
      </c>
      <c r="AP138" s="39">
        <f t="shared" si="52"/>
        <v>0</v>
      </c>
      <c r="AQ138" s="39">
        <f t="shared" si="53"/>
        <v>0</v>
      </c>
    </row>
    <row r="139" spans="14:43" x14ac:dyDescent="0.25">
      <c r="N139" s="105">
        <f t="shared" si="36"/>
        <v>0</v>
      </c>
      <c r="O139" s="106" t="str">
        <f>IF($F139="","",IF(ISNUMBER($F139),$F139+Settings!$C$7/24,IFERROR(DATEVALUE(LEFT($F139,10))+TIMEVALUE(MID($F139,12,8))+Settings!$C$7/24,"")))</f>
        <v/>
      </c>
      <c r="P139" s="106" t="str">
        <f>IF($G139="","",IF(ISNUMBER($G139),$G139+Settings!$C$7/24,IFERROR(DATEVALUE(LEFT($G139,10))+TIMEVALUE(MID($G139,12,8))+Settings!$C$7/24,"")))</f>
        <v/>
      </c>
      <c r="Q139" s="39" t="str">
        <f t="shared" si="37"/>
        <v/>
      </c>
      <c r="R139" s="39" t="str">
        <f t="shared" si="38"/>
        <v/>
      </c>
      <c r="S139" s="107" t="str">
        <f t="shared" si="39"/>
        <v/>
      </c>
      <c r="T139" s="39" t="str">
        <f>IF($C139="","",IF(COUNTIF($C$2:$C139,$C139)=1,1,0))</f>
        <v/>
      </c>
      <c r="U139" s="39" t="str">
        <f>IF($T139=1,COUNTIF($T$2:$T139,1),"")</f>
        <v/>
      </c>
      <c r="V139" s="39" t="str">
        <f>IF($B139="","",IF(COUNTIF($B$2:$B139,$B139)=1,1,0))</f>
        <v/>
      </c>
      <c r="W139" s="39" t="str">
        <f>IF($V139=1,COUNTIF($V$2:$V139,1),"")</f>
        <v/>
      </c>
      <c r="X139" s="39" t="str">
        <f>IF($A139="","",IF(COUNTIF($A$2:$A139,$A139)=1,1,0))</f>
        <v/>
      </c>
      <c r="Y139" s="39" t="str">
        <f>IF($X139=1,COUNTIF($X$2:$X139,1),"")</f>
        <v/>
      </c>
      <c r="Z139" s="39">
        <f>IF(AND($E139="timed",$N139&gt;Settings!$C$8),1,0)</f>
        <v>0</v>
      </c>
      <c r="AA139" s="39">
        <f t="shared" si="40"/>
        <v>0</v>
      </c>
      <c r="AB139" s="39">
        <f t="shared" si="41"/>
        <v>0</v>
      </c>
      <c r="AC139" s="39" t="str">
        <f t="shared" si="42"/>
        <v/>
      </c>
      <c r="AD139" s="39" t="str">
        <f t="shared" si="43"/>
        <v/>
      </c>
      <c r="AE139" s="39" t="str">
        <f t="shared" si="44"/>
        <v/>
      </c>
      <c r="AF139" s="106" t="str">
        <f t="shared" si="45"/>
        <v/>
      </c>
      <c r="AG139" s="39">
        <f t="shared" si="46"/>
        <v>0</v>
      </c>
      <c r="AH139" s="39" t="str">
        <f t="shared" si="47"/>
        <v/>
      </c>
      <c r="AI139" s="39">
        <f>IF(AND($E139="timed",$N139&gt;=Settings!$C$9),1,0)</f>
        <v>0</v>
      </c>
      <c r="AJ139" s="39" t="str">
        <f>IF(OR($S139="",Settings!$C$16=""),"",IF($S139&lt;=Settings!$C$16,1,2))</f>
        <v/>
      </c>
      <c r="AK139" s="39" t="str">
        <f>IF($C139="","",IFERROR(IF(INDEX(Settings!$C$20:$C$59,MATCH($C139,Settings!$B$20:$B$59,0))="",Settings!$C$10,INDEX(Settings!$C$20:$C$59,MATCH($C139,Settings!$B$20:$B$59,0))),Settings!$C$10))</f>
        <v/>
      </c>
      <c r="AL139" s="108">
        <f t="shared" si="48"/>
        <v>0</v>
      </c>
      <c r="AM139" s="39" t="str">
        <f t="shared" si="49"/>
        <v/>
      </c>
      <c r="AN139" s="39" t="str">
        <f t="shared" si="50"/>
        <v/>
      </c>
      <c r="AO139" s="39" t="str">
        <f t="shared" si="51"/>
        <v/>
      </c>
      <c r="AP139" s="39">
        <f t="shared" si="52"/>
        <v>0</v>
      </c>
      <c r="AQ139" s="39">
        <f t="shared" si="53"/>
        <v>0</v>
      </c>
    </row>
    <row r="140" spans="14:43" x14ac:dyDescent="0.25">
      <c r="N140" s="105">
        <f t="shared" si="36"/>
        <v>0</v>
      </c>
      <c r="O140" s="106" t="str">
        <f>IF($F140="","",IF(ISNUMBER($F140),$F140+Settings!$C$7/24,IFERROR(DATEVALUE(LEFT($F140,10))+TIMEVALUE(MID($F140,12,8))+Settings!$C$7/24,"")))</f>
        <v/>
      </c>
      <c r="P140" s="106" t="str">
        <f>IF($G140="","",IF(ISNUMBER($G140),$G140+Settings!$C$7/24,IFERROR(DATEVALUE(LEFT($G140,10))+TIMEVALUE(MID($G140,12,8))+Settings!$C$7/24,"")))</f>
        <v/>
      </c>
      <c r="Q140" s="39" t="str">
        <f t="shared" si="37"/>
        <v/>
      </c>
      <c r="R140" s="39" t="str">
        <f t="shared" si="38"/>
        <v/>
      </c>
      <c r="S140" s="107" t="str">
        <f t="shared" si="39"/>
        <v/>
      </c>
      <c r="T140" s="39" t="str">
        <f>IF($C140="","",IF(COUNTIF($C$2:$C140,$C140)=1,1,0))</f>
        <v/>
      </c>
      <c r="U140" s="39" t="str">
        <f>IF($T140=1,COUNTIF($T$2:$T140,1),"")</f>
        <v/>
      </c>
      <c r="V140" s="39" t="str">
        <f>IF($B140="","",IF(COUNTIF($B$2:$B140,$B140)=1,1,0))</f>
        <v/>
      </c>
      <c r="W140" s="39" t="str">
        <f>IF($V140=1,COUNTIF($V$2:$V140,1),"")</f>
        <v/>
      </c>
      <c r="X140" s="39" t="str">
        <f>IF($A140="","",IF(COUNTIF($A$2:$A140,$A140)=1,1,0))</f>
        <v/>
      </c>
      <c r="Y140" s="39" t="str">
        <f>IF($X140=1,COUNTIF($X$2:$X140,1),"")</f>
        <v/>
      </c>
      <c r="Z140" s="39">
        <f>IF(AND($E140="timed",$N140&gt;Settings!$C$8),1,0)</f>
        <v>0</v>
      </c>
      <c r="AA140" s="39">
        <f t="shared" si="40"/>
        <v>0</v>
      </c>
      <c r="AB140" s="39">
        <f t="shared" si="41"/>
        <v>0</v>
      </c>
      <c r="AC140" s="39" t="str">
        <f t="shared" si="42"/>
        <v/>
      </c>
      <c r="AD140" s="39" t="str">
        <f t="shared" si="43"/>
        <v/>
      </c>
      <c r="AE140" s="39" t="str">
        <f t="shared" si="44"/>
        <v/>
      </c>
      <c r="AF140" s="106" t="str">
        <f t="shared" si="45"/>
        <v/>
      </c>
      <c r="AG140" s="39">
        <f t="shared" si="46"/>
        <v>0</v>
      </c>
      <c r="AH140" s="39" t="str">
        <f t="shared" si="47"/>
        <v/>
      </c>
      <c r="AI140" s="39">
        <f>IF(AND($E140="timed",$N140&gt;=Settings!$C$9),1,0)</f>
        <v>0</v>
      </c>
      <c r="AJ140" s="39" t="str">
        <f>IF(OR($S140="",Settings!$C$16=""),"",IF($S140&lt;=Settings!$C$16,1,2))</f>
        <v/>
      </c>
      <c r="AK140" s="39" t="str">
        <f>IF($C140="","",IFERROR(IF(INDEX(Settings!$C$20:$C$59,MATCH($C140,Settings!$B$20:$B$59,0))="",Settings!$C$10,INDEX(Settings!$C$20:$C$59,MATCH($C140,Settings!$B$20:$B$59,0))),Settings!$C$10))</f>
        <v/>
      </c>
      <c r="AL140" s="108">
        <f t="shared" si="48"/>
        <v>0</v>
      </c>
      <c r="AM140" s="39" t="str">
        <f t="shared" si="49"/>
        <v/>
      </c>
      <c r="AN140" s="39" t="str">
        <f t="shared" si="50"/>
        <v/>
      </c>
      <c r="AO140" s="39" t="str">
        <f t="shared" si="51"/>
        <v/>
      </c>
      <c r="AP140" s="39">
        <f t="shared" si="52"/>
        <v>0</v>
      </c>
      <c r="AQ140" s="39">
        <f t="shared" si="53"/>
        <v>0</v>
      </c>
    </row>
    <row r="141" spans="14:43" x14ac:dyDescent="0.25">
      <c r="N141" s="105">
        <f t="shared" si="36"/>
        <v>0</v>
      </c>
      <c r="O141" s="106" t="str">
        <f>IF($F141="","",IF(ISNUMBER($F141),$F141+Settings!$C$7/24,IFERROR(DATEVALUE(LEFT($F141,10))+TIMEVALUE(MID($F141,12,8))+Settings!$C$7/24,"")))</f>
        <v/>
      </c>
      <c r="P141" s="106" t="str">
        <f>IF($G141="","",IF(ISNUMBER($G141),$G141+Settings!$C$7/24,IFERROR(DATEVALUE(LEFT($G141,10))+TIMEVALUE(MID($G141,12,8))+Settings!$C$7/24,"")))</f>
        <v/>
      </c>
      <c r="Q141" s="39" t="str">
        <f t="shared" si="37"/>
        <v/>
      </c>
      <c r="R141" s="39" t="str">
        <f t="shared" si="38"/>
        <v/>
      </c>
      <c r="S141" s="107" t="str">
        <f t="shared" si="39"/>
        <v/>
      </c>
      <c r="T141" s="39" t="str">
        <f>IF($C141="","",IF(COUNTIF($C$2:$C141,$C141)=1,1,0))</f>
        <v/>
      </c>
      <c r="U141" s="39" t="str">
        <f>IF($T141=1,COUNTIF($T$2:$T141,1),"")</f>
        <v/>
      </c>
      <c r="V141" s="39" t="str">
        <f>IF($B141="","",IF(COUNTIF($B$2:$B141,$B141)=1,1,0))</f>
        <v/>
      </c>
      <c r="W141" s="39" t="str">
        <f>IF($V141=1,COUNTIF($V$2:$V141,1),"")</f>
        <v/>
      </c>
      <c r="X141" s="39" t="str">
        <f>IF($A141="","",IF(COUNTIF($A$2:$A141,$A141)=1,1,0))</f>
        <v/>
      </c>
      <c r="Y141" s="39" t="str">
        <f>IF($X141=1,COUNTIF($X$2:$X141,1),"")</f>
        <v/>
      </c>
      <c r="Z141" s="39">
        <f>IF(AND($E141="timed",$N141&gt;Settings!$C$8),1,0)</f>
        <v>0</v>
      </c>
      <c r="AA141" s="39">
        <f t="shared" si="40"/>
        <v>0</v>
      </c>
      <c r="AB141" s="39">
        <f t="shared" si="41"/>
        <v>0</v>
      </c>
      <c r="AC141" s="39" t="str">
        <f t="shared" si="42"/>
        <v/>
      </c>
      <c r="AD141" s="39" t="str">
        <f t="shared" si="43"/>
        <v/>
      </c>
      <c r="AE141" s="39" t="str">
        <f t="shared" si="44"/>
        <v/>
      </c>
      <c r="AF141" s="106" t="str">
        <f t="shared" si="45"/>
        <v/>
      </c>
      <c r="AG141" s="39">
        <f t="shared" si="46"/>
        <v>0</v>
      </c>
      <c r="AH141" s="39" t="str">
        <f t="shared" si="47"/>
        <v/>
      </c>
      <c r="AI141" s="39">
        <f>IF(AND($E141="timed",$N141&gt;=Settings!$C$9),1,0)</f>
        <v>0</v>
      </c>
      <c r="AJ141" s="39" t="str">
        <f>IF(OR($S141="",Settings!$C$16=""),"",IF($S141&lt;=Settings!$C$16,1,2))</f>
        <v/>
      </c>
      <c r="AK141" s="39" t="str">
        <f>IF($C141="","",IFERROR(IF(INDEX(Settings!$C$20:$C$59,MATCH($C141,Settings!$B$20:$B$59,0))="",Settings!$C$10,INDEX(Settings!$C$20:$C$59,MATCH($C141,Settings!$B$20:$B$59,0))),Settings!$C$10))</f>
        <v/>
      </c>
      <c r="AL141" s="108">
        <f t="shared" si="48"/>
        <v>0</v>
      </c>
      <c r="AM141" s="39" t="str">
        <f t="shared" si="49"/>
        <v/>
      </c>
      <c r="AN141" s="39" t="str">
        <f t="shared" si="50"/>
        <v/>
      </c>
      <c r="AO141" s="39" t="str">
        <f t="shared" si="51"/>
        <v/>
      </c>
      <c r="AP141" s="39">
        <f t="shared" si="52"/>
        <v>0</v>
      </c>
      <c r="AQ141" s="39">
        <f t="shared" si="53"/>
        <v>0</v>
      </c>
    </row>
    <row r="142" spans="14:43" x14ac:dyDescent="0.25">
      <c r="N142" s="105">
        <f t="shared" si="36"/>
        <v>0</v>
      </c>
      <c r="O142" s="106" t="str">
        <f>IF($F142="","",IF(ISNUMBER($F142),$F142+Settings!$C$7/24,IFERROR(DATEVALUE(LEFT($F142,10))+TIMEVALUE(MID($F142,12,8))+Settings!$C$7/24,"")))</f>
        <v/>
      </c>
      <c r="P142" s="106" t="str">
        <f>IF($G142="","",IF(ISNUMBER($G142),$G142+Settings!$C$7/24,IFERROR(DATEVALUE(LEFT($G142,10))+TIMEVALUE(MID($G142,12,8))+Settings!$C$7/24,"")))</f>
        <v/>
      </c>
      <c r="Q142" s="39" t="str">
        <f t="shared" si="37"/>
        <v/>
      </c>
      <c r="R142" s="39" t="str">
        <f t="shared" si="38"/>
        <v/>
      </c>
      <c r="S142" s="107" t="str">
        <f t="shared" si="39"/>
        <v/>
      </c>
      <c r="T142" s="39" t="str">
        <f>IF($C142="","",IF(COUNTIF($C$2:$C142,$C142)=1,1,0))</f>
        <v/>
      </c>
      <c r="U142" s="39" t="str">
        <f>IF($T142=1,COUNTIF($T$2:$T142,1),"")</f>
        <v/>
      </c>
      <c r="V142" s="39" t="str">
        <f>IF($B142="","",IF(COUNTIF($B$2:$B142,$B142)=1,1,0))</f>
        <v/>
      </c>
      <c r="W142" s="39" t="str">
        <f>IF($V142=1,COUNTIF($V$2:$V142,1),"")</f>
        <v/>
      </c>
      <c r="X142" s="39" t="str">
        <f>IF($A142="","",IF(COUNTIF($A$2:$A142,$A142)=1,1,0))</f>
        <v/>
      </c>
      <c r="Y142" s="39" t="str">
        <f>IF($X142=1,COUNTIF($X$2:$X142,1),"")</f>
        <v/>
      </c>
      <c r="Z142" s="39">
        <f>IF(AND($E142="timed",$N142&gt;Settings!$C$8),1,0)</f>
        <v>0</v>
      </c>
      <c r="AA142" s="39">
        <f t="shared" si="40"/>
        <v>0</v>
      </c>
      <c r="AB142" s="39">
        <f t="shared" si="41"/>
        <v>0</v>
      </c>
      <c r="AC142" s="39" t="str">
        <f t="shared" si="42"/>
        <v/>
      </c>
      <c r="AD142" s="39" t="str">
        <f t="shared" si="43"/>
        <v/>
      </c>
      <c r="AE142" s="39" t="str">
        <f t="shared" si="44"/>
        <v/>
      </c>
      <c r="AF142" s="106" t="str">
        <f t="shared" si="45"/>
        <v/>
      </c>
      <c r="AG142" s="39">
        <f t="shared" si="46"/>
        <v>0</v>
      </c>
      <c r="AH142" s="39" t="str">
        <f t="shared" si="47"/>
        <v/>
      </c>
      <c r="AI142" s="39">
        <f>IF(AND($E142="timed",$N142&gt;=Settings!$C$9),1,0)</f>
        <v>0</v>
      </c>
      <c r="AJ142" s="39" t="str">
        <f>IF(OR($S142="",Settings!$C$16=""),"",IF($S142&lt;=Settings!$C$16,1,2))</f>
        <v/>
      </c>
      <c r="AK142" s="39" t="str">
        <f>IF($C142="","",IFERROR(IF(INDEX(Settings!$C$20:$C$59,MATCH($C142,Settings!$B$20:$B$59,0))="",Settings!$C$10,INDEX(Settings!$C$20:$C$59,MATCH($C142,Settings!$B$20:$B$59,0))),Settings!$C$10))</f>
        <v/>
      </c>
      <c r="AL142" s="108">
        <f t="shared" si="48"/>
        <v>0</v>
      </c>
      <c r="AM142" s="39" t="str">
        <f t="shared" si="49"/>
        <v/>
      </c>
      <c r="AN142" s="39" t="str">
        <f t="shared" si="50"/>
        <v/>
      </c>
      <c r="AO142" s="39" t="str">
        <f t="shared" si="51"/>
        <v/>
      </c>
      <c r="AP142" s="39">
        <f t="shared" si="52"/>
        <v>0</v>
      </c>
      <c r="AQ142" s="39">
        <f t="shared" si="53"/>
        <v>0</v>
      </c>
    </row>
    <row r="143" spans="14:43" x14ac:dyDescent="0.25">
      <c r="N143" s="105">
        <f t="shared" si="36"/>
        <v>0</v>
      </c>
      <c r="O143" s="106" t="str">
        <f>IF($F143="","",IF(ISNUMBER($F143),$F143+Settings!$C$7/24,IFERROR(DATEVALUE(LEFT($F143,10))+TIMEVALUE(MID($F143,12,8))+Settings!$C$7/24,"")))</f>
        <v/>
      </c>
      <c r="P143" s="106" t="str">
        <f>IF($G143="","",IF(ISNUMBER($G143),$G143+Settings!$C$7/24,IFERROR(DATEVALUE(LEFT($G143,10))+TIMEVALUE(MID($G143,12,8))+Settings!$C$7/24,"")))</f>
        <v/>
      </c>
      <c r="Q143" s="39" t="str">
        <f t="shared" si="37"/>
        <v/>
      </c>
      <c r="R143" s="39" t="str">
        <f t="shared" si="38"/>
        <v/>
      </c>
      <c r="S143" s="107" t="str">
        <f t="shared" si="39"/>
        <v/>
      </c>
      <c r="T143" s="39" t="str">
        <f>IF($C143="","",IF(COUNTIF($C$2:$C143,$C143)=1,1,0))</f>
        <v/>
      </c>
      <c r="U143" s="39" t="str">
        <f>IF($T143=1,COUNTIF($T$2:$T143,1),"")</f>
        <v/>
      </c>
      <c r="V143" s="39" t="str">
        <f>IF($B143="","",IF(COUNTIF($B$2:$B143,$B143)=1,1,0))</f>
        <v/>
      </c>
      <c r="W143" s="39" t="str">
        <f>IF($V143=1,COUNTIF($V$2:$V143,1),"")</f>
        <v/>
      </c>
      <c r="X143" s="39" t="str">
        <f>IF($A143="","",IF(COUNTIF($A$2:$A143,$A143)=1,1,0))</f>
        <v/>
      </c>
      <c r="Y143" s="39" t="str">
        <f>IF($X143=1,COUNTIF($X$2:$X143,1),"")</f>
        <v/>
      </c>
      <c r="Z143" s="39">
        <f>IF(AND($E143="timed",$N143&gt;Settings!$C$8),1,0)</f>
        <v>0</v>
      </c>
      <c r="AA143" s="39">
        <f t="shared" si="40"/>
        <v>0</v>
      </c>
      <c r="AB143" s="39">
        <f t="shared" si="41"/>
        <v>0</v>
      </c>
      <c r="AC143" s="39" t="str">
        <f t="shared" si="42"/>
        <v/>
      </c>
      <c r="AD143" s="39" t="str">
        <f t="shared" si="43"/>
        <v/>
      </c>
      <c r="AE143" s="39" t="str">
        <f t="shared" si="44"/>
        <v/>
      </c>
      <c r="AF143" s="106" t="str">
        <f t="shared" si="45"/>
        <v/>
      </c>
      <c r="AG143" s="39">
        <f t="shared" si="46"/>
        <v>0</v>
      </c>
      <c r="AH143" s="39" t="str">
        <f t="shared" si="47"/>
        <v/>
      </c>
      <c r="AI143" s="39">
        <f>IF(AND($E143="timed",$N143&gt;=Settings!$C$9),1,0)</f>
        <v>0</v>
      </c>
      <c r="AJ143" s="39" t="str">
        <f>IF(OR($S143="",Settings!$C$16=""),"",IF($S143&lt;=Settings!$C$16,1,2))</f>
        <v/>
      </c>
      <c r="AK143" s="39" t="str">
        <f>IF($C143="","",IFERROR(IF(INDEX(Settings!$C$20:$C$59,MATCH($C143,Settings!$B$20:$B$59,0))="",Settings!$C$10,INDEX(Settings!$C$20:$C$59,MATCH($C143,Settings!$B$20:$B$59,0))),Settings!$C$10))</f>
        <v/>
      </c>
      <c r="AL143" s="108">
        <f t="shared" si="48"/>
        <v>0</v>
      </c>
      <c r="AM143" s="39" t="str">
        <f t="shared" si="49"/>
        <v/>
      </c>
      <c r="AN143" s="39" t="str">
        <f t="shared" si="50"/>
        <v/>
      </c>
      <c r="AO143" s="39" t="str">
        <f t="shared" si="51"/>
        <v/>
      </c>
      <c r="AP143" s="39">
        <f t="shared" si="52"/>
        <v>0</v>
      </c>
      <c r="AQ143" s="39">
        <f t="shared" si="53"/>
        <v>0</v>
      </c>
    </row>
    <row r="144" spans="14:43" x14ac:dyDescent="0.25">
      <c r="N144" s="105">
        <f t="shared" si="36"/>
        <v>0</v>
      </c>
      <c r="O144" s="106" t="str">
        <f>IF($F144="","",IF(ISNUMBER($F144),$F144+Settings!$C$7/24,IFERROR(DATEVALUE(LEFT($F144,10))+TIMEVALUE(MID($F144,12,8))+Settings!$C$7/24,"")))</f>
        <v/>
      </c>
      <c r="P144" s="106" t="str">
        <f>IF($G144="","",IF(ISNUMBER($G144),$G144+Settings!$C$7/24,IFERROR(DATEVALUE(LEFT($G144,10))+TIMEVALUE(MID($G144,12,8))+Settings!$C$7/24,"")))</f>
        <v/>
      </c>
      <c r="Q144" s="39" t="str">
        <f t="shared" si="37"/>
        <v/>
      </c>
      <c r="R144" s="39" t="str">
        <f t="shared" si="38"/>
        <v/>
      </c>
      <c r="S144" s="107" t="str">
        <f t="shared" si="39"/>
        <v/>
      </c>
      <c r="T144" s="39" t="str">
        <f>IF($C144="","",IF(COUNTIF($C$2:$C144,$C144)=1,1,0))</f>
        <v/>
      </c>
      <c r="U144" s="39" t="str">
        <f>IF($T144=1,COUNTIF($T$2:$T144,1),"")</f>
        <v/>
      </c>
      <c r="V144" s="39" t="str">
        <f>IF($B144="","",IF(COUNTIF($B$2:$B144,$B144)=1,1,0))</f>
        <v/>
      </c>
      <c r="W144" s="39" t="str">
        <f>IF($V144=1,COUNTIF($V$2:$V144,1),"")</f>
        <v/>
      </c>
      <c r="X144" s="39" t="str">
        <f>IF($A144="","",IF(COUNTIF($A$2:$A144,$A144)=1,1,0))</f>
        <v/>
      </c>
      <c r="Y144" s="39" t="str">
        <f>IF($X144=1,COUNTIF($X$2:$X144,1),"")</f>
        <v/>
      </c>
      <c r="Z144" s="39">
        <f>IF(AND($E144="timed",$N144&gt;Settings!$C$8),1,0)</f>
        <v>0</v>
      </c>
      <c r="AA144" s="39">
        <f t="shared" si="40"/>
        <v>0</v>
      </c>
      <c r="AB144" s="39">
        <f t="shared" si="41"/>
        <v>0</v>
      </c>
      <c r="AC144" s="39" t="str">
        <f t="shared" si="42"/>
        <v/>
      </c>
      <c r="AD144" s="39" t="str">
        <f t="shared" si="43"/>
        <v/>
      </c>
      <c r="AE144" s="39" t="str">
        <f t="shared" si="44"/>
        <v/>
      </c>
      <c r="AF144" s="106" t="str">
        <f t="shared" si="45"/>
        <v/>
      </c>
      <c r="AG144" s="39">
        <f t="shared" si="46"/>
        <v>0</v>
      </c>
      <c r="AH144" s="39" t="str">
        <f t="shared" si="47"/>
        <v/>
      </c>
      <c r="AI144" s="39">
        <f>IF(AND($E144="timed",$N144&gt;=Settings!$C$9),1,0)</f>
        <v>0</v>
      </c>
      <c r="AJ144" s="39" t="str">
        <f>IF(OR($S144="",Settings!$C$16=""),"",IF($S144&lt;=Settings!$C$16,1,2))</f>
        <v/>
      </c>
      <c r="AK144" s="39" t="str">
        <f>IF($C144="","",IFERROR(IF(INDEX(Settings!$C$20:$C$59,MATCH($C144,Settings!$B$20:$B$59,0))="",Settings!$C$10,INDEX(Settings!$C$20:$C$59,MATCH($C144,Settings!$B$20:$B$59,0))),Settings!$C$10))</f>
        <v/>
      </c>
      <c r="AL144" s="108">
        <f t="shared" si="48"/>
        <v>0</v>
      </c>
      <c r="AM144" s="39" t="str">
        <f t="shared" si="49"/>
        <v/>
      </c>
      <c r="AN144" s="39" t="str">
        <f t="shared" si="50"/>
        <v/>
      </c>
      <c r="AO144" s="39" t="str">
        <f t="shared" si="51"/>
        <v/>
      </c>
      <c r="AP144" s="39">
        <f t="shared" si="52"/>
        <v>0</v>
      </c>
      <c r="AQ144" s="39">
        <f t="shared" si="53"/>
        <v>0</v>
      </c>
    </row>
    <row r="145" spans="14:43" x14ac:dyDescent="0.25">
      <c r="N145" s="105">
        <f t="shared" si="36"/>
        <v>0</v>
      </c>
      <c r="O145" s="106" t="str">
        <f>IF($F145="","",IF(ISNUMBER($F145),$F145+Settings!$C$7/24,IFERROR(DATEVALUE(LEFT($F145,10))+TIMEVALUE(MID($F145,12,8))+Settings!$C$7/24,"")))</f>
        <v/>
      </c>
      <c r="P145" s="106" t="str">
        <f>IF($G145="","",IF(ISNUMBER($G145),$G145+Settings!$C$7/24,IFERROR(DATEVALUE(LEFT($G145,10))+TIMEVALUE(MID($G145,12,8))+Settings!$C$7/24,"")))</f>
        <v/>
      </c>
      <c r="Q145" s="39" t="str">
        <f t="shared" si="37"/>
        <v/>
      </c>
      <c r="R145" s="39" t="str">
        <f t="shared" si="38"/>
        <v/>
      </c>
      <c r="S145" s="107" t="str">
        <f t="shared" si="39"/>
        <v/>
      </c>
      <c r="T145" s="39" t="str">
        <f>IF($C145="","",IF(COUNTIF($C$2:$C145,$C145)=1,1,0))</f>
        <v/>
      </c>
      <c r="U145" s="39" t="str">
        <f>IF($T145=1,COUNTIF($T$2:$T145,1),"")</f>
        <v/>
      </c>
      <c r="V145" s="39" t="str">
        <f>IF($B145="","",IF(COUNTIF($B$2:$B145,$B145)=1,1,0))</f>
        <v/>
      </c>
      <c r="W145" s="39" t="str">
        <f>IF($V145=1,COUNTIF($V$2:$V145,1),"")</f>
        <v/>
      </c>
      <c r="X145" s="39" t="str">
        <f>IF($A145="","",IF(COUNTIF($A$2:$A145,$A145)=1,1,0))</f>
        <v/>
      </c>
      <c r="Y145" s="39" t="str">
        <f>IF($X145=1,COUNTIF($X$2:$X145,1),"")</f>
        <v/>
      </c>
      <c r="Z145" s="39">
        <f>IF(AND($E145="timed",$N145&gt;Settings!$C$8),1,0)</f>
        <v>0</v>
      </c>
      <c r="AA145" s="39">
        <f t="shared" si="40"/>
        <v>0</v>
      </c>
      <c r="AB145" s="39">
        <f t="shared" si="41"/>
        <v>0</v>
      </c>
      <c r="AC145" s="39" t="str">
        <f t="shared" si="42"/>
        <v/>
      </c>
      <c r="AD145" s="39" t="str">
        <f t="shared" si="43"/>
        <v/>
      </c>
      <c r="AE145" s="39" t="str">
        <f t="shared" si="44"/>
        <v/>
      </c>
      <c r="AF145" s="106" t="str">
        <f t="shared" si="45"/>
        <v/>
      </c>
      <c r="AG145" s="39">
        <f t="shared" si="46"/>
        <v>0</v>
      </c>
      <c r="AH145" s="39" t="str">
        <f t="shared" si="47"/>
        <v/>
      </c>
      <c r="AI145" s="39">
        <f>IF(AND($E145="timed",$N145&gt;=Settings!$C$9),1,0)</f>
        <v>0</v>
      </c>
      <c r="AJ145" s="39" t="str">
        <f>IF(OR($S145="",Settings!$C$16=""),"",IF($S145&lt;=Settings!$C$16,1,2))</f>
        <v/>
      </c>
      <c r="AK145" s="39" t="str">
        <f>IF($C145="","",IFERROR(IF(INDEX(Settings!$C$20:$C$59,MATCH($C145,Settings!$B$20:$B$59,0))="",Settings!$C$10,INDEX(Settings!$C$20:$C$59,MATCH($C145,Settings!$B$20:$B$59,0))),Settings!$C$10))</f>
        <v/>
      </c>
      <c r="AL145" s="108">
        <f t="shared" si="48"/>
        <v>0</v>
      </c>
      <c r="AM145" s="39" t="str">
        <f t="shared" si="49"/>
        <v/>
      </c>
      <c r="AN145" s="39" t="str">
        <f t="shared" si="50"/>
        <v/>
      </c>
      <c r="AO145" s="39" t="str">
        <f t="shared" si="51"/>
        <v/>
      </c>
      <c r="AP145" s="39">
        <f t="shared" si="52"/>
        <v>0</v>
      </c>
      <c r="AQ145" s="39">
        <f t="shared" si="53"/>
        <v>0</v>
      </c>
    </row>
    <row r="146" spans="14:43" x14ac:dyDescent="0.25">
      <c r="N146" s="105">
        <f t="shared" si="36"/>
        <v>0</v>
      </c>
      <c r="O146" s="106" t="str">
        <f>IF($F146="","",IF(ISNUMBER($F146),$F146+Settings!$C$7/24,IFERROR(DATEVALUE(LEFT($F146,10))+TIMEVALUE(MID($F146,12,8))+Settings!$C$7/24,"")))</f>
        <v/>
      </c>
      <c r="P146" s="106" t="str">
        <f>IF($G146="","",IF(ISNUMBER($G146),$G146+Settings!$C$7/24,IFERROR(DATEVALUE(LEFT($G146,10))+TIMEVALUE(MID($G146,12,8))+Settings!$C$7/24,"")))</f>
        <v/>
      </c>
      <c r="Q146" s="39" t="str">
        <f t="shared" si="37"/>
        <v/>
      </c>
      <c r="R146" s="39" t="str">
        <f t="shared" si="38"/>
        <v/>
      </c>
      <c r="S146" s="107" t="str">
        <f t="shared" si="39"/>
        <v/>
      </c>
      <c r="T146" s="39" t="str">
        <f>IF($C146="","",IF(COUNTIF($C$2:$C146,$C146)=1,1,0))</f>
        <v/>
      </c>
      <c r="U146" s="39" t="str">
        <f>IF($T146=1,COUNTIF($T$2:$T146,1),"")</f>
        <v/>
      </c>
      <c r="V146" s="39" t="str">
        <f>IF($B146="","",IF(COUNTIF($B$2:$B146,$B146)=1,1,0))</f>
        <v/>
      </c>
      <c r="W146" s="39" t="str">
        <f>IF($V146=1,COUNTIF($V$2:$V146,1),"")</f>
        <v/>
      </c>
      <c r="X146" s="39" t="str">
        <f>IF($A146="","",IF(COUNTIF($A$2:$A146,$A146)=1,1,0))</f>
        <v/>
      </c>
      <c r="Y146" s="39" t="str">
        <f>IF($X146=1,COUNTIF($X$2:$X146,1),"")</f>
        <v/>
      </c>
      <c r="Z146" s="39">
        <f>IF(AND($E146="timed",$N146&gt;Settings!$C$8),1,0)</f>
        <v>0</v>
      </c>
      <c r="AA146" s="39">
        <f t="shared" si="40"/>
        <v>0</v>
      </c>
      <c r="AB146" s="39">
        <f t="shared" si="41"/>
        <v>0</v>
      </c>
      <c r="AC146" s="39" t="str">
        <f t="shared" si="42"/>
        <v/>
      </c>
      <c r="AD146" s="39" t="str">
        <f t="shared" si="43"/>
        <v/>
      </c>
      <c r="AE146" s="39" t="str">
        <f t="shared" si="44"/>
        <v/>
      </c>
      <c r="AF146" s="106" t="str">
        <f t="shared" si="45"/>
        <v/>
      </c>
      <c r="AG146" s="39">
        <f t="shared" si="46"/>
        <v>0</v>
      </c>
      <c r="AH146" s="39" t="str">
        <f t="shared" si="47"/>
        <v/>
      </c>
      <c r="AI146" s="39">
        <f>IF(AND($E146="timed",$N146&gt;=Settings!$C$9),1,0)</f>
        <v>0</v>
      </c>
      <c r="AJ146" s="39" t="str">
        <f>IF(OR($S146="",Settings!$C$16=""),"",IF($S146&lt;=Settings!$C$16,1,2))</f>
        <v/>
      </c>
      <c r="AK146" s="39" t="str">
        <f>IF($C146="","",IFERROR(IF(INDEX(Settings!$C$20:$C$59,MATCH($C146,Settings!$B$20:$B$59,0))="",Settings!$C$10,INDEX(Settings!$C$20:$C$59,MATCH($C146,Settings!$B$20:$B$59,0))),Settings!$C$10))</f>
        <v/>
      </c>
      <c r="AL146" s="108">
        <f t="shared" si="48"/>
        <v>0</v>
      </c>
      <c r="AM146" s="39" t="str">
        <f t="shared" si="49"/>
        <v/>
      </c>
      <c r="AN146" s="39" t="str">
        <f t="shared" si="50"/>
        <v/>
      </c>
      <c r="AO146" s="39" t="str">
        <f t="shared" si="51"/>
        <v/>
      </c>
      <c r="AP146" s="39">
        <f t="shared" si="52"/>
        <v>0</v>
      </c>
      <c r="AQ146" s="39">
        <f t="shared" si="53"/>
        <v>0</v>
      </c>
    </row>
    <row r="147" spans="14:43" x14ac:dyDescent="0.25">
      <c r="N147" s="105">
        <f t="shared" si="36"/>
        <v>0</v>
      </c>
      <c r="O147" s="106" t="str">
        <f>IF($F147="","",IF(ISNUMBER($F147),$F147+Settings!$C$7/24,IFERROR(DATEVALUE(LEFT($F147,10))+TIMEVALUE(MID($F147,12,8))+Settings!$C$7/24,"")))</f>
        <v/>
      </c>
      <c r="P147" s="106" t="str">
        <f>IF($G147="","",IF(ISNUMBER($G147),$G147+Settings!$C$7/24,IFERROR(DATEVALUE(LEFT($G147,10))+TIMEVALUE(MID($G147,12,8))+Settings!$C$7/24,"")))</f>
        <v/>
      </c>
      <c r="Q147" s="39" t="str">
        <f t="shared" si="37"/>
        <v/>
      </c>
      <c r="R147" s="39" t="str">
        <f t="shared" si="38"/>
        <v/>
      </c>
      <c r="S147" s="107" t="str">
        <f t="shared" si="39"/>
        <v/>
      </c>
      <c r="T147" s="39" t="str">
        <f>IF($C147="","",IF(COUNTIF($C$2:$C147,$C147)=1,1,0))</f>
        <v/>
      </c>
      <c r="U147" s="39" t="str">
        <f>IF($T147=1,COUNTIF($T$2:$T147,1),"")</f>
        <v/>
      </c>
      <c r="V147" s="39" t="str">
        <f>IF($B147="","",IF(COUNTIF($B$2:$B147,$B147)=1,1,0))</f>
        <v/>
      </c>
      <c r="W147" s="39" t="str">
        <f>IF($V147=1,COUNTIF($V$2:$V147,1),"")</f>
        <v/>
      </c>
      <c r="X147" s="39" t="str">
        <f>IF($A147="","",IF(COUNTIF($A$2:$A147,$A147)=1,1,0))</f>
        <v/>
      </c>
      <c r="Y147" s="39" t="str">
        <f>IF($X147=1,COUNTIF($X$2:$X147,1),"")</f>
        <v/>
      </c>
      <c r="Z147" s="39">
        <f>IF(AND($E147="timed",$N147&gt;Settings!$C$8),1,0)</f>
        <v>0</v>
      </c>
      <c r="AA147" s="39">
        <f t="shared" si="40"/>
        <v>0</v>
      </c>
      <c r="AB147" s="39">
        <f t="shared" si="41"/>
        <v>0</v>
      </c>
      <c r="AC147" s="39" t="str">
        <f t="shared" si="42"/>
        <v/>
      </c>
      <c r="AD147" s="39" t="str">
        <f t="shared" si="43"/>
        <v/>
      </c>
      <c r="AE147" s="39" t="str">
        <f t="shared" si="44"/>
        <v/>
      </c>
      <c r="AF147" s="106" t="str">
        <f t="shared" si="45"/>
        <v/>
      </c>
      <c r="AG147" s="39">
        <f t="shared" si="46"/>
        <v>0</v>
      </c>
      <c r="AH147" s="39" t="str">
        <f t="shared" si="47"/>
        <v/>
      </c>
      <c r="AI147" s="39">
        <f>IF(AND($E147="timed",$N147&gt;=Settings!$C$9),1,0)</f>
        <v>0</v>
      </c>
      <c r="AJ147" s="39" t="str">
        <f>IF(OR($S147="",Settings!$C$16=""),"",IF($S147&lt;=Settings!$C$16,1,2))</f>
        <v/>
      </c>
      <c r="AK147" s="39" t="str">
        <f>IF($C147="","",IFERROR(IF(INDEX(Settings!$C$20:$C$59,MATCH($C147,Settings!$B$20:$B$59,0))="",Settings!$C$10,INDEX(Settings!$C$20:$C$59,MATCH($C147,Settings!$B$20:$B$59,0))),Settings!$C$10))</f>
        <v/>
      </c>
      <c r="AL147" s="108">
        <f t="shared" si="48"/>
        <v>0</v>
      </c>
      <c r="AM147" s="39" t="str">
        <f t="shared" si="49"/>
        <v/>
      </c>
      <c r="AN147" s="39" t="str">
        <f t="shared" si="50"/>
        <v/>
      </c>
      <c r="AO147" s="39" t="str">
        <f t="shared" si="51"/>
        <v/>
      </c>
      <c r="AP147" s="39">
        <f t="shared" si="52"/>
        <v>0</v>
      </c>
      <c r="AQ147" s="39">
        <f t="shared" si="53"/>
        <v>0</v>
      </c>
    </row>
    <row r="148" spans="14:43" x14ac:dyDescent="0.25">
      <c r="N148" s="105">
        <f t="shared" si="36"/>
        <v>0</v>
      </c>
      <c r="O148" s="106" t="str">
        <f>IF($F148="","",IF(ISNUMBER($F148),$F148+Settings!$C$7/24,IFERROR(DATEVALUE(LEFT($F148,10))+TIMEVALUE(MID($F148,12,8))+Settings!$C$7/24,"")))</f>
        <v/>
      </c>
      <c r="P148" s="106" t="str">
        <f>IF($G148="","",IF(ISNUMBER($G148),$G148+Settings!$C$7/24,IFERROR(DATEVALUE(LEFT($G148,10))+TIMEVALUE(MID($G148,12,8))+Settings!$C$7/24,"")))</f>
        <v/>
      </c>
      <c r="Q148" s="39" t="str">
        <f t="shared" si="37"/>
        <v/>
      </c>
      <c r="R148" s="39" t="str">
        <f t="shared" si="38"/>
        <v/>
      </c>
      <c r="S148" s="107" t="str">
        <f t="shared" si="39"/>
        <v/>
      </c>
      <c r="T148" s="39" t="str">
        <f>IF($C148="","",IF(COUNTIF($C$2:$C148,$C148)=1,1,0))</f>
        <v/>
      </c>
      <c r="U148" s="39" t="str">
        <f>IF($T148=1,COUNTIF($T$2:$T148,1),"")</f>
        <v/>
      </c>
      <c r="V148" s="39" t="str">
        <f>IF($B148="","",IF(COUNTIF($B$2:$B148,$B148)=1,1,0))</f>
        <v/>
      </c>
      <c r="W148" s="39" t="str">
        <f>IF($V148=1,COUNTIF($V$2:$V148,1),"")</f>
        <v/>
      </c>
      <c r="X148" s="39" t="str">
        <f>IF($A148="","",IF(COUNTIF($A$2:$A148,$A148)=1,1,0))</f>
        <v/>
      </c>
      <c r="Y148" s="39" t="str">
        <f>IF($X148=1,COUNTIF($X$2:$X148,1),"")</f>
        <v/>
      </c>
      <c r="Z148" s="39">
        <f>IF(AND($E148="timed",$N148&gt;Settings!$C$8),1,0)</f>
        <v>0</v>
      </c>
      <c r="AA148" s="39">
        <f t="shared" si="40"/>
        <v>0</v>
      </c>
      <c r="AB148" s="39">
        <f t="shared" si="41"/>
        <v>0</v>
      </c>
      <c r="AC148" s="39" t="str">
        <f t="shared" si="42"/>
        <v/>
      </c>
      <c r="AD148" s="39" t="str">
        <f t="shared" si="43"/>
        <v/>
      </c>
      <c r="AE148" s="39" t="str">
        <f t="shared" si="44"/>
        <v/>
      </c>
      <c r="AF148" s="106" t="str">
        <f t="shared" si="45"/>
        <v/>
      </c>
      <c r="AG148" s="39">
        <f t="shared" si="46"/>
        <v>0</v>
      </c>
      <c r="AH148" s="39" t="str">
        <f t="shared" si="47"/>
        <v/>
      </c>
      <c r="AI148" s="39">
        <f>IF(AND($E148="timed",$N148&gt;=Settings!$C$9),1,0)</f>
        <v>0</v>
      </c>
      <c r="AJ148" s="39" t="str">
        <f>IF(OR($S148="",Settings!$C$16=""),"",IF($S148&lt;=Settings!$C$16,1,2))</f>
        <v/>
      </c>
      <c r="AK148" s="39" t="str">
        <f>IF($C148="","",IFERROR(IF(INDEX(Settings!$C$20:$C$59,MATCH($C148,Settings!$B$20:$B$59,0))="",Settings!$C$10,INDEX(Settings!$C$20:$C$59,MATCH($C148,Settings!$B$20:$B$59,0))),Settings!$C$10))</f>
        <v/>
      </c>
      <c r="AL148" s="108">
        <f t="shared" si="48"/>
        <v>0</v>
      </c>
      <c r="AM148" s="39" t="str">
        <f t="shared" si="49"/>
        <v/>
      </c>
      <c r="AN148" s="39" t="str">
        <f t="shared" si="50"/>
        <v/>
      </c>
      <c r="AO148" s="39" t="str">
        <f t="shared" si="51"/>
        <v/>
      </c>
      <c r="AP148" s="39">
        <f t="shared" si="52"/>
        <v>0</v>
      </c>
      <c r="AQ148" s="39">
        <f t="shared" si="53"/>
        <v>0</v>
      </c>
    </row>
    <row r="149" spans="14:43" x14ac:dyDescent="0.25">
      <c r="N149" s="105">
        <f t="shared" si="36"/>
        <v>0</v>
      </c>
      <c r="O149" s="106" t="str">
        <f>IF($F149="","",IF(ISNUMBER($F149),$F149+Settings!$C$7/24,IFERROR(DATEVALUE(LEFT($F149,10))+TIMEVALUE(MID($F149,12,8))+Settings!$C$7/24,"")))</f>
        <v/>
      </c>
      <c r="P149" s="106" t="str">
        <f>IF($G149="","",IF(ISNUMBER($G149),$G149+Settings!$C$7/24,IFERROR(DATEVALUE(LEFT($G149,10))+TIMEVALUE(MID($G149,12,8))+Settings!$C$7/24,"")))</f>
        <v/>
      </c>
      <c r="Q149" s="39" t="str">
        <f t="shared" si="37"/>
        <v/>
      </c>
      <c r="R149" s="39" t="str">
        <f t="shared" si="38"/>
        <v/>
      </c>
      <c r="S149" s="107" t="str">
        <f t="shared" si="39"/>
        <v/>
      </c>
      <c r="T149" s="39" t="str">
        <f>IF($C149="","",IF(COUNTIF($C$2:$C149,$C149)=1,1,0))</f>
        <v/>
      </c>
      <c r="U149" s="39" t="str">
        <f>IF($T149=1,COUNTIF($T$2:$T149,1),"")</f>
        <v/>
      </c>
      <c r="V149" s="39" t="str">
        <f>IF($B149="","",IF(COUNTIF($B$2:$B149,$B149)=1,1,0))</f>
        <v/>
      </c>
      <c r="W149" s="39" t="str">
        <f>IF($V149=1,COUNTIF($V$2:$V149,1),"")</f>
        <v/>
      </c>
      <c r="X149" s="39" t="str">
        <f>IF($A149="","",IF(COUNTIF($A$2:$A149,$A149)=1,1,0))</f>
        <v/>
      </c>
      <c r="Y149" s="39" t="str">
        <f>IF($X149=1,COUNTIF($X$2:$X149,1),"")</f>
        <v/>
      </c>
      <c r="Z149" s="39">
        <f>IF(AND($E149="timed",$N149&gt;Settings!$C$8),1,0)</f>
        <v>0</v>
      </c>
      <c r="AA149" s="39">
        <f t="shared" si="40"/>
        <v>0</v>
      </c>
      <c r="AB149" s="39">
        <f t="shared" si="41"/>
        <v>0</v>
      </c>
      <c r="AC149" s="39" t="str">
        <f t="shared" si="42"/>
        <v/>
      </c>
      <c r="AD149" s="39" t="str">
        <f t="shared" si="43"/>
        <v/>
      </c>
      <c r="AE149" s="39" t="str">
        <f t="shared" si="44"/>
        <v/>
      </c>
      <c r="AF149" s="106" t="str">
        <f t="shared" si="45"/>
        <v/>
      </c>
      <c r="AG149" s="39">
        <f t="shared" si="46"/>
        <v>0</v>
      </c>
      <c r="AH149" s="39" t="str">
        <f t="shared" si="47"/>
        <v/>
      </c>
      <c r="AI149" s="39">
        <f>IF(AND($E149="timed",$N149&gt;=Settings!$C$9),1,0)</f>
        <v>0</v>
      </c>
      <c r="AJ149" s="39" t="str">
        <f>IF(OR($S149="",Settings!$C$16=""),"",IF($S149&lt;=Settings!$C$16,1,2))</f>
        <v/>
      </c>
      <c r="AK149" s="39" t="str">
        <f>IF($C149="","",IFERROR(IF(INDEX(Settings!$C$20:$C$59,MATCH($C149,Settings!$B$20:$B$59,0))="",Settings!$C$10,INDEX(Settings!$C$20:$C$59,MATCH($C149,Settings!$B$20:$B$59,0))),Settings!$C$10))</f>
        <v/>
      </c>
      <c r="AL149" s="108">
        <f t="shared" si="48"/>
        <v>0</v>
      </c>
      <c r="AM149" s="39" t="str">
        <f t="shared" si="49"/>
        <v/>
      </c>
      <c r="AN149" s="39" t="str">
        <f t="shared" si="50"/>
        <v/>
      </c>
      <c r="AO149" s="39" t="str">
        <f t="shared" si="51"/>
        <v/>
      </c>
      <c r="AP149" s="39">
        <f t="shared" si="52"/>
        <v>0</v>
      </c>
      <c r="AQ149" s="39">
        <f t="shared" si="53"/>
        <v>0</v>
      </c>
    </row>
    <row r="150" spans="14:43" x14ac:dyDescent="0.25">
      <c r="N150" s="105">
        <f t="shared" si="36"/>
        <v>0</v>
      </c>
      <c r="O150" s="106" t="str">
        <f>IF($F150="","",IF(ISNUMBER($F150),$F150+Settings!$C$7/24,IFERROR(DATEVALUE(LEFT($F150,10))+TIMEVALUE(MID($F150,12,8))+Settings!$C$7/24,"")))</f>
        <v/>
      </c>
      <c r="P150" s="106" t="str">
        <f>IF($G150="","",IF(ISNUMBER($G150),$G150+Settings!$C$7/24,IFERROR(DATEVALUE(LEFT($G150,10))+TIMEVALUE(MID($G150,12,8))+Settings!$C$7/24,"")))</f>
        <v/>
      </c>
      <c r="Q150" s="39" t="str">
        <f t="shared" si="37"/>
        <v/>
      </c>
      <c r="R150" s="39" t="str">
        <f t="shared" si="38"/>
        <v/>
      </c>
      <c r="S150" s="107" t="str">
        <f t="shared" si="39"/>
        <v/>
      </c>
      <c r="T150" s="39" t="str">
        <f>IF($C150="","",IF(COUNTIF($C$2:$C150,$C150)=1,1,0))</f>
        <v/>
      </c>
      <c r="U150" s="39" t="str">
        <f>IF($T150=1,COUNTIF($T$2:$T150,1),"")</f>
        <v/>
      </c>
      <c r="V150" s="39" t="str">
        <f>IF($B150="","",IF(COUNTIF($B$2:$B150,$B150)=1,1,0))</f>
        <v/>
      </c>
      <c r="W150" s="39" t="str">
        <f>IF($V150=1,COUNTIF($V$2:$V150,1),"")</f>
        <v/>
      </c>
      <c r="X150" s="39" t="str">
        <f>IF($A150="","",IF(COUNTIF($A$2:$A150,$A150)=1,1,0))</f>
        <v/>
      </c>
      <c r="Y150" s="39" t="str">
        <f>IF($X150=1,COUNTIF($X$2:$X150,1),"")</f>
        <v/>
      </c>
      <c r="Z150" s="39">
        <f>IF(AND($E150="timed",$N150&gt;Settings!$C$8),1,0)</f>
        <v>0</v>
      </c>
      <c r="AA150" s="39">
        <f t="shared" si="40"/>
        <v>0</v>
      </c>
      <c r="AB150" s="39">
        <f t="shared" si="41"/>
        <v>0</v>
      </c>
      <c r="AC150" s="39" t="str">
        <f t="shared" si="42"/>
        <v/>
      </c>
      <c r="AD150" s="39" t="str">
        <f t="shared" si="43"/>
        <v/>
      </c>
      <c r="AE150" s="39" t="str">
        <f t="shared" si="44"/>
        <v/>
      </c>
      <c r="AF150" s="106" t="str">
        <f t="shared" si="45"/>
        <v/>
      </c>
      <c r="AG150" s="39">
        <f t="shared" si="46"/>
        <v>0</v>
      </c>
      <c r="AH150" s="39" t="str">
        <f t="shared" si="47"/>
        <v/>
      </c>
      <c r="AI150" s="39">
        <f>IF(AND($E150="timed",$N150&gt;=Settings!$C$9),1,0)</f>
        <v>0</v>
      </c>
      <c r="AJ150" s="39" t="str">
        <f>IF(OR($S150="",Settings!$C$16=""),"",IF($S150&lt;=Settings!$C$16,1,2))</f>
        <v/>
      </c>
      <c r="AK150" s="39" t="str">
        <f>IF($C150="","",IFERROR(IF(INDEX(Settings!$C$20:$C$59,MATCH($C150,Settings!$B$20:$B$59,0))="",Settings!$C$10,INDEX(Settings!$C$20:$C$59,MATCH($C150,Settings!$B$20:$B$59,0))),Settings!$C$10))</f>
        <v/>
      </c>
      <c r="AL150" s="108">
        <f t="shared" si="48"/>
        <v>0</v>
      </c>
      <c r="AM150" s="39" t="str">
        <f t="shared" si="49"/>
        <v/>
      </c>
      <c r="AN150" s="39" t="str">
        <f t="shared" si="50"/>
        <v/>
      </c>
      <c r="AO150" s="39" t="str">
        <f t="shared" si="51"/>
        <v/>
      </c>
      <c r="AP150" s="39">
        <f t="shared" si="52"/>
        <v>0</v>
      </c>
      <c r="AQ150" s="39">
        <f t="shared" si="53"/>
        <v>0</v>
      </c>
    </row>
    <row r="151" spans="14:43" x14ac:dyDescent="0.25">
      <c r="N151" s="105">
        <f t="shared" si="36"/>
        <v>0</v>
      </c>
      <c r="O151" s="106" t="str">
        <f>IF($F151="","",IF(ISNUMBER($F151),$F151+Settings!$C$7/24,IFERROR(DATEVALUE(LEFT($F151,10))+TIMEVALUE(MID($F151,12,8))+Settings!$C$7/24,"")))</f>
        <v/>
      </c>
      <c r="P151" s="106" t="str">
        <f>IF($G151="","",IF(ISNUMBER($G151),$G151+Settings!$C$7/24,IFERROR(DATEVALUE(LEFT($G151,10))+TIMEVALUE(MID($G151,12,8))+Settings!$C$7/24,"")))</f>
        <v/>
      </c>
      <c r="Q151" s="39" t="str">
        <f t="shared" si="37"/>
        <v/>
      </c>
      <c r="R151" s="39" t="str">
        <f t="shared" si="38"/>
        <v/>
      </c>
      <c r="S151" s="107" t="str">
        <f t="shared" si="39"/>
        <v/>
      </c>
      <c r="T151" s="39" t="str">
        <f>IF($C151="","",IF(COUNTIF($C$2:$C151,$C151)=1,1,0))</f>
        <v/>
      </c>
      <c r="U151" s="39" t="str">
        <f>IF($T151=1,COUNTIF($T$2:$T151,1),"")</f>
        <v/>
      </c>
      <c r="V151" s="39" t="str">
        <f>IF($B151="","",IF(COUNTIF($B$2:$B151,$B151)=1,1,0))</f>
        <v/>
      </c>
      <c r="W151" s="39" t="str">
        <f>IF($V151=1,COUNTIF($V$2:$V151,1),"")</f>
        <v/>
      </c>
      <c r="X151" s="39" t="str">
        <f>IF($A151="","",IF(COUNTIF($A$2:$A151,$A151)=1,1,0))</f>
        <v/>
      </c>
      <c r="Y151" s="39" t="str">
        <f>IF($X151=1,COUNTIF($X$2:$X151,1),"")</f>
        <v/>
      </c>
      <c r="Z151" s="39">
        <f>IF(AND($E151="timed",$N151&gt;Settings!$C$8),1,0)</f>
        <v>0</v>
      </c>
      <c r="AA151" s="39">
        <f t="shared" si="40"/>
        <v>0</v>
      </c>
      <c r="AB151" s="39">
        <f t="shared" si="41"/>
        <v>0</v>
      </c>
      <c r="AC151" s="39" t="str">
        <f t="shared" si="42"/>
        <v/>
      </c>
      <c r="AD151" s="39" t="str">
        <f t="shared" si="43"/>
        <v/>
      </c>
      <c r="AE151" s="39" t="str">
        <f t="shared" si="44"/>
        <v/>
      </c>
      <c r="AF151" s="106" t="str">
        <f t="shared" si="45"/>
        <v/>
      </c>
      <c r="AG151" s="39">
        <f t="shared" si="46"/>
        <v>0</v>
      </c>
      <c r="AH151" s="39" t="str">
        <f t="shared" si="47"/>
        <v/>
      </c>
      <c r="AI151" s="39">
        <f>IF(AND($E151="timed",$N151&gt;=Settings!$C$9),1,0)</f>
        <v>0</v>
      </c>
      <c r="AJ151" s="39" t="str">
        <f>IF(OR($S151="",Settings!$C$16=""),"",IF($S151&lt;=Settings!$C$16,1,2))</f>
        <v/>
      </c>
      <c r="AK151" s="39" t="str">
        <f>IF($C151="","",IFERROR(IF(INDEX(Settings!$C$20:$C$59,MATCH($C151,Settings!$B$20:$B$59,0))="",Settings!$C$10,INDEX(Settings!$C$20:$C$59,MATCH($C151,Settings!$B$20:$B$59,0))),Settings!$C$10))</f>
        <v/>
      </c>
      <c r="AL151" s="108">
        <f t="shared" si="48"/>
        <v>0</v>
      </c>
      <c r="AM151" s="39" t="str">
        <f t="shared" si="49"/>
        <v/>
      </c>
      <c r="AN151" s="39" t="str">
        <f t="shared" si="50"/>
        <v/>
      </c>
      <c r="AO151" s="39" t="str">
        <f t="shared" si="51"/>
        <v/>
      </c>
      <c r="AP151" s="39">
        <f t="shared" si="52"/>
        <v>0</v>
      </c>
      <c r="AQ151" s="39">
        <f t="shared" si="53"/>
        <v>0</v>
      </c>
    </row>
    <row r="152" spans="14:43" x14ac:dyDescent="0.25">
      <c r="N152" s="105">
        <f t="shared" si="36"/>
        <v>0</v>
      </c>
      <c r="O152" s="106" t="str">
        <f>IF($F152="","",IF(ISNUMBER($F152),$F152+Settings!$C$7/24,IFERROR(DATEVALUE(LEFT($F152,10))+TIMEVALUE(MID($F152,12,8))+Settings!$C$7/24,"")))</f>
        <v/>
      </c>
      <c r="P152" s="106" t="str">
        <f>IF($G152="","",IF(ISNUMBER($G152),$G152+Settings!$C$7/24,IFERROR(DATEVALUE(LEFT($G152,10))+TIMEVALUE(MID($G152,12,8))+Settings!$C$7/24,"")))</f>
        <v/>
      </c>
      <c r="Q152" s="39" t="str">
        <f t="shared" si="37"/>
        <v/>
      </c>
      <c r="R152" s="39" t="str">
        <f t="shared" si="38"/>
        <v/>
      </c>
      <c r="S152" s="107" t="str">
        <f t="shared" si="39"/>
        <v/>
      </c>
      <c r="T152" s="39" t="str">
        <f>IF($C152="","",IF(COUNTIF($C$2:$C152,$C152)=1,1,0))</f>
        <v/>
      </c>
      <c r="U152" s="39" t="str">
        <f>IF($T152=1,COUNTIF($T$2:$T152,1),"")</f>
        <v/>
      </c>
      <c r="V152" s="39" t="str">
        <f>IF($B152="","",IF(COUNTIF($B$2:$B152,$B152)=1,1,0))</f>
        <v/>
      </c>
      <c r="W152" s="39" t="str">
        <f>IF($V152=1,COUNTIF($V$2:$V152,1),"")</f>
        <v/>
      </c>
      <c r="X152" s="39" t="str">
        <f>IF($A152="","",IF(COUNTIF($A$2:$A152,$A152)=1,1,0))</f>
        <v/>
      </c>
      <c r="Y152" s="39" t="str">
        <f>IF($X152=1,COUNTIF($X$2:$X152,1),"")</f>
        <v/>
      </c>
      <c r="Z152" s="39">
        <f>IF(AND($E152="timed",$N152&gt;Settings!$C$8),1,0)</f>
        <v>0</v>
      </c>
      <c r="AA152" s="39">
        <f t="shared" si="40"/>
        <v>0</v>
      </c>
      <c r="AB152" s="39">
        <f t="shared" si="41"/>
        <v>0</v>
      </c>
      <c r="AC152" s="39" t="str">
        <f t="shared" si="42"/>
        <v/>
      </c>
      <c r="AD152" s="39" t="str">
        <f t="shared" si="43"/>
        <v/>
      </c>
      <c r="AE152" s="39" t="str">
        <f t="shared" si="44"/>
        <v/>
      </c>
      <c r="AF152" s="106" t="str">
        <f t="shared" si="45"/>
        <v/>
      </c>
      <c r="AG152" s="39">
        <f t="shared" si="46"/>
        <v>0</v>
      </c>
      <c r="AH152" s="39" t="str">
        <f t="shared" si="47"/>
        <v/>
      </c>
      <c r="AI152" s="39">
        <f>IF(AND($E152="timed",$N152&gt;=Settings!$C$9),1,0)</f>
        <v>0</v>
      </c>
      <c r="AJ152" s="39" t="str">
        <f>IF(OR($S152="",Settings!$C$16=""),"",IF($S152&lt;=Settings!$C$16,1,2))</f>
        <v/>
      </c>
      <c r="AK152" s="39" t="str">
        <f>IF($C152="","",IFERROR(IF(INDEX(Settings!$C$20:$C$59,MATCH($C152,Settings!$B$20:$B$59,0))="",Settings!$C$10,INDEX(Settings!$C$20:$C$59,MATCH($C152,Settings!$B$20:$B$59,0))),Settings!$C$10))</f>
        <v/>
      </c>
      <c r="AL152" s="108">
        <f t="shared" si="48"/>
        <v>0</v>
      </c>
      <c r="AM152" s="39" t="str">
        <f t="shared" si="49"/>
        <v/>
      </c>
      <c r="AN152" s="39" t="str">
        <f t="shared" si="50"/>
        <v/>
      </c>
      <c r="AO152" s="39" t="str">
        <f t="shared" si="51"/>
        <v/>
      </c>
      <c r="AP152" s="39">
        <f t="shared" si="52"/>
        <v>0</v>
      </c>
      <c r="AQ152" s="39">
        <f t="shared" si="53"/>
        <v>0</v>
      </c>
    </row>
    <row r="153" spans="14:43" x14ac:dyDescent="0.25">
      <c r="N153" s="105">
        <f t="shared" si="36"/>
        <v>0</v>
      </c>
      <c r="O153" s="106" t="str">
        <f>IF($F153="","",IF(ISNUMBER($F153),$F153+Settings!$C$7/24,IFERROR(DATEVALUE(LEFT($F153,10))+TIMEVALUE(MID($F153,12,8))+Settings!$C$7/24,"")))</f>
        <v/>
      </c>
      <c r="P153" s="106" t="str">
        <f>IF($G153="","",IF(ISNUMBER($G153),$G153+Settings!$C$7/24,IFERROR(DATEVALUE(LEFT($G153,10))+TIMEVALUE(MID($G153,12,8))+Settings!$C$7/24,"")))</f>
        <v/>
      </c>
      <c r="Q153" s="39" t="str">
        <f t="shared" si="37"/>
        <v/>
      </c>
      <c r="R153" s="39" t="str">
        <f t="shared" si="38"/>
        <v/>
      </c>
      <c r="S153" s="107" t="str">
        <f t="shared" si="39"/>
        <v/>
      </c>
      <c r="T153" s="39" t="str">
        <f>IF($C153="","",IF(COUNTIF($C$2:$C153,$C153)=1,1,0))</f>
        <v/>
      </c>
      <c r="U153" s="39" t="str">
        <f>IF($T153=1,COUNTIF($T$2:$T153,1),"")</f>
        <v/>
      </c>
      <c r="V153" s="39" t="str">
        <f>IF($B153="","",IF(COUNTIF($B$2:$B153,$B153)=1,1,0))</f>
        <v/>
      </c>
      <c r="W153" s="39" t="str">
        <f>IF($V153=1,COUNTIF($V$2:$V153,1),"")</f>
        <v/>
      </c>
      <c r="X153" s="39" t="str">
        <f>IF($A153="","",IF(COUNTIF($A$2:$A153,$A153)=1,1,0))</f>
        <v/>
      </c>
      <c r="Y153" s="39" t="str">
        <f>IF($X153=1,COUNTIF($X$2:$X153,1),"")</f>
        <v/>
      </c>
      <c r="Z153" s="39">
        <f>IF(AND($E153="timed",$N153&gt;Settings!$C$8),1,0)</f>
        <v>0</v>
      </c>
      <c r="AA153" s="39">
        <f t="shared" si="40"/>
        <v>0</v>
      </c>
      <c r="AB153" s="39">
        <f t="shared" si="41"/>
        <v>0</v>
      </c>
      <c r="AC153" s="39" t="str">
        <f t="shared" si="42"/>
        <v/>
      </c>
      <c r="AD153" s="39" t="str">
        <f t="shared" si="43"/>
        <v/>
      </c>
      <c r="AE153" s="39" t="str">
        <f t="shared" si="44"/>
        <v/>
      </c>
      <c r="AF153" s="106" t="str">
        <f t="shared" si="45"/>
        <v/>
      </c>
      <c r="AG153" s="39">
        <f t="shared" si="46"/>
        <v>0</v>
      </c>
      <c r="AH153" s="39" t="str">
        <f t="shared" si="47"/>
        <v/>
      </c>
      <c r="AI153" s="39">
        <f>IF(AND($E153="timed",$N153&gt;=Settings!$C$9),1,0)</f>
        <v>0</v>
      </c>
      <c r="AJ153" s="39" t="str">
        <f>IF(OR($S153="",Settings!$C$16=""),"",IF($S153&lt;=Settings!$C$16,1,2))</f>
        <v/>
      </c>
      <c r="AK153" s="39" t="str">
        <f>IF($C153="","",IFERROR(IF(INDEX(Settings!$C$20:$C$59,MATCH($C153,Settings!$B$20:$B$59,0))="",Settings!$C$10,INDEX(Settings!$C$20:$C$59,MATCH($C153,Settings!$B$20:$B$59,0))),Settings!$C$10))</f>
        <v/>
      </c>
      <c r="AL153" s="108">
        <f t="shared" si="48"/>
        <v>0</v>
      </c>
      <c r="AM153" s="39" t="str">
        <f t="shared" si="49"/>
        <v/>
      </c>
      <c r="AN153" s="39" t="str">
        <f t="shared" si="50"/>
        <v/>
      </c>
      <c r="AO153" s="39" t="str">
        <f t="shared" si="51"/>
        <v/>
      </c>
      <c r="AP153" s="39">
        <f t="shared" si="52"/>
        <v>0</v>
      </c>
      <c r="AQ153" s="39">
        <f t="shared" si="53"/>
        <v>0</v>
      </c>
    </row>
    <row r="154" spans="14:43" x14ac:dyDescent="0.25">
      <c r="N154" s="105">
        <f t="shared" si="36"/>
        <v>0</v>
      </c>
      <c r="O154" s="106" t="str">
        <f>IF($F154="","",IF(ISNUMBER($F154),$F154+Settings!$C$7/24,IFERROR(DATEVALUE(LEFT($F154,10))+TIMEVALUE(MID($F154,12,8))+Settings!$C$7/24,"")))</f>
        <v/>
      </c>
      <c r="P154" s="106" t="str">
        <f>IF($G154="","",IF(ISNUMBER($G154),$G154+Settings!$C$7/24,IFERROR(DATEVALUE(LEFT($G154,10))+TIMEVALUE(MID($G154,12,8))+Settings!$C$7/24,"")))</f>
        <v/>
      </c>
      <c r="Q154" s="39" t="str">
        <f t="shared" si="37"/>
        <v/>
      </c>
      <c r="R154" s="39" t="str">
        <f t="shared" si="38"/>
        <v/>
      </c>
      <c r="S154" s="107" t="str">
        <f t="shared" si="39"/>
        <v/>
      </c>
      <c r="T154" s="39" t="str">
        <f>IF($C154="","",IF(COUNTIF($C$2:$C154,$C154)=1,1,0))</f>
        <v/>
      </c>
      <c r="U154" s="39" t="str">
        <f>IF($T154=1,COUNTIF($T$2:$T154,1),"")</f>
        <v/>
      </c>
      <c r="V154" s="39" t="str">
        <f>IF($B154="","",IF(COUNTIF($B$2:$B154,$B154)=1,1,0))</f>
        <v/>
      </c>
      <c r="W154" s="39" t="str">
        <f>IF($V154=1,COUNTIF($V$2:$V154,1),"")</f>
        <v/>
      </c>
      <c r="X154" s="39" t="str">
        <f>IF($A154="","",IF(COUNTIF($A$2:$A154,$A154)=1,1,0))</f>
        <v/>
      </c>
      <c r="Y154" s="39" t="str">
        <f>IF($X154=1,COUNTIF($X$2:$X154,1),"")</f>
        <v/>
      </c>
      <c r="Z154" s="39">
        <f>IF(AND($E154="timed",$N154&gt;Settings!$C$8),1,0)</f>
        <v>0</v>
      </c>
      <c r="AA154" s="39">
        <f t="shared" si="40"/>
        <v>0</v>
      </c>
      <c r="AB154" s="39">
        <f t="shared" si="41"/>
        <v>0</v>
      </c>
      <c r="AC154" s="39" t="str">
        <f t="shared" si="42"/>
        <v/>
      </c>
      <c r="AD154" s="39" t="str">
        <f t="shared" si="43"/>
        <v/>
      </c>
      <c r="AE154" s="39" t="str">
        <f t="shared" si="44"/>
        <v/>
      </c>
      <c r="AF154" s="106" t="str">
        <f t="shared" si="45"/>
        <v/>
      </c>
      <c r="AG154" s="39">
        <f t="shared" si="46"/>
        <v>0</v>
      </c>
      <c r="AH154" s="39" t="str">
        <f t="shared" si="47"/>
        <v/>
      </c>
      <c r="AI154" s="39">
        <f>IF(AND($E154="timed",$N154&gt;=Settings!$C$9),1,0)</f>
        <v>0</v>
      </c>
      <c r="AJ154" s="39" t="str">
        <f>IF(OR($S154="",Settings!$C$16=""),"",IF($S154&lt;=Settings!$C$16,1,2))</f>
        <v/>
      </c>
      <c r="AK154" s="39" t="str">
        <f>IF($C154="","",IFERROR(IF(INDEX(Settings!$C$20:$C$59,MATCH($C154,Settings!$B$20:$B$59,0))="",Settings!$C$10,INDEX(Settings!$C$20:$C$59,MATCH($C154,Settings!$B$20:$B$59,0))),Settings!$C$10))</f>
        <v/>
      </c>
      <c r="AL154" s="108">
        <f t="shared" si="48"/>
        <v>0</v>
      </c>
      <c r="AM154" s="39" t="str">
        <f t="shared" si="49"/>
        <v/>
      </c>
      <c r="AN154" s="39" t="str">
        <f t="shared" si="50"/>
        <v/>
      </c>
      <c r="AO154" s="39" t="str">
        <f t="shared" si="51"/>
        <v/>
      </c>
      <c r="AP154" s="39">
        <f t="shared" si="52"/>
        <v>0</v>
      </c>
      <c r="AQ154" s="39">
        <f t="shared" si="53"/>
        <v>0</v>
      </c>
    </row>
    <row r="155" spans="14:43" x14ac:dyDescent="0.25">
      <c r="N155" s="105">
        <f t="shared" si="36"/>
        <v>0</v>
      </c>
      <c r="O155" s="106" t="str">
        <f>IF($F155="","",IF(ISNUMBER($F155),$F155+Settings!$C$7/24,IFERROR(DATEVALUE(LEFT($F155,10))+TIMEVALUE(MID($F155,12,8))+Settings!$C$7/24,"")))</f>
        <v/>
      </c>
      <c r="P155" s="106" t="str">
        <f>IF($G155="","",IF(ISNUMBER($G155),$G155+Settings!$C$7/24,IFERROR(DATEVALUE(LEFT($G155,10))+TIMEVALUE(MID($G155,12,8))+Settings!$C$7/24,"")))</f>
        <v/>
      </c>
      <c r="Q155" s="39" t="str">
        <f t="shared" si="37"/>
        <v/>
      </c>
      <c r="R155" s="39" t="str">
        <f t="shared" si="38"/>
        <v/>
      </c>
      <c r="S155" s="107" t="str">
        <f t="shared" si="39"/>
        <v/>
      </c>
      <c r="T155" s="39" t="str">
        <f>IF($C155="","",IF(COUNTIF($C$2:$C155,$C155)=1,1,0))</f>
        <v/>
      </c>
      <c r="U155" s="39" t="str">
        <f>IF($T155=1,COUNTIF($T$2:$T155,1),"")</f>
        <v/>
      </c>
      <c r="V155" s="39" t="str">
        <f>IF($B155="","",IF(COUNTIF($B$2:$B155,$B155)=1,1,0))</f>
        <v/>
      </c>
      <c r="W155" s="39" t="str">
        <f>IF($V155=1,COUNTIF($V$2:$V155,1),"")</f>
        <v/>
      </c>
      <c r="X155" s="39" t="str">
        <f>IF($A155="","",IF(COUNTIF($A$2:$A155,$A155)=1,1,0))</f>
        <v/>
      </c>
      <c r="Y155" s="39" t="str">
        <f>IF($X155=1,COUNTIF($X$2:$X155,1),"")</f>
        <v/>
      </c>
      <c r="Z155" s="39">
        <f>IF(AND($E155="timed",$N155&gt;Settings!$C$8),1,0)</f>
        <v>0</v>
      </c>
      <c r="AA155" s="39">
        <f t="shared" si="40"/>
        <v>0</v>
      </c>
      <c r="AB155" s="39">
        <f t="shared" si="41"/>
        <v>0</v>
      </c>
      <c r="AC155" s="39" t="str">
        <f t="shared" si="42"/>
        <v/>
      </c>
      <c r="AD155" s="39" t="str">
        <f t="shared" si="43"/>
        <v/>
      </c>
      <c r="AE155" s="39" t="str">
        <f t="shared" si="44"/>
        <v/>
      </c>
      <c r="AF155" s="106" t="str">
        <f t="shared" si="45"/>
        <v/>
      </c>
      <c r="AG155" s="39">
        <f t="shared" si="46"/>
        <v>0</v>
      </c>
      <c r="AH155" s="39" t="str">
        <f t="shared" si="47"/>
        <v/>
      </c>
      <c r="AI155" s="39">
        <f>IF(AND($E155="timed",$N155&gt;=Settings!$C$9),1,0)</f>
        <v>0</v>
      </c>
      <c r="AJ155" s="39" t="str">
        <f>IF(OR($S155="",Settings!$C$16=""),"",IF($S155&lt;=Settings!$C$16,1,2))</f>
        <v/>
      </c>
      <c r="AK155" s="39" t="str">
        <f>IF($C155="","",IFERROR(IF(INDEX(Settings!$C$20:$C$59,MATCH($C155,Settings!$B$20:$B$59,0))="",Settings!$C$10,INDEX(Settings!$C$20:$C$59,MATCH($C155,Settings!$B$20:$B$59,0))),Settings!$C$10))</f>
        <v/>
      </c>
      <c r="AL155" s="108">
        <f t="shared" si="48"/>
        <v>0</v>
      </c>
      <c r="AM155" s="39" t="str">
        <f t="shared" si="49"/>
        <v/>
      </c>
      <c r="AN155" s="39" t="str">
        <f t="shared" si="50"/>
        <v/>
      </c>
      <c r="AO155" s="39" t="str">
        <f t="shared" si="51"/>
        <v/>
      </c>
      <c r="AP155" s="39">
        <f t="shared" si="52"/>
        <v>0</v>
      </c>
      <c r="AQ155" s="39">
        <f t="shared" si="53"/>
        <v>0</v>
      </c>
    </row>
    <row r="156" spans="14:43" x14ac:dyDescent="0.25">
      <c r="N156" s="105">
        <f t="shared" si="36"/>
        <v>0</v>
      </c>
      <c r="O156" s="106" t="str">
        <f>IF($F156="","",IF(ISNUMBER($F156),$F156+Settings!$C$7/24,IFERROR(DATEVALUE(LEFT($F156,10))+TIMEVALUE(MID($F156,12,8))+Settings!$C$7/24,"")))</f>
        <v/>
      </c>
      <c r="P156" s="106" t="str">
        <f>IF($G156="","",IF(ISNUMBER($G156),$G156+Settings!$C$7/24,IFERROR(DATEVALUE(LEFT($G156,10))+TIMEVALUE(MID($G156,12,8))+Settings!$C$7/24,"")))</f>
        <v/>
      </c>
      <c r="Q156" s="39" t="str">
        <f t="shared" si="37"/>
        <v/>
      </c>
      <c r="R156" s="39" t="str">
        <f t="shared" si="38"/>
        <v/>
      </c>
      <c r="S156" s="107" t="str">
        <f t="shared" si="39"/>
        <v/>
      </c>
      <c r="T156" s="39" t="str">
        <f>IF($C156="","",IF(COUNTIF($C$2:$C156,$C156)=1,1,0))</f>
        <v/>
      </c>
      <c r="U156" s="39" t="str">
        <f>IF($T156=1,COUNTIF($T$2:$T156,1),"")</f>
        <v/>
      </c>
      <c r="V156" s="39" t="str">
        <f>IF($B156="","",IF(COUNTIF($B$2:$B156,$B156)=1,1,0))</f>
        <v/>
      </c>
      <c r="W156" s="39" t="str">
        <f>IF($V156=1,COUNTIF($V$2:$V156,1),"")</f>
        <v/>
      </c>
      <c r="X156" s="39" t="str">
        <f>IF($A156="","",IF(COUNTIF($A$2:$A156,$A156)=1,1,0))</f>
        <v/>
      </c>
      <c r="Y156" s="39" t="str">
        <f>IF($X156=1,COUNTIF($X$2:$X156,1),"")</f>
        <v/>
      </c>
      <c r="Z156" s="39">
        <f>IF(AND($E156="timed",$N156&gt;Settings!$C$8),1,0)</f>
        <v>0</v>
      </c>
      <c r="AA156" s="39">
        <f t="shared" si="40"/>
        <v>0</v>
      </c>
      <c r="AB156" s="39">
        <f t="shared" si="41"/>
        <v>0</v>
      </c>
      <c r="AC156" s="39" t="str">
        <f t="shared" si="42"/>
        <v/>
      </c>
      <c r="AD156" s="39" t="str">
        <f t="shared" si="43"/>
        <v/>
      </c>
      <c r="AE156" s="39" t="str">
        <f t="shared" si="44"/>
        <v/>
      </c>
      <c r="AF156" s="106" t="str">
        <f t="shared" si="45"/>
        <v/>
      </c>
      <c r="AG156" s="39">
        <f t="shared" si="46"/>
        <v>0</v>
      </c>
      <c r="AH156" s="39" t="str">
        <f t="shared" si="47"/>
        <v/>
      </c>
      <c r="AI156" s="39">
        <f>IF(AND($E156="timed",$N156&gt;=Settings!$C$9),1,0)</f>
        <v>0</v>
      </c>
      <c r="AJ156" s="39" t="str">
        <f>IF(OR($S156="",Settings!$C$16=""),"",IF($S156&lt;=Settings!$C$16,1,2))</f>
        <v/>
      </c>
      <c r="AK156" s="39" t="str">
        <f>IF($C156="","",IFERROR(IF(INDEX(Settings!$C$20:$C$59,MATCH($C156,Settings!$B$20:$B$59,0))="",Settings!$C$10,INDEX(Settings!$C$20:$C$59,MATCH($C156,Settings!$B$20:$B$59,0))),Settings!$C$10))</f>
        <v/>
      </c>
      <c r="AL156" s="108">
        <f t="shared" si="48"/>
        <v>0</v>
      </c>
      <c r="AM156" s="39" t="str">
        <f t="shared" si="49"/>
        <v/>
      </c>
      <c r="AN156" s="39" t="str">
        <f t="shared" si="50"/>
        <v/>
      </c>
      <c r="AO156" s="39" t="str">
        <f t="shared" si="51"/>
        <v/>
      </c>
      <c r="AP156" s="39">
        <f t="shared" si="52"/>
        <v>0</v>
      </c>
      <c r="AQ156" s="39">
        <f t="shared" si="53"/>
        <v>0</v>
      </c>
    </row>
    <row r="157" spans="14:43" x14ac:dyDescent="0.25">
      <c r="N157" s="105">
        <f t="shared" si="36"/>
        <v>0</v>
      </c>
      <c r="O157" s="106" t="str">
        <f>IF($F157="","",IF(ISNUMBER($F157),$F157+Settings!$C$7/24,IFERROR(DATEVALUE(LEFT($F157,10))+TIMEVALUE(MID($F157,12,8))+Settings!$C$7/24,"")))</f>
        <v/>
      </c>
      <c r="P157" s="106" t="str">
        <f>IF($G157="","",IF(ISNUMBER($G157),$G157+Settings!$C$7/24,IFERROR(DATEVALUE(LEFT($G157,10))+TIMEVALUE(MID($G157,12,8))+Settings!$C$7/24,"")))</f>
        <v/>
      </c>
      <c r="Q157" s="39" t="str">
        <f t="shared" si="37"/>
        <v/>
      </c>
      <c r="R157" s="39" t="str">
        <f t="shared" si="38"/>
        <v/>
      </c>
      <c r="S157" s="107" t="str">
        <f t="shared" si="39"/>
        <v/>
      </c>
      <c r="T157" s="39" t="str">
        <f>IF($C157="","",IF(COUNTIF($C$2:$C157,$C157)=1,1,0))</f>
        <v/>
      </c>
      <c r="U157" s="39" t="str">
        <f>IF($T157=1,COUNTIF($T$2:$T157,1),"")</f>
        <v/>
      </c>
      <c r="V157" s="39" t="str">
        <f>IF($B157="","",IF(COUNTIF($B$2:$B157,$B157)=1,1,0))</f>
        <v/>
      </c>
      <c r="W157" s="39" t="str">
        <f>IF($V157=1,COUNTIF($V$2:$V157,1),"")</f>
        <v/>
      </c>
      <c r="X157" s="39" t="str">
        <f>IF($A157="","",IF(COUNTIF($A$2:$A157,$A157)=1,1,0))</f>
        <v/>
      </c>
      <c r="Y157" s="39" t="str">
        <f>IF($X157=1,COUNTIF($X$2:$X157,1),"")</f>
        <v/>
      </c>
      <c r="Z157" s="39">
        <f>IF(AND($E157="timed",$N157&gt;Settings!$C$8),1,0)</f>
        <v>0</v>
      </c>
      <c r="AA157" s="39">
        <f t="shared" si="40"/>
        <v>0</v>
      </c>
      <c r="AB157" s="39">
        <f t="shared" si="41"/>
        <v>0</v>
      </c>
      <c r="AC157" s="39" t="str">
        <f t="shared" si="42"/>
        <v/>
      </c>
      <c r="AD157" s="39" t="str">
        <f t="shared" si="43"/>
        <v/>
      </c>
      <c r="AE157" s="39" t="str">
        <f t="shared" si="44"/>
        <v/>
      </c>
      <c r="AF157" s="106" t="str">
        <f t="shared" si="45"/>
        <v/>
      </c>
      <c r="AG157" s="39">
        <f t="shared" si="46"/>
        <v>0</v>
      </c>
      <c r="AH157" s="39" t="str">
        <f t="shared" si="47"/>
        <v/>
      </c>
      <c r="AI157" s="39">
        <f>IF(AND($E157="timed",$N157&gt;=Settings!$C$9),1,0)</f>
        <v>0</v>
      </c>
      <c r="AJ157" s="39" t="str">
        <f>IF(OR($S157="",Settings!$C$16=""),"",IF($S157&lt;=Settings!$C$16,1,2))</f>
        <v/>
      </c>
      <c r="AK157" s="39" t="str">
        <f>IF($C157="","",IFERROR(IF(INDEX(Settings!$C$20:$C$59,MATCH($C157,Settings!$B$20:$B$59,0))="",Settings!$C$10,INDEX(Settings!$C$20:$C$59,MATCH($C157,Settings!$B$20:$B$59,0))),Settings!$C$10))</f>
        <v/>
      </c>
      <c r="AL157" s="108">
        <f t="shared" si="48"/>
        <v>0</v>
      </c>
      <c r="AM157" s="39" t="str">
        <f t="shared" si="49"/>
        <v/>
      </c>
      <c r="AN157" s="39" t="str">
        <f t="shared" si="50"/>
        <v/>
      </c>
      <c r="AO157" s="39" t="str">
        <f t="shared" si="51"/>
        <v/>
      </c>
      <c r="AP157" s="39">
        <f t="shared" si="52"/>
        <v>0</v>
      </c>
      <c r="AQ157" s="39">
        <f t="shared" si="53"/>
        <v>0</v>
      </c>
    </row>
    <row r="158" spans="14:43" x14ac:dyDescent="0.25">
      <c r="N158" s="105">
        <f t="shared" si="36"/>
        <v>0</v>
      </c>
      <c r="O158" s="106" t="str">
        <f>IF($F158="","",IF(ISNUMBER($F158),$F158+Settings!$C$7/24,IFERROR(DATEVALUE(LEFT($F158,10))+TIMEVALUE(MID($F158,12,8))+Settings!$C$7/24,"")))</f>
        <v/>
      </c>
      <c r="P158" s="106" t="str">
        <f>IF($G158="","",IF(ISNUMBER($G158),$G158+Settings!$C$7/24,IFERROR(DATEVALUE(LEFT($G158,10))+TIMEVALUE(MID($G158,12,8))+Settings!$C$7/24,"")))</f>
        <v/>
      </c>
      <c r="Q158" s="39" t="str">
        <f t="shared" si="37"/>
        <v/>
      </c>
      <c r="R158" s="39" t="str">
        <f t="shared" si="38"/>
        <v/>
      </c>
      <c r="S158" s="107" t="str">
        <f t="shared" si="39"/>
        <v/>
      </c>
      <c r="T158" s="39" t="str">
        <f>IF($C158="","",IF(COUNTIF($C$2:$C158,$C158)=1,1,0))</f>
        <v/>
      </c>
      <c r="U158" s="39" t="str">
        <f>IF($T158=1,COUNTIF($T$2:$T158,1),"")</f>
        <v/>
      </c>
      <c r="V158" s="39" t="str">
        <f>IF($B158="","",IF(COUNTIF($B$2:$B158,$B158)=1,1,0))</f>
        <v/>
      </c>
      <c r="W158" s="39" t="str">
        <f>IF($V158=1,COUNTIF($V$2:$V158,1),"")</f>
        <v/>
      </c>
      <c r="X158" s="39" t="str">
        <f>IF($A158="","",IF(COUNTIF($A$2:$A158,$A158)=1,1,0))</f>
        <v/>
      </c>
      <c r="Y158" s="39" t="str">
        <f>IF($X158=1,COUNTIF($X$2:$X158,1),"")</f>
        <v/>
      </c>
      <c r="Z158" s="39">
        <f>IF(AND($E158="timed",$N158&gt;Settings!$C$8),1,0)</f>
        <v>0</v>
      </c>
      <c r="AA158" s="39">
        <f t="shared" si="40"/>
        <v>0</v>
      </c>
      <c r="AB158" s="39">
        <f t="shared" si="41"/>
        <v>0</v>
      </c>
      <c r="AC158" s="39" t="str">
        <f t="shared" si="42"/>
        <v/>
      </c>
      <c r="AD158" s="39" t="str">
        <f t="shared" si="43"/>
        <v/>
      </c>
      <c r="AE158" s="39" t="str">
        <f t="shared" si="44"/>
        <v/>
      </c>
      <c r="AF158" s="106" t="str">
        <f t="shared" si="45"/>
        <v/>
      </c>
      <c r="AG158" s="39">
        <f t="shared" si="46"/>
        <v>0</v>
      </c>
      <c r="AH158" s="39" t="str">
        <f t="shared" si="47"/>
        <v/>
      </c>
      <c r="AI158" s="39">
        <f>IF(AND($E158="timed",$N158&gt;=Settings!$C$9),1,0)</f>
        <v>0</v>
      </c>
      <c r="AJ158" s="39" t="str">
        <f>IF(OR($S158="",Settings!$C$16=""),"",IF($S158&lt;=Settings!$C$16,1,2))</f>
        <v/>
      </c>
      <c r="AK158" s="39" t="str">
        <f>IF($C158="","",IFERROR(IF(INDEX(Settings!$C$20:$C$59,MATCH($C158,Settings!$B$20:$B$59,0))="",Settings!$C$10,INDEX(Settings!$C$20:$C$59,MATCH($C158,Settings!$B$20:$B$59,0))),Settings!$C$10))</f>
        <v/>
      </c>
      <c r="AL158" s="108">
        <f t="shared" si="48"/>
        <v>0</v>
      </c>
      <c r="AM158" s="39" t="str">
        <f t="shared" si="49"/>
        <v/>
      </c>
      <c r="AN158" s="39" t="str">
        <f t="shared" si="50"/>
        <v/>
      </c>
      <c r="AO158" s="39" t="str">
        <f t="shared" si="51"/>
        <v/>
      </c>
      <c r="AP158" s="39">
        <f t="shared" si="52"/>
        <v>0</v>
      </c>
      <c r="AQ158" s="39">
        <f t="shared" si="53"/>
        <v>0</v>
      </c>
    </row>
    <row r="159" spans="14:43" x14ac:dyDescent="0.25">
      <c r="N159" s="105">
        <f t="shared" si="36"/>
        <v>0</v>
      </c>
      <c r="O159" s="106" t="str">
        <f>IF($F159="","",IF(ISNUMBER($F159),$F159+Settings!$C$7/24,IFERROR(DATEVALUE(LEFT($F159,10))+TIMEVALUE(MID($F159,12,8))+Settings!$C$7/24,"")))</f>
        <v/>
      </c>
      <c r="P159" s="106" t="str">
        <f>IF($G159="","",IF(ISNUMBER($G159),$G159+Settings!$C$7/24,IFERROR(DATEVALUE(LEFT($G159,10))+TIMEVALUE(MID($G159,12,8))+Settings!$C$7/24,"")))</f>
        <v/>
      </c>
      <c r="Q159" s="39" t="str">
        <f t="shared" si="37"/>
        <v/>
      </c>
      <c r="R159" s="39" t="str">
        <f t="shared" si="38"/>
        <v/>
      </c>
      <c r="S159" s="107" t="str">
        <f t="shared" si="39"/>
        <v/>
      </c>
      <c r="T159" s="39" t="str">
        <f>IF($C159="","",IF(COUNTIF($C$2:$C159,$C159)=1,1,0))</f>
        <v/>
      </c>
      <c r="U159" s="39" t="str">
        <f>IF($T159=1,COUNTIF($T$2:$T159,1),"")</f>
        <v/>
      </c>
      <c r="V159" s="39" t="str">
        <f>IF($B159="","",IF(COUNTIF($B$2:$B159,$B159)=1,1,0))</f>
        <v/>
      </c>
      <c r="W159" s="39" t="str">
        <f>IF($V159=1,COUNTIF($V$2:$V159,1),"")</f>
        <v/>
      </c>
      <c r="X159" s="39" t="str">
        <f>IF($A159="","",IF(COUNTIF($A$2:$A159,$A159)=1,1,0))</f>
        <v/>
      </c>
      <c r="Y159" s="39" t="str">
        <f>IF($X159=1,COUNTIF($X$2:$X159,1),"")</f>
        <v/>
      </c>
      <c r="Z159" s="39">
        <f>IF(AND($E159="timed",$N159&gt;Settings!$C$8),1,0)</f>
        <v>0</v>
      </c>
      <c r="AA159" s="39">
        <f t="shared" si="40"/>
        <v>0</v>
      </c>
      <c r="AB159" s="39">
        <f t="shared" si="41"/>
        <v>0</v>
      </c>
      <c r="AC159" s="39" t="str">
        <f t="shared" si="42"/>
        <v/>
      </c>
      <c r="AD159" s="39" t="str">
        <f t="shared" si="43"/>
        <v/>
      </c>
      <c r="AE159" s="39" t="str">
        <f t="shared" si="44"/>
        <v/>
      </c>
      <c r="AF159" s="106" t="str">
        <f t="shared" si="45"/>
        <v/>
      </c>
      <c r="AG159" s="39">
        <f t="shared" si="46"/>
        <v>0</v>
      </c>
      <c r="AH159" s="39" t="str">
        <f t="shared" si="47"/>
        <v/>
      </c>
      <c r="AI159" s="39">
        <f>IF(AND($E159="timed",$N159&gt;=Settings!$C$9),1,0)</f>
        <v>0</v>
      </c>
      <c r="AJ159" s="39" t="str">
        <f>IF(OR($S159="",Settings!$C$16=""),"",IF($S159&lt;=Settings!$C$16,1,2))</f>
        <v/>
      </c>
      <c r="AK159" s="39" t="str">
        <f>IF($C159="","",IFERROR(IF(INDEX(Settings!$C$20:$C$59,MATCH($C159,Settings!$B$20:$B$59,0))="",Settings!$C$10,INDEX(Settings!$C$20:$C$59,MATCH($C159,Settings!$B$20:$B$59,0))),Settings!$C$10))</f>
        <v/>
      </c>
      <c r="AL159" s="108">
        <f t="shared" si="48"/>
        <v>0</v>
      </c>
      <c r="AM159" s="39" t="str">
        <f t="shared" si="49"/>
        <v/>
      </c>
      <c r="AN159" s="39" t="str">
        <f t="shared" si="50"/>
        <v/>
      </c>
      <c r="AO159" s="39" t="str">
        <f t="shared" si="51"/>
        <v/>
      </c>
      <c r="AP159" s="39">
        <f t="shared" si="52"/>
        <v>0</v>
      </c>
      <c r="AQ159" s="39">
        <f t="shared" si="53"/>
        <v>0</v>
      </c>
    </row>
    <row r="160" spans="14:43" x14ac:dyDescent="0.25">
      <c r="N160" s="105">
        <f t="shared" si="36"/>
        <v>0</v>
      </c>
      <c r="O160" s="106" t="str">
        <f>IF($F160="","",IF(ISNUMBER($F160),$F160+Settings!$C$7/24,IFERROR(DATEVALUE(LEFT($F160,10))+TIMEVALUE(MID($F160,12,8))+Settings!$C$7/24,"")))</f>
        <v/>
      </c>
      <c r="P160" s="106" t="str">
        <f>IF($G160="","",IF(ISNUMBER($G160),$G160+Settings!$C$7/24,IFERROR(DATEVALUE(LEFT($G160,10))+TIMEVALUE(MID($G160,12,8))+Settings!$C$7/24,"")))</f>
        <v/>
      </c>
      <c r="Q160" s="39" t="str">
        <f t="shared" si="37"/>
        <v/>
      </c>
      <c r="R160" s="39" t="str">
        <f t="shared" si="38"/>
        <v/>
      </c>
      <c r="S160" s="107" t="str">
        <f t="shared" si="39"/>
        <v/>
      </c>
      <c r="T160" s="39" t="str">
        <f>IF($C160="","",IF(COUNTIF($C$2:$C160,$C160)=1,1,0))</f>
        <v/>
      </c>
      <c r="U160" s="39" t="str">
        <f>IF($T160=1,COUNTIF($T$2:$T160,1),"")</f>
        <v/>
      </c>
      <c r="V160" s="39" t="str">
        <f>IF($B160="","",IF(COUNTIF($B$2:$B160,$B160)=1,1,0))</f>
        <v/>
      </c>
      <c r="W160" s="39" t="str">
        <f>IF($V160=1,COUNTIF($V$2:$V160,1),"")</f>
        <v/>
      </c>
      <c r="X160" s="39" t="str">
        <f>IF($A160="","",IF(COUNTIF($A$2:$A160,$A160)=1,1,0))</f>
        <v/>
      </c>
      <c r="Y160" s="39" t="str">
        <f>IF($X160=1,COUNTIF($X$2:$X160,1),"")</f>
        <v/>
      </c>
      <c r="Z160" s="39">
        <f>IF(AND($E160="timed",$N160&gt;Settings!$C$8),1,0)</f>
        <v>0</v>
      </c>
      <c r="AA160" s="39">
        <f t="shared" si="40"/>
        <v>0</v>
      </c>
      <c r="AB160" s="39">
        <f t="shared" si="41"/>
        <v>0</v>
      </c>
      <c r="AC160" s="39" t="str">
        <f t="shared" si="42"/>
        <v/>
      </c>
      <c r="AD160" s="39" t="str">
        <f t="shared" si="43"/>
        <v/>
      </c>
      <c r="AE160" s="39" t="str">
        <f t="shared" si="44"/>
        <v/>
      </c>
      <c r="AF160" s="106" t="str">
        <f t="shared" si="45"/>
        <v/>
      </c>
      <c r="AG160" s="39">
        <f t="shared" si="46"/>
        <v>0</v>
      </c>
      <c r="AH160" s="39" t="str">
        <f t="shared" si="47"/>
        <v/>
      </c>
      <c r="AI160" s="39">
        <f>IF(AND($E160="timed",$N160&gt;=Settings!$C$9),1,0)</f>
        <v>0</v>
      </c>
      <c r="AJ160" s="39" t="str">
        <f>IF(OR($S160="",Settings!$C$16=""),"",IF($S160&lt;=Settings!$C$16,1,2))</f>
        <v/>
      </c>
      <c r="AK160" s="39" t="str">
        <f>IF($C160="","",IFERROR(IF(INDEX(Settings!$C$20:$C$59,MATCH($C160,Settings!$B$20:$B$59,0))="",Settings!$C$10,INDEX(Settings!$C$20:$C$59,MATCH($C160,Settings!$B$20:$B$59,0))),Settings!$C$10))</f>
        <v/>
      </c>
      <c r="AL160" s="108">
        <f t="shared" si="48"/>
        <v>0</v>
      </c>
      <c r="AM160" s="39" t="str">
        <f t="shared" si="49"/>
        <v/>
      </c>
      <c r="AN160" s="39" t="str">
        <f t="shared" si="50"/>
        <v/>
      </c>
      <c r="AO160" s="39" t="str">
        <f t="shared" si="51"/>
        <v/>
      </c>
      <c r="AP160" s="39">
        <f t="shared" si="52"/>
        <v>0</v>
      </c>
      <c r="AQ160" s="39">
        <f t="shared" si="53"/>
        <v>0</v>
      </c>
    </row>
    <row r="161" spans="14:43" x14ac:dyDescent="0.25">
      <c r="N161" s="105">
        <f t="shared" si="36"/>
        <v>0</v>
      </c>
      <c r="O161" s="106" t="str">
        <f>IF($F161="","",IF(ISNUMBER($F161),$F161+Settings!$C$7/24,IFERROR(DATEVALUE(LEFT($F161,10))+TIMEVALUE(MID($F161,12,8))+Settings!$C$7/24,"")))</f>
        <v/>
      </c>
      <c r="P161" s="106" t="str">
        <f>IF($G161="","",IF(ISNUMBER($G161),$G161+Settings!$C$7/24,IFERROR(DATEVALUE(LEFT($G161,10))+TIMEVALUE(MID($G161,12,8))+Settings!$C$7/24,"")))</f>
        <v/>
      </c>
      <c r="Q161" s="39" t="str">
        <f t="shared" si="37"/>
        <v/>
      </c>
      <c r="R161" s="39" t="str">
        <f t="shared" si="38"/>
        <v/>
      </c>
      <c r="S161" s="107" t="str">
        <f t="shared" si="39"/>
        <v/>
      </c>
      <c r="T161" s="39" t="str">
        <f>IF($C161="","",IF(COUNTIF($C$2:$C161,$C161)=1,1,0))</f>
        <v/>
      </c>
      <c r="U161" s="39" t="str">
        <f>IF($T161=1,COUNTIF($T$2:$T161,1),"")</f>
        <v/>
      </c>
      <c r="V161" s="39" t="str">
        <f>IF($B161="","",IF(COUNTIF($B$2:$B161,$B161)=1,1,0))</f>
        <v/>
      </c>
      <c r="W161" s="39" t="str">
        <f>IF($V161=1,COUNTIF($V$2:$V161,1),"")</f>
        <v/>
      </c>
      <c r="X161" s="39" t="str">
        <f>IF($A161="","",IF(COUNTIF($A$2:$A161,$A161)=1,1,0))</f>
        <v/>
      </c>
      <c r="Y161" s="39" t="str">
        <f>IF($X161=1,COUNTIF($X$2:$X161,1),"")</f>
        <v/>
      </c>
      <c r="Z161" s="39">
        <f>IF(AND($E161="timed",$N161&gt;Settings!$C$8),1,0)</f>
        <v>0</v>
      </c>
      <c r="AA161" s="39">
        <f t="shared" si="40"/>
        <v>0</v>
      </c>
      <c r="AB161" s="39">
        <f t="shared" si="41"/>
        <v>0</v>
      </c>
      <c r="AC161" s="39" t="str">
        <f t="shared" si="42"/>
        <v/>
      </c>
      <c r="AD161" s="39" t="str">
        <f t="shared" si="43"/>
        <v/>
      </c>
      <c r="AE161" s="39" t="str">
        <f t="shared" si="44"/>
        <v/>
      </c>
      <c r="AF161" s="106" t="str">
        <f t="shared" si="45"/>
        <v/>
      </c>
      <c r="AG161" s="39">
        <f t="shared" si="46"/>
        <v>0</v>
      </c>
      <c r="AH161" s="39" t="str">
        <f t="shared" si="47"/>
        <v/>
      </c>
      <c r="AI161" s="39">
        <f>IF(AND($E161="timed",$N161&gt;=Settings!$C$9),1,0)</f>
        <v>0</v>
      </c>
      <c r="AJ161" s="39" t="str">
        <f>IF(OR($S161="",Settings!$C$16=""),"",IF($S161&lt;=Settings!$C$16,1,2))</f>
        <v/>
      </c>
      <c r="AK161" s="39" t="str">
        <f>IF($C161="","",IFERROR(IF(INDEX(Settings!$C$20:$C$59,MATCH($C161,Settings!$B$20:$B$59,0))="",Settings!$C$10,INDEX(Settings!$C$20:$C$59,MATCH($C161,Settings!$B$20:$B$59,0))),Settings!$C$10))</f>
        <v/>
      </c>
      <c r="AL161" s="108">
        <f t="shared" si="48"/>
        <v>0</v>
      </c>
      <c r="AM161" s="39" t="str">
        <f t="shared" si="49"/>
        <v/>
      </c>
      <c r="AN161" s="39" t="str">
        <f t="shared" si="50"/>
        <v/>
      </c>
      <c r="AO161" s="39" t="str">
        <f t="shared" si="51"/>
        <v/>
      </c>
      <c r="AP161" s="39">
        <f t="shared" si="52"/>
        <v>0</v>
      </c>
      <c r="AQ161" s="39">
        <f t="shared" si="53"/>
        <v>0</v>
      </c>
    </row>
    <row r="162" spans="14:43" x14ac:dyDescent="0.25">
      <c r="N162" s="105">
        <f t="shared" si="36"/>
        <v>0</v>
      </c>
      <c r="O162" s="106" t="str">
        <f>IF($F162="","",IF(ISNUMBER($F162),$F162+Settings!$C$7/24,IFERROR(DATEVALUE(LEFT($F162,10))+TIMEVALUE(MID($F162,12,8))+Settings!$C$7/24,"")))</f>
        <v/>
      </c>
      <c r="P162" s="106" t="str">
        <f>IF($G162="","",IF(ISNUMBER($G162),$G162+Settings!$C$7/24,IFERROR(DATEVALUE(LEFT($G162,10))+TIMEVALUE(MID($G162,12,8))+Settings!$C$7/24,"")))</f>
        <v/>
      </c>
      <c r="Q162" s="39" t="str">
        <f t="shared" si="37"/>
        <v/>
      </c>
      <c r="R162" s="39" t="str">
        <f t="shared" si="38"/>
        <v/>
      </c>
      <c r="S162" s="107" t="str">
        <f t="shared" si="39"/>
        <v/>
      </c>
      <c r="T162" s="39" t="str">
        <f>IF($C162="","",IF(COUNTIF($C$2:$C162,$C162)=1,1,0))</f>
        <v/>
      </c>
      <c r="U162" s="39" t="str">
        <f>IF($T162=1,COUNTIF($T$2:$T162,1),"")</f>
        <v/>
      </c>
      <c r="V162" s="39" t="str">
        <f>IF($B162="","",IF(COUNTIF($B$2:$B162,$B162)=1,1,0))</f>
        <v/>
      </c>
      <c r="W162" s="39" t="str">
        <f>IF($V162=1,COUNTIF($V$2:$V162,1),"")</f>
        <v/>
      </c>
      <c r="X162" s="39" t="str">
        <f>IF($A162="","",IF(COUNTIF($A$2:$A162,$A162)=1,1,0))</f>
        <v/>
      </c>
      <c r="Y162" s="39" t="str">
        <f>IF($X162=1,COUNTIF($X$2:$X162,1),"")</f>
        <v/>
      </c>
      <c r="Z162" s="39">
        <f>IF(AND($E162="timed",$N162&gt;Settings!$C$8),1,0)</f>
        <v>0</v>
      </c>
      <c r="AA162" s="39">
        <f t="shared" si="40"/>
        <v>0</v>
      </c>
      <c r="AB162" s="39">
        <f t="shared" si="41"/>
        <v>0</v>
      </c>
      <c r="AC162" s="39" t="str">
        <f t="shared" si="42"/>
        <v/>
      </c>
      <c r="AD162" s="39" t="str">
        <f t="shared" si="43"/>
        <v/>
      </c>
      <c r="AE162" s="39" t="str">
        <f t="shared" si="44"/>
        <v/>
      </c>
      <c r="AF162" s="106" t="str">
        <f t="shared" si="45"/>
        <v/>
      </c>
      <c r="AG162" s="39">
        <f t="shared" si="46"/>
        <v>0</v>
      </c>
      <c r="AH162" s="39" t="str">
        <f t="shared" si="47"/>
        <v/>
      </c>
      <c r="AI162" s="39">
        <f>IF(AND($E162="timed",$N162&gt;=Settings!$C$9),1,0)</f>
        <v>0</v>
      </c>
      <c r="AJ162" s="39" t="str">
        <f>IF(OR($S162="",Settings!$C$16=""),"",IF($S162&lt;=Settings!$C$16,1,2))</f>
        <v/>
      </c>
      <c r="AK162" s="39" t="str">
        <f>IF($C162="","",IFERROR(IF(INDEX(Settings!$C$20:$C$59,MATCH($C162,Settings!$B$20:$B$59,0))="",Settings!$C$10,INDEX(Settings!$C$20:$C$59,MATCH($C162,Settings!$B$20:$B$59,0))),Settings!$C$10))</f>
        <v/>
      </c>
      <c r="AL162" s="108">
        <f t="shared" si="48"/>
        <v>0</v>
      </c>
      <c r="AM162" s="39" t="str">
        <f t="shared" si="49"/>
        <v/>
      </c>
      <c r="AN162" s="39" t="str">
        <f t="shared" si="50"/>
        <v/>
      </c>
      <c r="AO162" s="39" t="str">
        <f t="shared" si="51"/>
        <v/>
      </c>
      <c r="AP162" s="39">
        <f t="shared" si="52"/>
        <v>0</v>
      </c>
      <c r="AQ162" s="39">
        <f t="shared" si="53"/>
        <v>0</v>
      </c>
    </row>
    <row r="163" spans="14:43" x14ac:dyDescent="0.25">
      <c r="N163" s="105">
        <f t="shared" si="36"/>
        <v>0</v>
      </c>
      <c r="O163" s="106" t="str">
        <f>IF($F163="","",IF(ISNUMBER($F163),$F163+Settings!$C$7/24,IFERROR(DATEVALUE(LEFT($F163,10))+TIMEVALUE(MID($F163,12,8))+Settings!$C$7/24,"")))</f>
        <v/>
      </c>
      <c r="P163" s="106" t="str">
        <f>IF($G163="","",IF(ISNUMBER($G163),$G163+Settings!$C$7/24,IFERROR(DATEVALUE(LEFT($G163,10))+TIMEVALUE(MID($G163,12,8))+Settings!$C$7/24,"")))</f>
        <v/>
      </c>
      <c r="Q163" s="39" t="str">
        <f t="shared" si="37"/>
        <v/>
      </c>
      <c r="R163" s="39" t="str">
        <f t="shared" si="38"/>
        <v/>
      </c>
      <c r="S163" s="107" t="str">
        <f t="shared" si="39"/>
        <v/>
      </c>
      <c r="T163" s="39" t="str">
        <f>IF($C163="","",IF(COUNTIF($C$2:$C163,$C163)=1,1,0))</f>
        <v/>
      </c>
      <c r="U163" s="39" t="str">
        <f>IF($T163=1,COUNTIF($T$2:$T163,1),"")</f>
        <v/>
      </c>
      <c r="V163" s="39" t="str">
        <f>IF($B163="","",IF(COUNTIF($B$2:$B163,$B163)=1,1,0))</f>
        <v/>
      </c>
      <c r="W163" s="39" t="str">
        <f>IF($V163=1,COUNTIF($V$2:$V163,1),"")</f>
        <v/>
      </c>
      <c r="X163" s="39" t="str">
        <f>IF($A163="","",IF(COUNTIF($A$2:$A163,$A163)=1,1,0))</f>
        <v/>
      </c>
      <c r="Y163" s="39" t="str">
        <f>IF($X163=1,COUNTIF($X$2:$X163,1),"")</f>
        <v/>
      </c>
      <c r="Z163" s="39">
        <f>IF(AND($E163="timed",$N163&gt;Settings!$C$8),1,0)</f>
        <v>0</v>
      </c>
      <c r="AA163" s="39">
        <f t="shared" si="40"/>
        <v>0</v>
      </c>
      <c r="AB163" s="39">
        <f t="shared" si="41"/>
        <v>0</v>
      </c>
      <c r="AC163" s="39" t="str">
        <f t="shared" si="42"/>
        <v/>
      </c>
      <c r="AD163" s="39" t="str">
        <f t="shared" si="43"/>
        <v/>
      </c>
      <c r="AE163" s="39" t="str">
        <f t="shared" si="44"/>
        <v/>
      </c>
      <c r="AF163" s="106" t="str">
        <f t="shared" si="45"/>
        <v/>
      </c>
      <c r="AG163" s="39">
        <f t="shared" si="46"/>
        <v>0</v>
      </c>
      <c r="AH163" s="39" t="str">
        <f t="shared" si="47"/>
        <v/>
      </c>
      <c r="AI163" s="39">
        <f>IF(AND($E163="timed",$N163&gt;=Settings!$C$9),1,0)</f>
        <v>0</v>
      </c>
      <c r="AJ163" s="39" t="str">
        <f>IF(OR($S163="",Settings!$C$16=""),"",IF($S163&lt;=Settings!$C$16,1,2))</f>
        <v/>
      </c>
      <c r="AK163" s="39" t="str">
        <f>IF($C163="","",IFERROR(IF(INDEX(Settings!$C$20:$C$59,MATCH($C163,Settings!$B$20:$B$59,0))="",Settings!$C$10,INDEX(Settings!$C$20:$C$59,MATCH($C163,Settings!$B$20:$B$59,0))),Settings!$C$10))</f>
        <v/>
      </c>
      <c r="AL163" s="108">
        <f t="shared" si="48"/>
        <v>0</v>
      </c>
      <c r="AM163" s="39" t="str">
        <f t="shared" si="49"/>
        <v/>
      </c>
      <c r="AN163" s="39" t="str">
        <f t="shared" si="50"/>
        <v/>
      </c>
      <c r="AO163" s="39" t="str">
        <f t="shared" si="51"/>
        <v/>
      </c>
      <c r="AP163" s="39">
        <f t="shared" si="52"/>
        <v>0</v>
      </c>
      <c r="AQ163" s="39">
        <f t="shared" si="53"/>
        <v>0</v>
      </c>
    </row>
    <row r="164" spans="14:43" x14ac:dyDescent="0.25">
      <c r="N164" s="105">
        <f t="shared" si="36"/>
        <v>0</v>
      </c>
      <c r="O164" s="106" t="str">
        <f>IF($F164="","",IF(ISNUMBER($F164),$F164+Settings!$C$7/24,IFERROR(DATEVALUE(LEFT($F164,10))+TIMEVALUE(MID($F164,12,8))+Settings!$C$7/24,"")))</f>
        <v/>
      </c>
      <c r="P164" s="106" t="str">
        <f>IF($G164="","",IF(ISNUMBER($G164),$G164+Settings!$C$7/24,IFERROR(DATEVALUE(LEFT($G164,10))+TIMEVALUE(MID($G164,12,8))+Settings!$C$7/24,"")))</f>
        <v/>
      </c>
      <c r="Q164" s="39" t="str">
        <f t="shared" si="37"/>
        <v/>
      </c>
      <c r="R164" s="39" t="str">
        <f t="shared" si="38"/>
        <v/>
      </c>
      <c r="S164" s="107" t="str">
        <f t="shared" si="39"/>
        <v/>
      </c>
      <c r="T164" s="39" t="str">
        <f>IF($C164="","",IF(COUNTIF($C$2:$C164,$C164)=1,1,0))</f>
        <v/>
      </c>
      <c r="U164" s="39" t="str">
        <f>IF($T164=1,COUNTIF($T$2:$T164,1),"")</f>
        <v/>
      </c>
      <c r="V164" s="39" t="str">
        <f>IF($B164="","",IF(COUNTIF($B$2:$B164,$B164)=1,1,0))</f>
        <v/>
      </c>
      <c r="W164" s="39" t="str">
        <f>IF($V164=1,COUNTIF($V$2:$V164,1),"")</f>
        <v/>
      </c>
      <c r="X164" s="39" t="str">
        <f>IF($A164="","",IF(COUNTIF($A$2:$A164,$A164)=1,1,0))</f>
        <v/>
      </c>
      <c r="Y164" s="39" t="str">
        <f>IF($X164=1,COUNTIF($X$2:$X164,1),"")</f>
        <v/>
      </c>
      <c r="Z164" s="39">
        <f>IF(AND($E164="timed",$N164&gt;Settings!$C$8),1,0)</f>
        <v>0</v>
      </c>
      <c r="AA164" s="39">
        <f t="shared" si="40"/>
        <v>0</v>
      </c>
      <c r="AB164" s="39">
        <f t="shared" si="41"/>
        <v>0</v>
      </c>
      <c r="AC164" s="39" t="str">
        <f t="shared" si="42"/>
        <v/>
      </c>
      <c r="AD164" s="39" t="str">
        <f t="shared" si="43"/>
        <v/>
      </c>
      <c r="AE164" s="39" t="str">
        <f t="shared" si="44"/>
        <v/>
      </c>
      <c r="AF164" s="106" t="str">
        <f t="shared" si="45"/>
        <v/>
      </c>
      <c r="AG164" s="39">
        <f t="shared" si="46"/>
        <v>0</v>
      </c>
      <c r="AH164" s="39" t="str">
        <f t="shared" si="47"/>
        <v/>
      </c>
      <c r="AI164" s="39">
        <f>IF(AND($E164="timed",$N164&gt;=Settings!$C$9),1,0)</f>
        <v>0</v>
      </c>
      <c r="AJ164" s="39" t="str">
        <f>IF(OR($S164="",Settings!$C$16=""),"",IF($S164&lt;=Settings!$C$16,1,2))</f>
        <v/>
      </c>
      <c r="AK164" s="39" t="str">
        <f>IF($C164="","",IFERROR(IF(INDEX(Settings!$C$20:$C$59,MATCH($C164,Settings!$B$20:$B$59,0))="",Settings!$C$10,INDEX(Settings!$C$20:$C$59,MATCH($C164,Settings!$B$20:$B$59,0))),Settings!$C$10))</f>
        <v/>
      </c>
      <c r="AL164" s="108">
        <f t="shared" si="48"/>
        <v>0</v>
      </c>
      <c r="AM164" s="39" t="str">
        <f t="shared" si="49"/>
        <v/>
      </c>
      <c r="AN164" s="39" t="str">
        <f t="shared" si="50"/>
        <v/>
      </c>
      <c r="AO164" s="39" t="str">
        <f t="shared" si="51"/>
        <v/>
      </c>
      <c r="AP164" s="39">
        <f t="shared" si="52"/>
        <v>0</v>
      </c>
      <c r="AQ164" s="39">
        <f t="shared" si="53"/>
        <v>0</v>
      </c>
    </row>
    <row r="165" spans="14:43" x14ac:dyDescent="0.25">
      <c r="N165" s="105">
        <f t="shared" si="36"/>
        <v>0</v>
      </c>
      <c r="O165" s="106" t="str">
        <f>IF($F165="","",IF(ISNUMBER($F165),$F165+Settings!$C$7/24,IFERROR(DATEVALUE(LEFT($F165,10))+TIMEVALUE(MID($F165,12,8))+Settings!$C$7/24,"")))</f>
        <v/>
      </c>
      <c r="P165" s="106" t="str">
        <f>IF($G165="","",IF(ISNUMBER($G165),$G165+Settings!$C$7/24,IFERROR(DATEVALUE(LEFT($G165,10))+TIMEVALUE(MID($G165,12,8))+Settings!$C$7/24,"")))</f>
        <v/>
      </c>
      <c r="Q165" s="39" t="str">
        <f t="shared" si="37"/>
        <v/>
      </c>
      <c r="R165" s="39" t="str">
        <f t="shared" si="38"/>
        <v/>
      </c>
      <c r="S165" s="107" t="str">
        <f t="shared" si="39"/>
        <v/>
      </c>
      <c r="T165" s="39" t="str">
        <f>IF($C165="","",IF(COUNTIF($C$2:$C165,$C165)=1,1,0))</f>
        <v/>
      </c>
      <c r="U165" s="39" t="str">
        <f>IF($T165=1,COUNTIF($T$2:$T165,1),"")</f>
        <v/>
      </c>
      <c r="V165" s="39" t="str">
        <f>IF($B165="","",IF(COUNTIF($B$2:$B165,$B165)=1,1,0))</f>
        <v/>
      </c>
      <c r="W165" s="39" t="str">
        <f>IF($V165=1,COUNTIF($V$2:$V165,1),"")</f>
        <v/>
      </c>
      <c r="X165" s="39" t="str">
        <f>IF($A165="","",IF(COUNTIF($A$2:$A165,$A165)=1,1,0))</f>
        <v/>
      </c>
      <c r="Y165" s="39" t="str">
        <f>IF($X165=1,COUNTIF($X$2:$X165,1),"")</f>
        <v/>
      </c>
      <c r="Z165" s="39">
        <f>IF(AND($E165="timed",$N165&gt;Settings!$C$8),1,0)</f>
        <v>0</v>
      </c>
      <c r="AA165" s="39">
        <f t="shared" si="40"/>
        <v>0</v>
      </c>
      <c r="AB165" s="39">
        <f t="shared" si="41"/>
        <v>0</v>
      </c>
      <c r="AC165" s="39" t="str">
        <f t="shared" si="42"/>
        <v/>
      </c>
      <c r="AD165" s="39" t="str">
        <f t="shared" si="43"/>
        <v/>
      </c>
      <c r="AE165" s="39" t="str">
        <f t="shared" si="44"/>
        <v/>
      </c>
      <c r="AF165" s="106" t="str">
        <f t="shared" si="45"/>
        <v/>
      </c>
      <c r="AG165" s="39">
        <f t="shared" si="46"/>
        <v>0</v>
      </c>
      <c r="AH165" s="39" t="str">
        <f t="shared" si="47"/>
        <v/>
      </c>
      <c r="AI165" s="39">
        <f>IF(AND($E165="timed",$N165&gt;=Settings!$C$9),1,0)</f>
        <v>0</v>
      </c>
      <c r="AJ165" s="39" t="str">
        <f>IF(OR($S165="",Settings!$C$16=""),"",IF($S165&lt;=Settings!$C$16,1,2))</f>
        <v/>
      </c>
      <c r="AK165" s="39" t="str">
        <f>IF($C165="","",IFERROR(IF(INDEX(Settings!$C$20:$C$59,MATCH($C165,Settings!$B$20:$B$59,0))="",Settings!$C$10,INDEX(Settings!$C$20:$C$59,MATCH($C165,Settings!$B$20:$B$59,0))),Settings!$C$10))</f>
        <v/>
      </c>
      <c r="AL165" s="108">
        <f t="shared" si="48"/>
        <v>0</v>
      </c>
      <c r="AM165" s="39" t="str">
        <f t="shared" si="49"/>
        <v/>
      </c>
      <c r="AN165" s="39" t="str">
        <f t="shared" si="50"/>
        <v/>
      </c>
      <c r="AO165" s="39" t="str">
        <f t="shared" si="51"/>
        <v/>
      </c>
      <c r="AP165" s="39">
        <f t="shared" si="52"/>
        <v>0</v>
      </c>
      <c r="AQ165" s="39">
        <f t="shared" si="53"/>
        <v>0</v>
      </c>
    </row>
    <row r="166" spans="14:43" x14ac:dyDescent="0.25">
      <c r="N166" s="105">
        <f t="shared" si="36"/>
        <v>0</v>
      </c>
      <c r="O166" s="106" t="str">
        <f>IF($F166="","",IF(ISNUMBER($F166),$F166+Settings!$C$7/24,IFERROR(DATEVALUE(LEFT($F166,10))+TIMEVALUE(MID($F166,12,8))+Settings!$C$7/24,"")))</f>
        <v/>
      </c>
      <c r="P166" s="106" t="str">
        <f>IF($G166="","",IF(ISNUMBER($G166),$G166+Settings!$C$7/24,IFERROR(DATEVALUE(LEFT($G166,10))+TIMEVALUE(MID($G166,12,8))+Settings!$C$7/24,"")))</f>
        <v/>
      </c>
      <c r="Q166" s="39" t="str">
        <f t="shared" si="37"/>
        <v/>
      </c>
      <c r="R166" s="39" t="str">
        <f t="shared" si="38"/>
        <v/>
      </c>
      <c r="S166" s="107" t="str">
        <f t="shared" si="39"/>
        <v/>
      </c>
      <c r="T166" s="39" t="str">
        <f>IF($C166="","",IF(COUNTIF($C$2:$C166,$C166)=1,1,0))</f>
        <v/>
      </c>
      <c r="U166" s="39" t="str">
        <f>IF($T166=1,COUNTIF($T$2:$T166,1),"")</f>
        <v/>
      </c>
      <c r="V166" s="39" t="str">
        <f>IF($B166="","",IF(COUNTIF($B$2:$B166,$B166)=1,1,0))</f>
        <v/>
      </c>
      <c r="W166" s="39" t="str">
        <f>IF($V166=1,COUNTIF($V$2:$V166,1),"")</f>
        <v/>
      </c>
      <c r="X166" s="39" t="str">
        <f>IF($A166="","",IF(COUNTIF($A$2:$A166,$A166)=1,1,0))</f>
        <v/>
      </c>
      <c r="Y166" s="39" t="str">
        <f>IF($X166=1,COUNTIF($X$2:$X166,1),"")</f>
        <v/>
      </c>
      <c r="Z166" s="39">
        <f>IF(AND($E166="timed",$N166&gt;Settings!$C$8),1,0)</f>
        <v>0</v>
      </c>
      <c r="AA166" s="39">
        <f t="shared" si="40"/>
        <v>0</v>
      </c>
      <c r="AB166" s="39">
        <f t="shared" si="41"/>
        <v>0</v>
      </c>
      <c r="AC166" s="39" t="str">
        <f t="shared" si="42"/>
        <v/>
      </c>
      <c r="AD166" s="39" t="str">
        <f t="shared" si="43"/>
        <v/>
      </c>
      <c r="AE166" s="39" t="str">
        <f t="shared" si="44"/>
        <v/>
      </c>
      <c r="AF166" s="106" t="str">
        <f t="shared" si="45"/>
        <v/>
      </c>
      <c r="AG166" s="39">
        <f t="shared" si="46"/>
        <v>0</v>
      </c>
      <c r="AH166" s="39" t="str">
        <f t="shared" si="47"/>
        <v/>
      </c>
      <c r="AI166" s="39">
        <f>IF(AND($E166="timed",$N166&gt;=Settings!$C$9),1,0)</f>
        <v>0</v>
      </c>
      <c r="AJ166" s="39" t="str">
        <f>IF(OR($S166="",Settings!$C$16=""),"",IF($S166&lt;=Settings!$C$16,1,2))</f>
        <v/>
      </c>
      <c r="AK166" s="39" t="str">
        <f>IF($C166="","",IFERROR(IF(INDEX(Settings!$C$20:$C$59,MATCH($C166,Settings!$B$20:$B$59,0))="",Settings!$C$10,INDEX(Settings!$C$20:$C$59,MATCH($C166,Settings!$B$20:$B$59,0))),Settings!$C$10))</f>
        <v/>
      </c>
      <c r="AL166" s="108">
        <f t="shared" si="48"/>
        <v>0</v>
      </c>
      <c r="AM166" s="39" t="str">
        <f t="shared" si="49"/>
        <v/>
      </c>
      <c r="AN166" s="39" t="str">
        <f t="shared" si="50"/>
        <v/>
      </c>
      <c r="AO166" s="39" t="str">
        <f t="shared" si="51"/>
        <v/>
      </c>
      <c r="AP166" s="39">
        <f t="shared" si="52"/>
        <v>0</v>
      </c>
      <c r="AQ166" s="39">
        <f t="shared" si="53"/>
        <v>0</v>
      </c>
    </row>
    <row r="167" spans="14:43" x14ac:dyDescent="0.25">
      <c r="N167" s="105">
        <f t="shared" si="36"/>
        <v>0</v>
      </c>
      <c r="O167" s="106" t="str">
        <f>IF($F167="","",IF(ISNUMBER($F167),$F167+Settings!$C$7/24,IFERROR(DATEVALUE(LEFT($F167,10))+TIMEVALUE(MID($F167,12,8))+Settings!$C$7/24,"")))</f>
        <v/>
      </c>
      <c r="P167" s="106" t="str">
        <f>IF($G167="","",IF(ISNUMBER($G167),$G167+Settings!$C$7/24,IFERROR(DATEVALUE(LEFT($G167,10))+TIMEVALUE(MID($G167,12,8))+Settings!$C$7/24,"")))</f>
        <v/>
      </c>
      <c r="Q167" s="39" t="str">
        <f t="shared" si="37"/>
        <v/>
      </c>
      <c r="R167" s="39" t="str">
        <f t="shared" si="38"/>
        <v/>
      </c>
      <c r="S167" s="107" t="str">
        <f t="shared" si="39"/>
        <v/>
      </c>
      <c r="T167" s="39" t="str">
        <f>IF($C167="","",IF(COUNTIF($C$2:$C167,$C167)=1,1,0))</f>
        <v/>
      </c>
      <c r="U167" s="39" t="str">
        <f>IF($T167=1,COUNTIF($T$2:$T167,1),"")</f>
        <v/>
      </c>
      <c r="V167" s="39" t="str">
        <f>IF($B167="","",IF(COUNTIF($B$2:$B167,$B167)=1,1,0))</f>
        <v/>
      </c>
      <c r="W167" s="39" t="str">
        <f>IF($V167=1,COUNTIF($V$2:$V167,1),"")</f>
        <v/>
      </c>
      <c r="X167" s="39" t="str">
        <f>IF($A167="","",IF(COUNTIF($A$2:$A167,$A167)=1,1,0))</f>
        <v/>
      </c>
      <c r="Y167" s="39" t="str">
        <f>IF($X167=1,COUNTIF($X$2:$X167,1),"")</f>
        <v/>
      </c>
      <c r="Z167" s="39">
        <f>IF(AND($E167="timed",$N167&gt;Settings!$C$8),1,0)</f>
        <v>0</v>
      </c>
      <c r="AA167" s="39">
        <f t="shared" si="40"/>
        <v>0</v>
      </c>
      <c r="AB167" s="39">
        <f t="shared" si="41"/>
        <v>0</v>
      </c>
      <c r="AC167" s="39" t="str">
        <f t="shared" si="42"/>
        <v/>
      </c>
      <c r="AD167" s="39" t="str">
        <f t="shared" si="43"/>
        <v/>
      </c>
      <c r="AE167" s="39" t="str">
        <f t="shared" si="44"/>
        <v/>
      </c>
      <c r="AF167" s="106" t="str">
        <f t="shared" si="45"/>
        <v/>
      </c>
      <c r="AG167" s="39">
        <f t="shared" si="46"/>
        <v>0</v>
      </c>
      <c r="AH167" s="39" t="str">
        <f t="shared" si="47"/>
        <v/>
      </c>
      <c r="AI167" s="39">
        <f>IF(AND($E167="timed",$N167&gt;=Settings!$C$9),1,0)</f>
        <v>0</v>
      </c>
      <c r="AJ167" s="39" t="str">
        <f>IF(OR($S167="",Settings!$C$16=""),"",IF($S167&lt;=Settings!$C$16,1,2))</f>
        <v/>
      </c>
      <c r="AK167" s="39" t="str">
        <f>IF($C167="","",IFERROR(IF(INDEX(Settings!$C$20:$C$59,MATCH($C167,Settings!$B$20:$B$59,0))="",Settings!$C$10,INDEX(Settings!$C$20:$C$59,MATCH($C167,Settings!$B$20:$B$59,0))),Settings!$C$10))</f>
        <v/>
      </c>
      <c r="AL167" s="108">
        <f t="shared" si="48"/>
        <v>0</v>
      </c>
      <c r="AM167" s="39" t="str">
        <f t="shared" si="49"/>
        <v/>
      </c>
      <c r="AN167" s="39" t="str">
        <f t="shared" si="50"/>
        <v/>
      </c>
      <c r="AO167" s="39" t="str">
        <f t="shared" si="51"/>
        <v/>
      </c>
      <c r="AP167" s="39">
        <f t="shared" si="52"/>
        <v>0</v>
      </c>
      <c r="AQ167" s="39">
        <f t="shared" si="53"/>
        <v>0</v>
      </c>
    </row>
    <row r="168" spans="14:43" x14ac:dyDescent="0.25">
      <c r="N168" s="105">
        <f t="shared" si="36"/>
        <v>0</v>
      </c>
      <c r="O168" s="106" t="str">
        <f>IF($F168="","",IF(ISNUMBER($F168),$F168+Settings!$C$7/24,IFERROR(DATEVALUE(LEFT($F168,10))+TIMEVALUE(MID($F168,12,8))+Settings!$C$7/24,"")))</f>
        <v/>
      </c>
      <c r="P168" s="106" t="str">
        <f>IF($G168="","",IF(ISNUMBER($G168),$G168+Settings!$C$7/24,IFERROR(DATEVALUE(LEFT($G168,10))+TIMEVALUE(MID($G168,12,8))+Settings!$C$7/24,"")))</f>
        <v/>
      </c>
      <c r="Q168" s="39" t="str">
        <f t="shared" si="37"/>
        <v/>
      </c>
      <c r="R168" s="39" t="str">
        <f t="shared" si="38"/>
        <v/>
      </c>
      <c r="S168" s="107" t="str">
        <f t="shared" si="39"/>
        <v/>
      </c>
      <c r="T168" s="39" t="str">
        <f>IF($C168="","",IF(COUNTIF($C$2:$C168,$C168)=1,1,0))</f>
        <v/>
      </c>
      <c r="U168" s="39" t="str">
        <f>IF($T168=1,COUNTIF($T$2:$T168,1),"")</f>
        <v/>
      </c>
      <c r="V168" s="39" t="str">
        <f>IF($B168="","",IF(COUNTIF($B$2:$B168,$B168)=1,1,0))</f>
        <v/>
      </c>
      <c r="W168" s="39" t="str">
        <f>IF($V168=1,COUNTIF($V$2:$V168,1),"")</f>
        <v/>
      </c>
      <c r="X168" s="39" t="str">
        <f>IF($A168="","",IF(COUNTIF($A$2:$A168,$A168)=1,1,0))</f>
        <v/>
      </c>
      <c r="Y168" s="39" t="str">
        <f>IF($X168=1,COUNTIF($X$2:$X168,1),"")</f>
        <v/>
      </c>
      <c r="Z168" s="39">
        <f>IF(AND($E168="timed",$N168&gt;Settings!$C$8),1,0)</f>
        <v>0</v>
      </c>
      <c r="AA168" s="39">
        <f t="shared" si="40"/>
        <v>0</v>
      </c>
      <c r="AB168" s="39">
        <f t="shared" si="41"/>
        <v>0</v>
      </c>
      <c r="AC168" s="39" t="str">
        <f t="shared" si="42"/>
        <v/>
      </c>
      <c r="AD168" s="39" t="str">
        <f t="shared" si="43"/>
        <v/>
      </c>
      <c r="AE168" s="39" t="str">
        <f t="shared" si="44"/>
        <v/>
      </c>
      <c r="AF168" s="106" t="str">
        <f t="shared" si="45"/>
        <v/>
      </c>
      <c r="AG168" s="39">
        <f t="shared" si="46"/>
        <v>0</v>
      </c>
      <c r="AH168" s="39" t="str">
        <f t="shared" si="47"/>
        <v/>
      </c>
      <c r="AI168" s="39">
        <f>IF(AND($E168="timed",$N168&gt;=Settings!$C$9),1,0)</f>
        <v>0</v>
      </c>
      <c r="AJ168" s="39" t="str">
        <f>IF(OR($S168="",Settings!$C$16=""),"",IF($S168&lt;=Settings!$C$16,1,2))</f>
        <v/>
      </c>
      <c r="AK168" s="39" t="str">
        <f>IF($C168="","",IFERROR(IF(INDEX(Settings!$C$20:$C$59,MATCH($C168,Settings!$B$20:$B$59,0))="",Settings!$C$10,INDEX(Settings!$C$20:$C$59,MATCH($C168,Settings!$B$20:$B$59,0))),Settings!$C$10))</f>
        <v/>
      </c>
      <c r="AL168" s="108">
        <f t="shared" si="48"/>
        <v>0</v>
      </c>
      <c r="AM168" s="39" t="str">
        <f t="shared" si="49"/>
        <v/>
      </c>
      <c r="AN168" s="39" t="str">
        <f t="shared" si="50"/>
        <v/>
      </c>
      <c r="AO168" s="39" t="str">
        <f t="shared" si="51"/>
        <v/>
      </c>
      <c r="AP168" s="39">
        <f t="shared" si="52"/>
        <v>0</v>
      </c>
      <c r="AQ168" s="39">
        <f t="shared" si="53"/>
        <v>0</v>
      </c>
    </row>
    <row r="169" spans="14:43" x14ac:dyDescent="0.25">
      <c r="N169" s="105">
        <f t="shared" si="36"/>
        <v>0</v>
      </c>
      <c r="O169" s="106" t="str">
        <f>IF($F169="","",IF(ISNUMBER($F169),$F169+Settings!$C$7/24,IFERROR(DATEVALUE(LEFT($F169,10))+TIMEVALUE(MID($F169,12,8))+Settings!$C$7/24,"")))</f>
        <v/>
      </c>
      <c r="P169" s="106" t="str">
        <f>IF($G169="","",IF(ISNUMBER($G169),$G169+Settings!$C$7/24,IFERROR(DATEVALUE(LEFT($G169,10))+TIMEVALUE(MID($G169,12,8))+Settings!$C$7/24,"")))</f>
        <v/>
      </c>
      <c r="Q169" s="39" t="str">
        <f t="shared" si="37"/>
        <v/>
      </c>
      <c r="R169" s="39" t="str">
        <f t="shared" si="38"/>
        <v/>
      </c>
      <c r="S169" s="107" t="str">
        <f t="shared" si="39"/>
        <v/>
      </c>
      <c r="T169" s="39" t="str">
        <f>IF($C169="","",IF(COUNTIF($C$2:$C169,$C169)=1,1,0))</f>
        <v/>
      </c>
      <c r="U169" s="39" t="str">
        <f>IF($T169=1,COUNTIF($T$2:$T169,1),"")</f>
        <v/>
      </c>
      <c r="V169" s="39" t="str">
        <f>IF($B169="","",IF(COUNTIF($B$2:$B169,$B169)=1,1,0))</f>
        <v/>
      </c>
      <c r="W169" s="39" t="str">
        <f>IF($V169=1,COUNTIF($V$2:$V169,1),"")</f>
        <v/>
      </c>
      <c r="X169" s="39" t="str">
        <f>IF($A169="","",IF(COUNTIF($A$2:$A169,$A169)=1,1,0))</f>
        <v/>
      </c>
      <c r="Y169" s="39" t="str">
        <f>IF($X169=1,COUNTIF($X$2:$X169,1),"")</f>
        <v/>
      </c>
      <c r="Z169" s="39">
        <f>IF(AND($E169="timed",$N169&gt;Settings!$C$8),1,0)</f>
        <v>0</v>
      </c>
      <c r="AA169" s="39">
        <f t="shared" si="40"/>
        <v>0</v>
      </c>
      <c r="AB169" s="39">
        <f t="shared" si="41"/>
        <v>0</v>
      </c>
      <c r="AC169" s="39" t="str">
        <f t="shared" si="42"/>
        <v/>
      </c>
      <c r="AD169" s="39" t="str">
        <f t="shared" si="43"/>
        <v/>
      </c>
      <c r="AE169" s="39" t="str">
        <f t="shared" si="44"/>
        <v/>
      </c>
      <c r="AF169" s="106" t="str">
        <f t="shared" si="45"/>
        <v/>
      </c>
      <c r="AG169" s="39">
        <f t="shared" si="46"/>
        <v>0</v>
      </c>
      <c r="AH169" s="39" t="str">
        <f t="shared" si="47"/>
        <v/>
      </c>
      <c r="AI169" s="39">
        <f>IF(AND($E169="timed",$N169&gt;=Settings!$C$9),1,0)</f>
        <v>0</v>
      </c>
      <c r="AJ169" s="39" t="str">
        <f>IF(OR($S169="",Settings!$C$16=""),"",IF($S169&lt;=Settings!$C$16,1,2))</f>
        <v/>
      </c>
      <c r="AK169" s="39" t="str">
        <f>IF($C169="","",IFERROR(IF(INDEX(Settings!$C$20:$C$59,MATCH($C169,Settings!$B$20:$B$59,0))="",Settings!$C$10,INDEX(Settings!$C$20:$C$59,MATCH($C169,Settings!$B$20:$B$59,0))),Settings!$C$10))</f>
        <v/>
      </c>
      <c r="AL169" s="108">
        <f t="shared" si="48"/>
        <v>0</v>
      </c>
      <c r="AM169" s="39" t="str">
        <f t="shared" si="49"/>
        <v/>
      </c>
      <c r="AN169" s="39" t="str">
        <f t="shared" si="50"/>
        <v/>
      </c>
      <c r="AO169" s="39" t="str">
        <f t="shared" si="51"/>
        <v/>
      </c>
      <c r="AP169" s="39">
        <f t="shared" si="52"/>
        <v>0</v>
      </c>
      <c r="AQ169" s="39">
        <f t="shared" si="53"/>
        <v>0</v>
      </c>
    </row>
    <row r="170" spans="14:43" x14ac:dyDescent="0.25">
      <c r="N170" s="105">
        <f t="shared" si="36"/>
        <v>0</v>
      </c>
      <c r="O170" s="106" t="str">
        <f>IF($F170="","",IF(ISNUMBER($F170),$F170+Settings!$C$7/24,IFERROR(DATEVALUE(LEFT($F170,10))+TIMEVALUE(MID($F170,12,8))+Settings!$C$7/24,"")))</f>
        <v/>
      </c>
      <c r="P170" s="106" t="str">
        <f>IF($G170="","",IF(ISNUMBER($G170),$G170+Settings!$C$7/24,IFERROR(DATEVALUE(LEFT($G170,10))+TIMEVALUE(MID($G170,12,8))+Settings!$C$7/24,"")))</f>
        <v/>
      </c>
      <c r="Q170" s="39" t="str">
        <f t="shared" si="37"/>
        <v/>
      </c>
      <c r="R170" s="39" t="str">
        <f t="shared" si="38"/>
        <v/>
      </c>
      <c r="S170" s="107" t="str">
        <f t="shared" si="39"/>
        <v/>
      </c>
      <c r="T170" s="39" t="str">
        <f>IF($C170="","",IF(COUNTIF($C$2:$C170,$C170)=1,1,0))</f>
        <v/>
      </c>
      <c r="U170" s="39" t="str">
        <f>IF($T170=1,COUNTIF($T$2:$T170,1),"")</f>
        <v/>
      </c>
      <c r="V170" s="39" t="str">
        <f>IF($B170="","",IF(COUNTIF($B$2:$B170,$B170)=1,1,0))</f>
        <v/>
      </c>
      <c r="W170" s="39" t="str">
        <f>IF($V170=1,COUNTIF($V$2:$V170,1),"")</f>
        <v/>
      </c>
      <c r="X170" s="39" t="str">
        <f>IF($A170="","",IF(COUNTIF($A$2:$A170,$A170)=1,1,0))</f>
        <v/>
      </c>
      <c r="Y170" s="39" t="str">
        <f>IF($X170=1,COUNTIF($X$2:$X170,1),"")</f>
        <v/>
      </c>
      <c r="Z170" s="39">
        <f>IF(AND($E170="timed",$N170&gt;Settings!$C$8),1,0)</f>
        <v>0</v>
      </c>
      <c r="AA170" s="39">
        <f t="shared" si="40"/>
        <v>0</v>
      </c>
      <c r="AB170" s="39">
        <f t="shared" si="41"/>
        <v>0</v>
      </c>
      <c r="AC170" s="39" t="str">
        <f t="shared" si="42"/>
        <v/>
      </c>
      <c r="AD170" s="39" t="str">
        <f t="shared" si="43"/>
        <v/>
      </c>
      <c r="AE170" s="39" t="str">
        <f t="shared" si="44"/>
        <v/>
      </c>
      <c r="AF170" s="106" t="str">
        <f t="shared" si="45"/>
        <v/>
      </c>
      <c r="AG170" s="39">
        <f t="shared" si="46"/>
        <v>0</v>
      </c>
      <c r="AH170" s="39" t="str">
        <f t="shared" si="47"/>
        <v/>
      </c>
      <c r="AI170" s="39">
        <f>IF(AND($E170="timed",$N170&gt;=Settings!$C$9),1,0)</f>
        <v>0</v>
      </c>
      <c r="AJ170" s="39" t="str">
        <f>IF(OR($S170="",Settings!$C$16=""),"",IF($S170&lt;=Settings!$C$16,1,2))</f>
        <v/>
      </c>
      <c r="AK170" s="39" t="str">
        <f>IF($C170="","",IFERROR(IF(INDEX(Settings!$C$20:$C$59,MATCH($C170,Settings!$B$20:$B$59,0))="",Settings!$C$10,INDEX(Settings!$C$20:$C$59,MATCH($C170,Settings!$B$20:$B$59,0))),Settings!$C$10))</f>
        <v/>
      </c>
      <c r="AL170" s="108">
        <f t="shared" si="48"/>
        <v>0</v>
      </c>
      <c r="AM170" s="39" t="str">
        <f t="shared" si="49"/>
        <v/>
      </c>
      <c r="AN170" s="39" t="str">
        <f t="shared" si="50"/>
        <v/>
      </c>
      <c r="AO170" s="39" t="str">
        <f t="shared" si="51"/>
        <v/>
      </c>
      <c r="AP170" s="39">
        <f t="shared" si="52"/>
        <v>0</v>
      </c>
      <c r="AQ170" s="39">
        <f t="shared" si="53"/>
        <v>0</v>
      </c>
    </row>
    <row r="171" spans="14:43" x14ac:dyDescent="0.25">
      <c r="N171" s="105">
        <f t="shared" si="36"/>
        <v>0</v>
      </c>
      <c r="O171" s="106" t="str">
        <f>IF($F171="","",IF(ISNUMBER($F171),$F171+Settings!$C$7/24,IFERROR(DATEVALUE(LEFT($F171,10))+TIMEVALUE(MID($F171,12,8))+Settings!$C$7/24,"")))</f>
        <v/>
      </c>
      <c r="P171" s="106" t="str">
        <f>IF($G171="","",IF(ISNUMBER($G171),$G171+Settings!$C$7/24,IFERROR(DATEVALUE(LEFT($G171,10))+TIMEVALUE(MID($G171,12,8))+Settings!$C$7/24,"")))</f>
        <v/>
      </c>
      <c r="Q171" s="39" t="str">
        <f t="shared" si="37"/>
        <v/>
      </c>
      <c r="R171" s="39" t="str">
        <f t="shared" si="38"/>
        <v/>
      </c>
      <c r="S171" s="107" t="str">
        <f t="shared" si="39"/>
        <v/>
      </c>
      <c r="T171" s="39" t="str">
        <f>IF($C171="","",IF(COUNTIF($C$2:$C171,$C171)=1,1,0))</f>
        <v/>
      </c>
      <c r="U171" s="39" t="str">
        <f>IF($T171=1,COUNTIF($T$2:$T171,1),"")</f>
        <v/>
      </c>
      <c r="V171" s="39" t="str">
        <f>IF($B171="","",IF(COUNTIF($B$2:$B171,$B171)=1,1,0))</f>
        <v/>
      </c>
      <c r="W171" s="39" t="str">
        <f>IF($V171=1,COUNTIF($V$2:$V171,1),"")</f>
        <v/>
      </c>
      <c r="X171" s="39" t="str">
        <f>IF($A171="","",IF(COUNTIF($A$2:$A171,$A171)=1,1,0))</f>
        <v/>
      </c>
      <c r="Y171" s="39" t="str">
        <f>IF($X171=1,COUNTIF($X$2:$X171,1),"")</f>
        <v/>
      </c>
      <c r="Z171" s="39">
        <f>IF(AND($E171="timed",$N171&gt;Settings!$C$8),1,0)</f>
        <v>0</v>
      </c>
      <c r="AA171" s="39">
        <f t="shared" si="40"/>
        <v>0</v>
      </c>
      <c r="AB171" s="39">
        <f t="shared" si="41"/>
        <v>0</v>
      </c>
      <c r="AC171" s="39" t="str">
        <f t="shared" si="42"/>
        <v/>
      </c>
      <c r="AD171" s="39" t="str">
        <f t="shared" si="43"/>
        <v/>
      </c>
      <c r="AE171" s="39" t="str">
        <f t="shared" si="44"/>
        <v/>
      </c>
      <c r="AF171" s="106" t="str">
        <f t="shared" si="45"/>
        <v/>
      </c>
      <c r="AG171" s="39">
        <f t="shared" si="46"/>
        <v>0</v>
      </c>
      <c r="AH171" s="39" t="str">
        <f t="shared" si="47"/>
        <v/>
      </c>
      <c r="AI171" s="39">
        <f>IF(AND($E171="timed",$N171&gt;=Settings!$C$9),1,0)</f>
        <v>0</v>
      </c>
      <c r="AJ171" s="39" t="str">
        <f>IF(OR($S171="",Settings!$C$16=""),"",IF($S171&lt;=Settings!$C$16,1,2))</f>
        <v/>
      </c>
      <c r="AK171" s="39" t="str">
        <f>IF($C171="","",IFERROR(IF(INDEX(Settings!$C$20:$C$59,MATCH($C171,Settings!$B$20:$B$59,0))="",Settings!$C$10,INDEX(Settings!$C$20:$C$59,MATCH($C171,Settings!$B$20:$B$59,0))),Settings!$C$10))</f>
        <v/>
      </c>
      <c r="AL171" s="108">
        <f t="shared" si="48"/>
        <v>0</v>
      </c>
      <c r="AM171" s="39" t="str">
        <f t="shared" si="49"/>
        <v/>
      </c>
      <c r="AN171" s="39" t="str">
        <f t="shared" si="50"/>
        <v/>
      </c>
      <c r="AO171" s="39" t="str">
        <f t="shared" si="51"/>
        <v/>
      </c>
      <c r="AP171" s="39">
        <f t="shared" si="52"/>
        <v>0</v>
      </c>
      <c r="AQ171" s="39">
        <f t="shared" si="53"/>
        <v>0</v>
      </c>
    </row>
    <row r="172" spans="14:43" x14ac:dyDescent="0.25">
      <c r="N172" s="105">
        <f t="shared" si="36"/>
        <v>0</v>
      </c>
      <c r="O172" s="106" t="str">
        <f>IF($F172="","",IF(ISNUMBER($F172),$F172+Settings!$C$7/24,IFERROR(DATEVALUE(LEFT($F172,10))+TIMEVALUE(MID($F172,12,8))+Settings!$C$7/24,"")))</f>
        <v/>
      </c>
      <c r="P172" s="106" t="str">
        <f>IF($G172="","",IF(ISNUMBER($G172),$G172+Settings!$C$7/24,IFERROR(DATEVALUE(LEFT($G172,10))+TIMEVALUE(MID($G172,12,8))+Settings!$C$7/24,"")))</f>
        <v/>
      </c>
      <c r="Q172" s="39" t="str">
        <f t="shared" si="37"/>
        <v/>
      </c>
      <c r="R172" s="39" t="str">
        <f t="shared" si="38"/>
        <v/>
      </c>
      <c r="S172" s="107" t="str">
        <f t="shared" si="39"/>
        <v/>
      </c>
      <c r="T172" s="39" t="str">
        <f>IF($C172="","",IF(COUNTIF($C$2:$C172,$C172)=1,1,0))</f>
        <v/>
      </c>
      <c r="U172" s="39" t="str">
        <f>IF($T172=1,COUNTIF($T$2:$T172,1),"")</f>
        <v/>
      </c>
      <c r="V172" s="39" t="str">
        <f>IF($B172="","",IF(COUNTIF($B$2:$B172,$B172)=1,1,0))</f>
        <v/>
      </c>
      <c r="W172" s="39" t="str">
        <f>IF($V172=1,COUNTIF($V$2:$V172,1),"")</f>
        <v/>
      </c>
      <c r="X172" s="39" t="str">
        <f>IF($A172="","",IF(COUNTIF($A$2:$A172,$A172)=1,1,0))</f>
        <v/>
      </c>
      <c r="Y172" s="39" t="str">
        <f>IF($X172=1,COUNTIF($X$2:$X172,1),"")</f>
        <v/>
      </c>
      <c r="Z172" s="39">
        <f>IF(AND($E172="timed",$N172&gt;Settings!$C$8),1,0)</f>
        <v>0</v>
      </c>
      <c r="AA172" s="39">
        <f t="shared" si="40"/>
        <v>0</v>
      </c>
      <c r="AB172" s="39">
        <f t="shared" si="41"/>
        <v>0</v>
      </c>
      <c r="AC172" s="39" t="str">
        <f t="shared" si="42"/>
        <v/>
      </c>
      <c r="AD172" s="39" t="str">
        <f t="shared" si="43"/>
        <v/>
      </c>
      <c r="AE172" s="39" t="str">
        <f t="shared" si="44"/>
        <v/>
      </c>
      <c r="AF172" s="106" t="str">
        <f t="shared" si="45"/>
        <v/>
      </c>
      <c r="AG172" s="39">
        <f t="shared" si="46"/>
        <v>0</v>
      </c>
      <c r="AH172" s="39" t="str">
        <f t="shared" si="47"/>
        <v/>
      </c>
      <c r="AI172" s="39">
        <f>IF(AND($E172="timed",$N172&gt;=Settings!$C$9),1,0)</f>
        <v>0</v>
      </c>
      <c r="AJ172" s="39" t="str">
        <f>IF(OR($S172="",Settings!$C$16=""),"",IF($S172&lt;=Settings!$C$16,1,2))</f>
        <v/>
      </c>
      <c r="AK172" s="39" t="str">
        <f>IF($C172="","",IFERROR(IF(INDEX(Settings!$C$20:$C$59,MATCH($C172,Settings!$B$20:$B$59,0))="",Settings!$C$10,INDEX(Settings!$C$20:$C$59,MATCH($C172,Settings!$B$20:$B$59,0))),Settings!$C$10))</f>
        <v/>
      </c>
      <c r="AL172" s="108">
        <f t="shared" si="48"/>
        <v>0</v>
      </c>
      <c r="AM172" s="39" t="str">
        <f t="shared" si="49"/>
        <v/>
      </c>
      <c r="AN172" s="39" t="str">
        <f t="shared" si="50"/>
        <v/>
      </c>
      <c r="AO172" s="39" t="str">
        <f t="shared" si="51"/>
        <v/>
      </c>
      <c r="AP172" s="39">
        <f t="shared" si="52"/>
        <v>0</v>
      </c>
      <c r="AQ172" s="39">
        <f t="shared" si="53"/>
        <v>0</v>
      </c>
    </row>
    <row r="173" spans="14:43" x14ac:dyDescent="0.25">
      <c r="N173" s="105">
        <f t="shared" si="36"/>
        <v>0</v>
      </c>
      <c r="O173" s="106" t="str">
        <f>IF($F173="","",IF(ISNUMBER($F173),$F173+Settings!$C$7/24,IFERROR(DATEVALUE(LEFT($F173,10))+TIMEVALUE(MID($F173,12,8))+Settings!$C$7/24,"")))</f>
        <v/>
      </c>
      <c r="P173" s="106" t="str">
        <f>IF($G173="","",IF(ISNUMBER($G173),$G173+Settings!$C$7/24,IFERROR(DATEVALUE(LEFT($G173,10))+TIMEVALUE(MID($G173,12,8))+Settings!$C$7/24,"")))</f>
        <v/>
      </c>
      <c r="Q173" s="39" t="str">
        <f t="shared" si="37"/>
        <v/>
      </c>
      <c r="R173" s="39" t="str">
        <f t="shared" si="38"/>
        <v/>
      </c>
      <c r="S173" s="107" t="str">
        <f t="shared" si="39"/>
        <v/>
      </c>
      <c r="T173" s="39" t="str">
        <f>IF($C173="","",IF(COUNTIF($C$2:$C173,$C173)=1,1,0))</f>
        <v/>
      </c>
      <c r="U173" s="39" t="str">
        <f>IF($T173=1,COUNTIF($T$2:$T173,1),"")</f>
        <v/>
      </c>
      <c r="V173" s="39" t="str">
        <f>IF($B173="","",IF(COUNTIF($B$2:$B173,$B173)=1,1,0))</f>
        <v/>
      </c>
      <c r="W173" s="39" t="str">
        <f>IF($V173=1,COUNTIF($V$2:$V173,1),"")</f>
        <v/>
      </c>
      <c r="X173" s="39" t="str">
        <f>IF($A173="","",IF(COUNTIF($A$2:$A173,$A173)=1,1,0))</f>
        <v/>
      </c>
      <c r="Y173" s="39" t="str">
        <f>IF($X173=1,COUNTIF($X$2:$X173,1),"")</f>
        <v/>
      </c>
      <c r="Z173" s="39">
        <f>IF(AND($E173="timed",$N173&gt;Settings!$C$8),1,0)</f>
        <v>0</v>
      </c>
      <c r="AA173" s="39">
        <f t="shared" si="40"/>
        <v>0</v>
      </c>
      <c r="AB173" s="39">
        <f t="shared" si="41"/>
        <v>0</v>
      </c>
      <c r="AC173" s="39" t="str">
        <f t="shared" si="42"/>
        <v/>
      </c>
      <c r="AD173" s="39" t="str">
        <f t="shared" si="43"/>
        <v/>
      </c>
      <c r="AE173" s="39" t="str">
        <f t="shared" si="44"/>
        <v/>
      </c>
      <c r="AF173" s="106" t="str">
        <f t="shared" si="45"/>
        <v/>
      </c>
      <c r="AG173" s="39">
        <f t="shared" si="46"/>
        <v>0</v>
      </c>
      <c r="AH173" s="39" t="str">
        <f t="shared" si="47"/>
        <v/>
      </c>
      <c r="AI173" s="39">
        <f>IF(AND($E173="timed",$N173&gt;=Settings!$C$9),1,0)</f>
        <v>0</v>
      </c>
      <c r="AJ173" s="39" t="str">
        <f>IF(OR($S173="",Settings!$C$16=""),"",IF($S173&lt;=Settings!$C$16,1,2))</f>
        <v/>
      </c>
      <c r="AK173" s="39" t="str">
        <f>IF($C173="","",IFERROR(IF(INDEX(Settings!$C$20:$C$59,MATCH($C173,Settings!$B$20:$B$59,0))="",Settings!$C$10,INDEX(Settings!$C$20:$C$59,MATCH($C173,Settings!$B$20:$B$59,0))),Settings!$C$10))</f>
        <v/>
      </c>
      <c r="AL173" s="108">
        <f t="shared" si="48"/>
        <v>0</v>
      </c>
      <c r="AM173" s="39" t="str">
        <f t="shared" si="49"/>
        <v/>
      </c>
      <c r="AN173" s="39" t="str">
        <f t="shared" si="50"/>
        <v/>
      </c>
      <c r="AO173" s="39" t="str">
        <f t="shared" si="51"/>
        <v/>
      </c>
      <c r="AP173" s="39">
        <f t="shared" si="52"/>
        <v>0</v>
      </c>
      <c r="AQ173" s="39">
        <f t="shared" si="53"/>
        <v>0</v>
      </c>
    </row>
    <row r="174" spans="14:43" x14ac:dyDescent="0.25">
      <c r="N174" s="105">
        <f t="shared" si="36"/>
        <v>0</v>
      </c>
      <c r="O174" s="106" t="str">
        <f>IF($F174="","",IF(ISNUMBER($F174),$F174+Settings!$C$7/24,IFERROR(DATEVALUE(LEFT($F174,10))+TIMEVALUE(MID($F174,12,8))+Settings!$C$7/24,"")))</f>
        <v/>
      </c>
      <c r="P174" s="106" t="str">
        <f>IF($G174="","",IF(ISNUMBER($G174),$G174+Settings!$C$7/24,IFERROR(DATEVALUE(LEFT($G174,10))+TIMEVALUE(MID($G174,12,8))+Settings!$C$7/24,"")))</f>
        <v/>
      </c>
      <c r="Q174" s="39" t="str">
        <f t="shared" si="37"/>
        <v/>
      </c>
      <c r="R174" s="39" t="str">
        <f t="shared" si="38"/>
        <v/>
      </c>
      <c r="S174" s="107" t="str">
        <f t="shared" si="39"/>
        <v/>
      </c>
      <c r="T174" s="39" t="str">
        <f>IF($C174="","",IF(COUNTIF($C$2:$C174,$C174)=1,1,0))</f>
        <v/>
      </c>
      <c r="U174" s="39" t="str">
        <f>IF($T174=1,COUNTIF($T$2:$T174,1),"")</f>
        <v/>
      </c>
      <c r="V174" s="39" t="str">
        <f>IF($B174="","",IF(COUNTIF($B$2:$B174,$B174)=1,1,0))</f>
        <v/>
      </c>
      <c r="W174" s="39" t="str">
        <f>IF($V174=1,COUNTIF($V$2:$V174,1),"")</f>
        <v/>
      </c>
      <c r="X174" s="39" t="str">
        <f>IF($A174="","",IF(COUNTIF($A$2:$A174,$A174)=1,1,0))</f>
        <v/>
      </c>
      <c r="Y174" s="39" t="str">
        <f>IF($X174=1,COUNTIF($X$2:$X174,1),"")</f>
        <v/>
      </c>
      <c r="Z174" s="39">
        <f>IF(AND($E174="timed",$N174&gt;Settings!$C$8),1,0)</f>
        <v>0</v>
      </c>
      <c r="AA174" s="39">
        <f t="shared" si="40"/>
        <v>0</v>
      </c>
      <c r="AB174" s="39">
        <f t="shared" si="41"/>
        <v>0</v>
      </c>
      <c r="AC174" s="39" t="str">
        <f t="shared" si="42"/>
        <v/>
      </c>
      <c r="AD174" s="39" t="str">
        <f t="shared" si="43"/>
        <v/>
      </c>
      <c r="AE174" s="39" t="str">
        <f t="shared" si="44"/>
        <v/>
      </c>
      <c r="AF174" s="106" t="str">
        <f t="shared" si="45"/>
        <v/>
      </c>
      <c r="AG174" s="39">
        <f t="shared" si="46"/>
        <v>0</v>
      </c>
      <c r="AH174" s="39" t="str">
        <f t="shared" si="47"/>
        <v/>
      </c>
      <c r="AI174" s="39">
        <f>IF(AND($E174="timed",$N174&gt;=Settings!$C$9),1,0)</f>
        <v>0</v>
      </c>
      <c r="AJ174" s="39" t="str">
        <f>IF(OR($S174="",Settings!$C$16=""),"",IF($S174&lt;=Settings!$C$16,1,2))</f>
        <v/>
      </c>
      <c r="AK174" s="39" t="str">
        <f>IF($C174="","",IFERROR(IF(INDEX(Settings!$C$20:$C$59,MATCH($C174,Settings!$B$20:$B$59,0))="",Settings!$C$10,INDEX(Settings!$C$20:$C$59,MATCH($C174,Settings!$B$20:$B$59,0))),Settings!$C$10))</f>
        <v/>
      </c>
      <c r="AL174" s="108">
        <f t="shared" si="48"/>
        <v>0</v>
      </c>
      <c r="AM174" s="39" t="str">
        <f t="shared" si="49"/>
        <v/>
      </c>
      <c r="AN174" s="39" t="str">
        <f t="shared" si="50"/>
        <v/>
      </c>
      <c r="AO174" s="39" t="str">
        <f t="shared" si="51"/>
        <v/>
      </c>
      <c r="AP174" s="39">
        <f t="shared" si="52"/>
        <v>0</v>
      </c>
      <c r="AQ174" s="39">
        <f t="shared" si="53"/>
        <v>0</v>
      </c>
    </row>
    <row r="175" spans="14:43" x14ac:dyDescent="0.25">
      <c r="N175" s="105">
        <f t="shared" si="36"/>
        <v>0</v>
      </c>
      <c r="O175" s="106" t="str">
        <f>IF($F175="","",IF(ISNUMBER($F175),$F175+Settings!$C$7/24,IFERROR(DATEVALUE(LEFT($F175,10))+TIMEVALUE(MID($F175,12,8))+Settings!$C$7/24,"")))</f>
        <v/>
      </c>
      <c r="P175" s="106" t="str">
        <f>IF($G175="","",IF(ISNUMBER($G175),$G175+Settings!$C$7/24,IFERROR(DATEVALUE(LEFT($G175,10))+TIMEVALUE(MID($G175,12,8))+Settings!$C$7/24,"")))</f>
        <v/>
      </c>
      <c r="Q175" s="39" t="str">
        <f t="shared" si="37"/>
        <v/>
      </c>
      <c r="R175" s="39" t="str">
        <f t="shared" si="38"/>
        <v/>
      </c>
      <c r="S175" s="107" t="str">
        <f t="shared" si="39"/>
        <v/>
      </c>
      <c r="T175" s="39" t="str">
        <f>IF($C175="","",IF(COUNTIF($C$2:$C175,$C175)=1,1,0))</f>
        <v/>
      </c>
      <c r="U175" s="39" t="str">
        <f>IF($T175=1,COUNTIF($T$2:$T175,1),"")</f>
        <v/>
      </c>
      <c r="V175" s="39" t="str">
        <f>IF($B175="","",IF(COUNTIF($B$2:$B175,$B175)=1,1,0))</f>
        <v/>
      </c>
      <c r="W175" s="39" t="str">
        <f>IF($V175=1,COUNTIF($V$2:$V175,1),"")</f>
        <v/>
      </c>
      <c r="X175" s="39" t="str">
        <f>IF($A175="","",IF(COUNTIF($A$2:$A175,$A175)=1,1,0))</f>
        <v/>
      </c>
      <c r="Y175" s="39" t="str">
        <f>IF($X175=1,COUNTIF($X$2:$X175,1),"")</f>
        <v/>
      </c>
      <c r="Z175" s="39">
        <f>IF(AND($E175="timed",$N175&gt;Settings!$C$8),1,0)</f>
        <v>0</v>
      </c>
      <c r="AA175" s="39">
        <f t="shared" si="40"/>
        <v>0</v>
      </c>
      <c r="AB175" s="39">
        <f t="shared" si="41"/>
        <v>0</v>
      </c>
      <c r="AC175" s="39" t="str">
        <f t="shared" si="42"/>
        <v/>
      </c>
      <c r="AD175" s="39" t="str">
        <f t="shared" si="43"/>
        <v/>
      </c>
      <c r="AE175" s="39" t="str">
        <f t="shared" si="44"/>
        <v/>
      </c>
      <c r="AF175" s="106" t="str">
        <f t="shared" si="45"/>
        <v/>
      </c>
      <c r="AG175" s="39">
        <f t="shared" si="46"/>
        <v>0</v>
      </c>
      <c r="AH175" s="39" t="str">
        <f t="shared" si="47"/>
        <v/>
      </c>
      <c r="AI175" s="39">
        <f>IF(AND($E175="timed",$N175&gt;=Settings!$C$9),1,0)</f>
        <v>0</v>
      </c>
      <c r="AJ175" s="39" t="str">
        <f>IF(OR($S175="",Settings!$C$16=""),"",IF($S175&lt;=Settings!$C$16,1,2))</f>
        <v/>
      </c>
      <c r="AK175" s="39" t="str">
        <f>IF($C175="","",IFERROR(IF(INDEX(Settings!$C$20:$C$59,MATCH($C175,Settings!$B$20:$B$59,0))="",Settings!$C$10,INDEX(Settings!$C$20:$C$59,MATCH($C175,Settings!$B$20:$B$59,0))),Settings!$C$10))</f>
        <v/>
      </c>
      <c r="AL175" s="108">
        <f t="shared" si="48"/>
        <v>0</v>
      </c>
      <c r="AM175" s="39" t="str">
        <f t="shared" si="49"/>
        <v/>
      </c>
      <c r="AN175" s="39" t="str">
        <f t="shared" si="50"/>
        <v/>
      </c>
      <c r="AO175" s="39" t="str">
        <f t="shared" si="51"/>
        <v/>
      </c>
      <c r="AP175" s="39">
        <f t="shared" si="52"/>
        <v>0</v>
      </c>
      <c r="AQ175" s="39">
        <f t="shared" si="53"/>
        <v>0</v>
      </c>
    </row>
    <row r="176" spans="14:43" x14ac:dyDescent="0.25">
      <c r="N176" s="105">
        <f t="shared" si="36"/>
        <v>0</v>
      </c>
      <c r="O176" s="106" t="str">
        <f>IF($F176="","",IF(ISNUMBER($F176),$F176+Settings!$C$7/24,IFERROR(DATEVALUE(LEFT($F176,10))+TIMEVALUE(MID($F176,12,8))+Settings!$C$7/24,"")))</f>
        <v/>
      </c>
      <c r="P176" s="106" t="str">
        <f>IF($G176="","",IF(ISNUMBER($G176),$G176+Settings!$C$7/24,IFERROR(DATEVALUE(LEFT($G176,10))+TIMEVALUE(MID($G176,12,8))+Settings!$C$7/24,"")))</f>
        <v/>
      </c>
      <c r="Q176" s="39" t="str">
        <f t="shared" si="37"/>
        <v/>
      </c>
      <c r="R176" s="39" t="str">
        <f t="shared" si="38"/>
        <v/>
      </c>
      <c r="S176" s="107" t="str">
        <f t="shared" si="39"/>
        <v/>
      </c>
      <c r="T176" s="39" t="str">
        <f>IF($C176="","",IF(COUNTIF($C$2:$C176,$C176)=1,1,0))</f>
        <v/>
      </c>
      <c r="U176" s="39" t="str">
        <f>IF($T176=1,COUNTIF($T$2:$T176,1),"")</f>
        <v/>
      </c>
      <c r="V176" s="39" t="str">
        <f>IF($B176="","",IF(COUNTIF($B$2:$B176,$B176)=1,1,0))</f>
        <v/>
      </c>
      <c r="W176" s="39" t="str">
        <f>IF($V176=1,COUNTIF($V$2:$V176,1),"")</f>
        <v/>
      </c>
      <c r="X176" s="39" t="str">
        <f>IF($A176="","",IF(COUNTIF($A$2:$A176,$A176)=1,1,0))</f>
        <v/>
      </c>
      <c r="Y176" s="39" t="str">
        <f>IF($X176=1,COUNTIF($X$2:$X176,1),"")</f>
        <v/>
      </c>
      <c r="Z176" s="39">
        <f>IF(AND($E176="timed",$N176&gt;Settings!$C$8),1,0)</f>
        <v>0</v>
      </c>
      <c r="AA176" s="39">
        <f t="shared" si="40"/>
        <v>0</v>
      </c>
      <c r="AB176" s="39">
        <f t="shared" si="41"/>
        <v>0</v>
      </c>
      <c r="AC176" s="39" t="str">
        <f t="shared" si="42"/>
        <v/>
      </c>
      <c r="AD176" s="39" t="str">
        <f t="shared" si="43"/>
        <v/>
      </c>
      <c r="AE176" s="39" t="str">
        <f t="shared" si="44"/>
        <v/>
      </c>
      <c r="AF176" s="106" t="str">
        <f t="shared" si="45"/>
        <v/>
      </c>
      <c r="AG176" s="39">
        <f t="shared" si="46"/>
        <v>0</v>
      </c>
      <c r="AH176" s="39" t="str">
        <f t="shared" si="47"/>
        <v/>
      </c>
      <c r="AI176" s="39">
        <f>IF(AND($E176="timed",$N176&gt;=Settings!$C$9),1,0)</f>
        <v>0</v>
      </c>
      <c r="AJ176" s="39" t="str">
        <f>IF(OR($S176="",Settings!$C$16=""),"",IF($S176&lt;=Settings!$C$16,1,2))</f>
        <v/>
      </c>
      <c r="AK176" s="39" t="str">
        <f>IF($C176="","",IFERROR(IF(INDEX(Settings!$C$20:$C$59,MATCH($C176,Settings!$B$20:$B$59,0))="",Settings!$C$10,INDEX(Settings!$C$20:$C$59,MATCH($C176,Settings!$B$20:$B$59,0))),Settings!$C$10))</f>
        <v/>
      </c>
      <c r="AL176" s="108">
        <f t="shared" si="48"/>
        <v>0</v>
      </c>
      <c r="AM176" s="39" t="str">
        <f t="shared" si="49"/>
        <v/>
      </c>
      <c r="AN176" s="39" t="str">
        <f t="shared" si="50"/>
        <v/>
      </c>
      <c r="AO176" s="39" t="str">
        <f t="shared" si="51"/>
        <v/>
      </c>
      <c r="AP176" s="39">
        <f t="shared" si="52"/>
        <v>0</v>
      </c>
      <c r="AQ176" s="39">
        <f t="shared" si="53"/>
        <v>0</v>
      </c>
    </row>
    <row r="177" spans="14:43" x14ac:dyDescent="0.25">
      <c r="N177" s="105">
        <f t="shared" si="36"/>
        <v>0</v>
      </c>
      <c r="O177" s="106" t="str">
        <f>IF($F177="","",IF(ISNUMBER($F177),$F177+Settings!$C$7/24,IFERROR(DATEVALUE(LEFT($F177,10))+TIMEVALUE(MID($F177,12,8))+Settings!$C$7/24,"")))</f>
        <v/>
      </c>
      <c r="P177" s="106" t="str">
        <f>IF($G177="","",IF(ISNUMBER($G177),$G177+Settings!$C$7/24,IFERROR(DATEVALUE(LEFT($G177,10))+TIMEVALUE(MID($G177,12,8))+Settings!$C$7/24,"")))</f>
        <v/>
      </c>
      <c r="Q177" s="39" t="str">
        <f t="shared" si="37"/>
        <v/>
      </c>
      <c r="R177" s="39" t="str">
        <f t="shared" si="38"/>
        <v/>
      </c>
      <c r="S177" s="107" t="str">
        <f t="shared" si="39"/>
        <v/>
      </c>
      <c r="T177" s="39" t="str">
        <f>IF($C177="","",IF(COUNTIF($C$2:$C177,$C177)=1,1,0))</f>
        <v/>
      </c>
      <c r="U177" s="39" t="str">
        <f>IF($T177=1,COUNTIF($T$2:$T177,1),"")</f>
        <v/>
      </c>
      <c r="V177" s="39" t="str">
        <f>IF($B177="","",IF(COUNTIF($B$2:$B177,$B177)=1,1,0))</f>
        <v/>
      </c>
      <c r="W177" s="39" t="str">
        <f>IF($V177=1,COUNTIF($V$2:$V177,1),"")</f>
        <v/>
      </c>
      <c r="X177" s="39" t="str">
        <f>IF($A177="","",IF(COUNTIF($A$2:$A177,$A177)=1,1,0))</f>
        <v/>
      </c>
      <c r="Y177" s="39" t="str">
        <f>IF($X177=1,COUNTIF($X$2:$X177,1),"")</f>
        <v/>
      </c>
      <c r="Z177" s="39">
        <f>IF(AND($E177="timed",$N177&gt;Settings!$C$8),1,0)</f>
        <v>0</v>
      </c>
      <c r="AA177" s="39">
        <f t="shared" si="40"/>
        <v>0</v>
      </c>
      <c r="AB177" s="39">
        <f t="shared" si="41"/>
        <v>0</v>
      </c>
      <c r="AC177" s="39" t="str">
        <f t="shared" si="42"/>
        <v/>
      </c>
      <c r="AD177" s="39" t="str">
        <f t="shared" si="43"/>
        <v/>
      </c>
      <c r="AE177" s="39" t="str">
        <f t="shared" si="44"/>
        <v/>
      </c>
      <c r="AF177" s="106" t="str">
        <f t="shared" si="45"/>
        <v/>
      </c>
      <c r="AG177" s="39">
        <f t="shared" si="46"/>
        <v>0</v>
      </c>
      <c r="AH177" s="39" t="str">
        <f t="shared" si="47"/>
        <v/>
      </c>
      <c r="AI177" s="39">
        <f>IF(AND($E177="timed",$N177&gt;=Settings!$C$9),1,0)</f>
        <v>0</v>
      </c>
      <c r="AJ177" s="39" t="str">
        <f>IF(OR($S177="",Settings!$C$16=""),"",IF($S177&lt;=Settings!$C$16,1,2))</f>
        <v/>
      </c>
      <c r="AK177" s="39" t="str">
        <f>IF($C177="","",IFERROR(IF(INDEX(Settings!$C$20:$C$59,MATCH($C177,Settings!$B$20:$B$59,0))="",Settings!$C$10,INDEX(Settings!$C$20:$C$59,MATCH($C177,Settings!$B$20:$B$59,0))),Settings!$C$10))</f>
        <v/>
      </c>
      <c r="AL177" s="108">
        <f t="shared" si="48"/>
        <v>0</v>
      </c>
      <c r="AM177" s="39" t="str">
        <f t="shared" si="49"/>
        <v/>
      </c>
      <c r="AN177" s="39" t="str">
        <f t="shared" si="50"/>
        <v/>
      </c>
      <c r="AO177" s="39" t="str">
        <f t="shared" si="51"/>
        <v/>
      </c>
      <c r="AP177" s="39">
        <f t="shared" si="52"/>
        <v>0</v>
      </c>
      <c r="AQ177" s="39">
        <f t="shared" si="53"/>
        <v>0</v>
      </c>
    </row>
    <row r="178" spans="14:43" x14ac:dyDescent="0.25">
      <c r="N178" s="105">
        <f t="shared" si="36"/>
        <v>0</v>
      </c>
      <c r="O178" s="106" t="str">
        <f>IF($F178="","",IF(ISNUMBER($F178),$F178+Settings!$C$7/24,IFERROR(DATEVALUE(LEFT($F178,10))+TIMEVALUE(MID($F178,12,8))+Settings!$C$7/24,"")))</f>
        <v/>
      </c>
      <c r="P178" s="106" t="str">
        <f>IF($G178="","",IF(ISNUMBER($G178),$G178+Settings!$C$7/24,IFERROR(DATEVALUE(LEFT($G178,10))+TIMEVALUE(MID($G178,12,8))+Settings!$C$7/24,"")))</f>
        <v/>
      </c>
      <c r="Q178" s="39" t="str">
        <f t="shared" si="37"/>
        <v/>
      </c>
      <c r="R178" s="39" t="str">
        <f t="shared" si="38"/>
        <v/>
      </c>
      <c r="S178" s="107" t="str">
        <f t="shared" si="39"/>
        <v/>
      </c>
      <c r="T178" s="39" t="str">
        <f>IF($C178="","",IF(COUNTIF($C$2:$C178,$C178)=1,1,0))</f>
        <v/>
      </c>
      <c r="U178" s="39" t="str">
        <f>IF($T178=1,COUNTIF($T$2:$T178,1),"")</f>
        <v/>
      </c>
      <c r="V178" s="39" t="str">
        <f>IF($B178="","",IF(COUNTIF($B$2:$B178,$B178)=1,1,0))</f>
        <v/>
      </c>
      <c r="W178" s="39" t="str">
        <f>IF($V178=1,COUNTIF($V$2:$V178,1),"")</f>
        <v/>
      </c>
      <c r="X178" s="39" t="str">
        <f>IF($A178="","",IF(COUNTIF($A$2:$A178,$A178)=1,1,0))</f>
        <v/>
      </c>
      <c r="Y178" s="39" t="str">
        <f>IF($X178=1,COUNTIF($X$2:$X178,1),"")</f>
        <v/>
      </c>
      <c r="Z178" s="39">
        <f>IF(AND($E178="timed",$N178&gt;Settings!$C$8),1,0)</f>
        <v>0</v>
      </c>
      <c r="AA178" s="39">
        <f t="shared" si="40"/>
        <v>0</v>
      </c>
      <c r="AB178" s="39">
        <f t="shared" si="41"/>
        <v>0</v>
      </c>
      <c r="AC178" s="39" t="str">
        <f t="shared" si="42"/>
        <v/>
      </c>
      <c r="AD178" s="39" t="str">
        <f t="shared" si="43"/>
        <v/>
      </c>
      <c r="AE178" s="39" t="str">
        <f t="shared" si="44"/>
        <v/>
      </c>
      <c r="AF178" s="106" t="str">
        <f t="shared" si="45"/>
        <v/>
      </c>
      <c r="AG178" s="39">
        <f t="shared" si="46"/>
        <v>0</v>
      </c>
      <c r="AH178" s="39" t="str">
        <f t="shared" si="47"/>
        <v/>
      </c>
      <c r="AI178" s="39">
        <f>IF(AND($E178="timed",$N178&gt;=Settings!$C$9),1,0)</f>
        <v>0</v>
      </c>
      <c r="AJ178" s="39" t="str">
        <f>IF(OR($S178="",Settings!$C$16=""),"",IF($S178&lt;=Settings!$C$16,1,2))</f>
        <v/>
      </c>
      <c r="AK178" s="39" t="str">
        <f>IF($C178="","",IFERROR(IF(INDEX(Settings!$C$20:$C$59,MATCH($C178,Settings!$B$20:$B$59,0))="",Settings!$C$10,INDEX(Settings!$C$20:$C$59,MATCH($C178,Settings!$B$20:$B$59,0))),Settings!$C$10))</f>
        <v/>
      </c>
      <c r="AL178" s="108">
        <f t="shared" si="48"/>
        <v>0</v>
      </c>
      <c r="AM178" s="39" t="str">
        <f t="shared" si="49"/>
        <v/>
      </c>
      <c r="AN178" s="39" t="str">
        <f t="shared" si="50"/>
        <v/>
      </c>
      <c r="AO178" s="39" t="str">
        <f t="shared" si="51"/>
        <v/>
      </c>
      <c r="AP178" s="39">
        <f t="shared" si="52"/>
        <v>0</v>
      </c>
      <c r="AQ178" s="39">
        <f t="shared" si="53"/>
        <v>0</v>
      </c>
    </row>
    <row r="179" spans="14:43" x14ac:dyDescent="0.25">
      <c r="N179" s="105">
        <f t="shared" si="36"/>
        <v>0</v>
      </c>
      <c r="O179" s="106" t="str">
        <f>IF($F179="","",IF(ISNUMBER($F179),$F179+Settings!$C$7/24,IFERROR(DATEVALUE(LEFT($F179,10))+TIMEVALUE(MID($F179,12,8))+Settings!$C$7/24,"")))</f>
        <v/>
      </c>
      <c r="P179" s="106" t="str">
        <f>IF($G179="","",IF(ISNUMBER($G179),$G179+Settings!$C$7/24,IFERROR(DATEVALUE(LEFT($G179,10))+TIMEVALUE(MID($G179,12,8))+Settings!$C$7/24,"")))</f>
        <v/>
      </c>
      <c r="Q179" s="39" t="str">
        <f t="shared" si="37"/>
        <v/>
      </c>
      <c r="R179" s="39" t="str">
        <f t="shared" si="38"/>
        <v/>
      </c>
      <c r="S179" s="107" t="str">
        <f t="shared" si="39"/>
        <v/>
      </c>
      <c r="T179" s="39" t="str">
        <f>IF($C179="","",IF(COUNTIF($C$2:$C179,$C179)=1,1,0))</f>
        <v/>
      </c>
      <c r="U179" s="39" t="str">
        <f>IF($T179=1,COUNTIF($T$2:$T179,1),"")</f>
        <v/>
      </c>
      <c r="V179" s="39" t="str">
        <f>IF($B179="","",IF(COUNTIF($B$2:$B179,$B179)=1,1,0))</f>
        <v/>
      </c>
      <c r="W179" s="39" t="str">
        <f>IF($V179=1,COUNTIF($V$2:$V179,1),"")</f>
        <v/>
      </c>
      <c r="X179" s="39" t="str">
        <f>IF($A179="","",IF(COUNTIF($A$2:$A179,$A179)=1,1,0))</f>
        <v/>
      </c>
      <c r="Y179" s="39" t="str">
        <f>IF($X179=1,COUNTIF($X$2:$X179,1),"")</f>
        <v/>
      </c>
      <c r="Z179" s="39">
        <f>IF(AND($E179="timed",$N179&gt;Settings!$C$8),1,0)</f>
        <v>0</v>
      </c>
      <c r="AA179" s="39">
        <f t="shared" si="40"/>
        <v>0</v>
      </c>
      <c r="AB179" s="39">
        <f t="shared" si="41"/>
        <v>0</v>
      </c>
      <c r="AC179" s="39" t="str">
        <f t="shared" si="42"/>
        <v/>
      </c>
      <c r="AD179" s="39" t="str">
        <f t="shared" si="43"/>
        <v/>
      </c>
      <c r="AE179" s="39" t="str">
        <f t="shared" si="44"/>
        <v/>
      </c>
      <c r="AF179" s="106" t="str">
        <f t="shared" si="45"/>
        <v/>
      </c>
      <c r="AG179" s="39">
        <f t="shared" si="46"/>
        <v>0</v>
      </c>
      <c r="AH179" s="39" t="str">
        <f t="shared" si="47"/>
        <v/>
      </c>
      <c r="AI179" s="39">
        <f>IF(AND($E179="timed",$N179&gt;=Settings!$C$9),1,0)</f>
        <v>0</v>
      </c>
      <c r="AJ179" s="39" t="str">
        <f>IF(OR($S179="",Settings!$C$16=""),"",IF($S179&lt;=Settings!$C$16,1,2))</f>
        <v/>
      </c>
      <c r="AK179" s="39" t="str">
        <f>IF($C179="","",IFERROR(IF(INDEX(Settings!$C$20:$C$59,MATCH($C179,Settings!$B$20:$B$59,0))="",Settings!$C$10,INDEX(Settings!$C$20:$C$59,MATCH($C179,Settings!$B$20:$B$59,0))),Settings!$C$10))</f>
        <v/>
      </c>
      <c r="AL179" s="108">
        <f t="shared" si="48"/>
        <v>0</v>
      </c>
      <c r="AM179" s="39" t="str">
        <f t="shared" si="49"/>
        <v/>
      </c>
      <c r="AN179" s="39" t="str">
        <f t="shared" si="50"/>
        <v/>
      </c>
      <c r="AO179" s="39" t="str">
        <f t="shared" si="51"/>
        <v/>
      </c>
      <c r="AP179" s="39">
        <f t="shared" si="52"/>
        <v>0</v>
      </c>
      <c r="AQ179" s="39">
        <f t="shared" si="53"/>
        <v>0</v>
      </c>
    </row>
    <row r="180" spans="14:43" x14ac:dyDescent="0.25">
      <c r="N180" s="105">
        <f t="shared" si="36"/>
        <v>0</v>
      </c>
      <c r="O180" s="106" t="str">
        <f>IF($F180="","",IF(ISNUMBER($F180),$F180+Settings!$C$7/24,IFERROR(DATEVALUE(LEFT($F180,10))+TIMEVALUE(MID($F180,12,8))+Settings!$C$7/24,"")))</f>
        <v/>
      </c>
      <c r="P180" s="106" t="str">
        <f>IF($G180="","",IF(ISNUMBER($G180),$G180+Settings!$C$7/24,IFERROR(DATEVALUE(LEFT($G180,10))+TIMEVALUE(MID($G180,12,8))+Settings!$C$7/24,"")))</f>
        <v/>
      </c>
      <c r="Q180" s="39" t="str">
        <f t="shared" si="37"/>
        <v/>
      </c>
      <c r="R180" s="39" t="str">
        <f t="shared" si="38"/>
        <v/>
      </c>
      <c r="S180" s="107" t="str">
        <f t="shared" si="39"/>
        <v/>
      </c>
      <c r="T180" s="39" t="str">
        <f>IF($C180="","",IF(COUNTIF($C$2:$C180,$C180)=1,1,0))</f>
        <v/>
      </c>
      <c r="U180" s="39" t="str">
        <f>IF($T180=1,COUNTIF($T$2:$T180,1),"")</f>
        <v/>
      </c>
      <c r="V180" s="39" t="str">
        <f>IF($B180="","",IF(COUNTIF($B$2:$B180,$B180)=1,1,0))</f>
        <v/>
      </c>
      <c r="W180" s="39" t="str">
        <f>IF($V180=1,COUNTIF($V$2:$V180,1),"")</f>
        <v/>
      </c>
      <c r="X180" s="39" t="str">
        <f>IF($A180="","",IF(COUNTIF($A$2:$A180,$A180)=1,1,0))</f>
        <v/>
      </c>
      <c r="Y180" s="39" t="str">
        <f>IF($X180=1,COUNTIF($X$2:$X180,1),"")</f>
        <v/>
      </c>
      <c r="Z180" s="39">
        <f>IF(AND($E180="timed",$N180&gt;Settings!$C$8),1,0)</f>
        <v>0</v>
      </c>
      <c r="AA180" s="39">
        <f t="shared" si="40"/>
        <v>0</v>
      </c>
      <c r="AB180" s="39">
        <f t="shared" si="41"/>
        <v>0</v>
      </c>
      <c r="AC180" s="39" t="str">
        <f t="shared" si="42"/>
        <v/>
      </c>
      <c r="AD180" s="39" t="str">
        <f t="shared" si="43"/>
        <v/>
      </c>
      <c r="AE180" s="39" t="str">
        <f t="shared" si="44"/>
        <v/>
      </c>
      <c r="AF180" s="106" t="str">
        <f t="shared" si="45"/>
        <v/>
      </c>
      <c r="AG180" s="39">
        <f t="shared" si="46"/>
        <v>0</v>
      </c>
      <c r="AH180" s="39" t="str">
        <f t="shared" si="47"/>
        <v/>
      </c>
      <c r="AI180" s="39">
        <f>IF(AND($E180="timed",$N180&gt;=Settings!$C$9),1,0)</f>
        <v>0</v>
      </c>
      <c r="AJ180" s="39" t="str">
        <f>IF(OR($S180="",Settings!$C$16=""),"",IF($S180&lt;=Settings!$C$16,1,2))</f>
        <v/>
      </c>
      <c r="AK180" s="39" t="str">
        <f>IF($C180="","",IFERROR(IF(INDEX(Settings!$C$20:$C$59,MATCH($C180,Settings!$B$20:$B$59,0))="",Settings!$C$10,INDEX(Settings!$C$20:$C$59,MATCH($C180,Settings!$B$20:$B$59,0))),Settings!$C$10))</f>
        <v/>
      </c>
      <c r="AL180" s="108">
        <f t="shared" si="48"/>
        <v>0</v>
      </c>
      <c r="AM180" s="39" t="str">
        <f t="shared" si="49"/>
        <v/>
      </c>
      <c r="AN180" s="39" t="str">
        <f t="shared" si="50"/>
        <v/>
      </c>
      <c r="AO180" s="39" t="str">
        <f t="shared" si="51"/>
        <v/>
      </c>
      <c r="AP180" s="39">
        <f t="shared" si="52"/>
        <v>0</v>
      </c>
      <c r="AQ180" s="39">
        <f t="shared" si="53"/>
        <v>0</v>
      </c>
    </row>
    <row r="181" spans="14:43" x14ac:dyDescent="0.25">
      <c r="N181" s="105">
        <f t="shared" si="36"/>
        <v>0</v>
      </c>
      <c r="O181" s="106" t="str">
        <f>IF($F181="","",IF(ISNUMBER($F181),$F181+Settings!$C$7/24,IFERROR(DATEVALUE(LEFT($F181,10))+TIMEVALUE(MID($F181,12,8))+Settings!$C$7/24,"")))</f>
        <v/>
      </c>
      <c r="P181" s="106" t="str">
        <f>IF($G181="","",IF(ISNUMBER($G181),$G181+Settings!$C$7/24,IFERROR(DATEVALUE(LEFT($G181,10))+TIMEVALUE(MID($G181,12,8))+Settings!$C$7/24,"")))</f>
        <v/>
      </c>
      <c r="Q181" s="39" t="str">
        <f t="shared" si="37"/>
        <v/>
      </c>
      <c r="R181" s="39" t="str">
        <f t="shared" si="38"/>
        <v/>
      </c>
      <c r="S181" s="107" t="str">
        <f t="shared" si="39"/>
        <v/>
      </c>
      <c r="T181" s="39" t="str">
        <f>IF($C181="","",IF(COUNTIF($C$2:$C181,$C181)=1,1,0))</f>
        <v/>
      </c>
      <c r="U181" s="39" t="str">
        <f>IF($T181=1,COUNTIF($T$2:$T181,1),"")</f>
        <v/>
      </c>
      <c r="V181" s="39" t="str">
        <f>IF($B181="","",IF(COUNTIF($B$2:$B181,$B181)=1,1,0))</f>
        <v/>
      </c>
      <c r="W181" s="39" t="str">
        <f>IF($V181=1,COUNTIF($V$2:$V181,1),"")</f>
        <v/>
      </c>
      <c r="X181" s="39" t="str">
        <f>IF($A181="","",IF(COUNTIF($A$2:$A181,$A181)=1,1,0))</f>
        <v/>
      </c>
      <c r="Y181" s="39" t="str">
        <f>IF($X181=1,COUNTIF($X$2:$X181,1),"")</f>
        <v/>
      </c>
      <c r="Z181" s="39">
        <f>IF(AND($E181="timed",$N181&gt;Settings!$C$8),1,0)</f>
        <v>0</v>
      </c>
      <c r="AA181" s="39">
        <f t="shared" si="40"/>
        <v>0</v>
      </c>
      <c r="AB181" s="39">
        <f t="shared" si="41"/>
        <v>0</v>
      </c>
      <c r="AC181" s="39" t="str">
        <f t="shared" si="42"/>
        <v/>
      </c>
      <c r="AD181" s="39" t="str">
        <f t="shared" si="43"/>
        <v/>
      </c>
      <c r="AE181" s="39" t="str">
        <f t="shared" si="44"/>
        <v/>
      </c>
      <c r="AF181" s="106" t="str">
        <f t="shared" si="45"/>
        <v/>
      </c>
      <c r="AG181" s="39">
        <f t="shared" si="46"/>
        <v>0</v>
      </c>
      <c r="AH181" s="39" t="str">
        <f t="shared" si="47"/>
        <v/>
      </c>
      <c r="AI181" s="39">
        <f>IF(AND($E181="timed",$N181&gt;=Settings!$C$9),1,0)</f>
        <v>0</v>
      </c>
      <c r="AJ181" s="39" t="str">
        <f>IF(OR($S181="",Settings!$C$16=""),"",IF($S181&lt;=Settings!$C$16,1,2))</f>
        <v/>
      </c>
      <c r="AK181" s="39" t="str">
        <f>IF($C181="","",IFERROR(IF(INDEX(Settings!$C$20:$C$59,MATCH($C181,Settings!$B$20:$B$59,0))="",Settings!$C$10,INDEX(Settings!$C$20:$C$59,MATCH($C181,Settings!$B$20:$B$59,0))),Settings!$C$10))</f>
        <v/>
      </c>
      <c r="AL181" s="108">
        <f t="shared" si="48"/>
        <v>0</v>
      </c>
      <c r="AM181" s="39" t="str">
        <f t="shared" si="49"/>
        <v/>
      </c>
      <c r="AN181" s="39" t="str">
        <f t="shared" si="50"/>
        <v/>
      </c>
      <c r="AO181" s="39" t="str">
        <f t="shared" si="51"/>
        <v/>
      </c>
      <c r="AP181" s="39">
        <f t="shared" si="52"/>
        <v>0</v>
      </c>
      <c r="AQ181" s="39">
        <f t="shared" si="53"/>
        <v>0</v>
      </c>
    </row>
    <row r="182" spans="14:43" x14ac:dyDescent="0.25">
      <c r="N182" s="105">
        <f t="shared" si="36"/>
        <v>0</v>
      </c>
      <c r="O182" s="106" t="str">
        <f>IF($F182="","",IF(ISNUMBER($F182),$F182+Settings!$C$7/24,IFERROR(DATEVALUE(LEFT($F182,10))+TIMEVALUE(MID($F182,12,8))+Settings!$C$7/24,"")))</f>
        <v/>
      </c>
      <c r="P182" s="106" t="str">
        <f>IF($G182="","",IF(ISNUMBER($G182),$G182+Settings!$C$7/24,IFERROR(DATEVALUE(LEFT($G182,10))+TIMEVALUE(MID($G182,12,8))+Settings!$C$7/24,"")))</f>
        <v/>
      </c>
      <c r="Q182" s="39" t="str">
        <f t="shared" si="37"/>
        <v/>
      </c>
      <c r="R182" s="39" t="str">
        <f t="shared" si="38"/>
        <v/>
      </c>
      <c r="S182" s="107" t="str">
        <f t="shared" si="39"/>
        <v/>
      </c>
      <c r="T182" s="39" t="str">
        <f>IF($C182="","",IF(COUNTIF($C$2:$C182,$C182)=1,1,0))</f>
        <v/>
      </c>
      <c r="U182" s="39" t="str">
        <f>IF($T182=1,COUNTIF($T$2:$T182,1),"")</f>
        <v/>
      </c>
      <c r="V182" s="39" t="str">
        <f>IF($B182="","",IF(COUNTIF($B$2:$B182,$B182)=1,1,0))</f>
        <v/>
      </c>
      <c r="W182" s="39" t="str">
        <f>IF($V182=1,COUNTIF($V$2:$V182,1),"")</f>
        <v/>
      </c>
      <c r="X182" s="39" t="str">
        <f>IF($A182="","",IF(COUNTIF($A$2:$A182,$A182)=1,1,0))</f>
        <v/>
      </c>
      <c r="Y182" s="39" t="str">
        <f>IF($X182=1,COUNTIF($X$2:$X182,1),"")</f>
        <v/>
      </c>
      <c r="Z182" s="39">
        <f>IF(AND($E182="timed",$N182&gt;Settings!$C$8),1,0)</f>
        <v>0</v>
      </c>
      <c r="AA182" s="39">
        <f t="shared" si="40"/>
        <v>0</v>
      </c>
      <c r="AB182" s="39">
        <f t="shared" si="41"/>
        <v>0</v>
      </c>
      <c r="AC182" s="39" t="str">
        <f t="shared" si="42"/>
        <v/>
      </c>
      <c r="AD182" s="39" t="str">
        <f t="shared" si="43"/>
        <v/>
      </c>
      <c r="AE182" s="39" t="str">
        <f t="shared" si="44"/>
        <v/>
      </c>
      <c r="AF182" s="106" t="str">
        <f t="shared" si="45"/>
        <v/>
      </c>
      <c r="AG182" s="39">
        <f t="shared" si="46"/>
        <v>0</v>
      </c>
      <c r="AH182" s="39" t="str">
        <f t="shared" si="47"/>
        <v/>
      </c>
      <c r="AI182" s="39">
        <f>IF(AND($E182="timed",$N182&gt;=Settings!$C$9),1,0)</f>
        <v>0</v>
      </c>
      <c r="AJ182" s="39" t="str">
        <f>IF(OR($S182="",Settings!$C$16=""),"",IF($S182&lt;=Settings!$C$16,1,2))</f>
        <v/>
      </c>
      <c r="AK182" s="39" t="str">
        <f>IF($C182="","",IFERROR(IF(INDEX(Settings!$C$20:$C$59,MATCH($C182,Settings!$B$20:$B$59,0))="",Settings!$C$10,INDEX(Settings!$C$20:$C$59,MATCH($C182,Settings!$B$20:$B$59,0))),Settings!$C$10))</f>
        <v/>
      </c>
      <c r="AL182" s="108">
        <f t="shared" si="48"/>
        <v>0</v>
      </c>
      <c r="AM182" s="39" t="str">
        <f t="shared" si="49"/>
        <v/>
      </c>
      <c r="AN182" s="39" t="str">
        <f t="shared" si="50"/>
        <v/>
      </c>
      <c r="AO182" s="39" t="str">
        <f t="shared" si="51"/>
        <v/>
      </c>
      <c r="AP182" s="39">
        <f t="shared" si="52"/>
        <v>0</v>
      </c>
      <c r="AQ182" s="39">
        <f t="shared" si="53"/>
        <v>0</v>
      </c>
    </row>
    <row r="183" spans="14:43" x14ac:dyDescent="0.25">
      <c r="N183" s="105">
        <f t="shared" si="36"/>
        <v>0</v>
      </c>
      <c r="O183" s="106" t="str">
        <f>IF($F183="","",IF(ISNUMBER($F183),$F183+Settings!$C$7/24,IFERROR(DATEVALUE(LEFT($F183,10))+TIMEVALUE(MID($F183,12,8))+Settings!$C$7/24,"")))</f>
        <v/>
      </c>
      <c r="P183" s="106" t="str">
        <f>IF($G183="","",IF(ISNUMBER($G183),$G183+Settings!$C$7/24,IFERROR(DATEVALUE(LEFT($G183,10))+TIMEVALUE(MID($G183,12,8))+Settings!$C$7/24,"")))</f>
        <v/>
      </c>
      <c r="Q183" s="39" t="str">
        <f t="shared" si="37"/>
        <v/>
      </c>
      <c r="R183" s="39" t="str">
        <f t="shared" si="38"/>
        <v/>
      </c>
      <c r="S183" s="107" t="str">
        <f t="shared" si="39"/>
        <v/>
      </c>
      <c r="T183" s="39" t="str">
        <f>IF($C183="","",IF(COUNTIF($C$2:$C183,$C183)=1,1,0))</f>
        <v/>
      </c>
      <c r="U183" s="39" t="str">
        <f>IF($T183=1,COUNTIF($T$2:$T183,1),"")</f>
        <v/>
      </c>
      <c r="V183" s="39" t="str">
        <f>IF($B183="","",IF(COUNTIF($B$2:$B183,$B183)=1,1,0))</f>
        <v/>
      </c>
      <c r="W183" s="39" t="str">
        <f>IF($V183=1,COUNTIF($V$2:$V183,1),"")</f>
        <v/>
      </c>
      <c r="X183" s="39" t="str">
        <f>IF($A183="","",IF(COUNTIF($A$2:$A183,$A183)=1,1,0))</f>
        <v/>
      </c>
      <c r="Y183" s="39" t="str">
        <f>IF($X183=1,COUNTIF($X$2:$X183,1),"")</f>
        <v/>
      </c>
      <c r="Z183" s="39">
        <f>IF(AND($E183="timed",$N183&gt;Settings!$C$8),1,0)</f>
        <v>0</v>
      </c>
      <c r="AA183" s="39">
        <f t="shared" si="40"/>
        <v>0</v>
      </c>
      <c r="AB183" s="39">
        <f t="shared" si="41"/>
        <v>0</v>
      </c>
      <c r="AC183" s="39" t="str">
        <f t="shared" si="42"/>
        <v/>
      </c>
      <c r="AD183" s="39" t="str">
        <f t="shared" si="43"/>
        <v/>
      </c>
      <c r="AE183" s="39" t="str">
        <f t="shared" si="44"/>
        <v/>
      </c>
      <c r="AF183" s="106" t="str">
        <f t="shared" si="45"/>
        <v/>
      </c>
      <c r="AG183" s="39">
        <f t="shared" si="46"/>
        <v>0</v>
      </c>
      <c r="AH183" s="39" t="str">
        <f t="shared" si="47"/>
        <v/>
      </c>
      <c r="AI183" s="39">
        <f>IF(AND($E183="timed",$N183&gt;=Settings!$C$9),1,0)</f>
        <v>0</v>
      </c>
      <c r="AJ183" s="39" t="str">
        <f>IF(OR($S183="",Settings!$C$16=""),"",IF($S183&lt;=Settings!$C$16,1,2))</f>
        <v/>
      </c>
      <c r="AK183" s="39" t="str">
        <f>IF($C183="","",IFERROR(IF(INDEX(Settings!$C$20:$C$59,MATCH($C183,Settings!$B$20:$B$59,0))="",Settings!$C$10,INDEX(Settings!$C$20:$C$59,MATCH($C183,Settings!$B$20:$B$59,0))),Settings!$C$10))</f>
        <v/>
      </c>
      <c r="AL183" s="108">
        <f t="shared" si="48"/>
        <v>0</v>
      </c>
      <c r="AM183" s="39" t="str">
        <f t="shared" si="49"/>
        <v/>
      </c>
      <c r="AN183" s="39" t="str">
        <f t="shared" si="50"/>
        <v/>
      </c>
      <c r="AO183" s="39" t="str">
        <f t="shared" si="51"/>
        <v/>
      </c>
      <c r="AP183" s="39">
        <f t="shared" si="52"/>
        <v>0</v>
      </c>
      <c r="AQ183" s="39">
        <f t="shared" si="53"/>
        <v>0</v>
      </c>
    </row>
    <row r="184" spans="14:43" x14ac:dyDescent="0.25">
      <c r="N184" s="105">
        <f t="shared" si="36"/>
        <v>0</v>
      </c>
      <c r="O184" s="106" t="str">
        <f>IF($F184="","",IF(ISNUMBER($F184),$F184+Settings!$C$7/24,IFERROR(DATEVALUE(LEFT($F184,10))+TIMEVALUE(MID($F184,12,8))+Settings!$C$7/24,"")))</f>
        <v/>
      </c>
      <c r="P184" s="106" t="str">
        <f>IF($G184="","",IF(ISNUMBER($G184),$G184+Settings!$C$7/24,IFERROR(DATEVALUE(LEFT($G184,10))+TIMEVALUE(MID($G184,12,8))+Settings!$C$7/24,"")))</f>
        <v/>
      </c>
      <c r="Q184" s="39" t="str">
        <f t="shared" si="37"/>
        <v/>
      </c>
      <c r="R184" s="39" t="str">
        <f t="shared" si="38"/>
        <v/>
      </c>
      <c r="S184" s="107" t="str">
        <f t="shared" si="39"/>
        <v/>
      </c>
      <c r="T184" s="39" t="str">
        <f>IF($C184="","",IF(COUNTIF($C$2:$C184,$C184)=1,1,0))</f>
        <v/>
      </c>
      <c r="U184" s="39" t="str">
        <f>IF($T184=1,COUNTIF($T$2:$T184,1),"")</f>
        <v/>
      </c>
      <c r="V184" s="39" t="str">
        <f>IF($B184="","",IF(COUNTIF($B$2:$B184,$B184)=1,1,0))</f>
        <v/>
      </c>
      <c r="W184" s="39" t="str">
        <f>IF($V184=1,COUNTIF($V$2:$V184,1),"")</f>
        <v/>
      </c>
      <c r="X184" s="39" t="str">
        <f>IF($A184="","",IF(COUNTIF($A$2:$A184,$A184)=1,1,0))</f>
        <v/>
      </c>
      <c r="Y184" s="39" t="str">
        <f>IF($X184=1,COUNTIF($X$2:$X184,1),"")</f>
        <v/>
      </c>
      <c r="Z184" s="39">
        <f>IF(AND($E184="timed",$N184&gt;Settings!$C$8),1,0)</f>
        <v>0</v>
      </c>
      <c r="AA184" s="39">
        <f t="shared" si="40"/>
        <v>0</v>
      </c>
      <c r="AB184" s="39">
        <f t="shared" si="41"/>
        <v>0</v>
      </c>
      <c r="AC184" s="39" t="str">
        <f t="shared" si="42"/>
        <v/>
      </c>
      <c r="AD184" s="39" t="str">
        <f t="shared" si="43"/>
        <v/>
      </c>
      <c r="AE184" s="39" t="str">
        <f t="shared" si="44"/>
        <v/>
      </c>
      <c r="AF184" s="106" t="str">
        <f t="shared" si="45"/>
        <v/>
      </c>
      <c r="AG184" s="39">
        <f t="shared" si="46"/>
        <v>0</v>
      </c>
      <c r="AH184" s="39" t="str">
        <f t="shared" si="47"/>
        <v/>
      </c>
      <c r="AI184" s="39">
        <f>IF(AND($E184="timed",$N184&gt;=Settings!$C$9),1,0)</f>
        <v>0</v>
      </c>
      <c r="AJ184" s="39" t="str">
        <f>IF(OR($S184="",Settings!$C$16=""),"",IF($S184&lt;=Settings!$C$16,1,2))</f>
        <v/>
      </c>
      <c r="AK184" s="39" t="str">
        <f>IF($C184="","",IFERROR(IF(INDEX(Settings!$C$20:$C$59,MATCH($C184,Settings!$B$20:$B$59,0))="",Settings!$C$10,INDEX(Settings!$C$20:$C$59,MATCH($C184,Settings!$B$20:$B$59,0))),Settings!$C$10))</f>
        <v/>
      </c>
      <c r="AL184" s="108">
        <f t="shared" si="48"/>
        <v>0</v>
      </c>
      <c r="AM184" s="39" t="str">
        <f t="shared" si="49"/>
        <v/>
      </c>
      <c r="AN184" s="39" t="str">
        <f t="shared" si="50"/>
        <v/>
      </c>
      <c r="AO184" s="39" t="str">
        <f t="shared" si="51"/>
        <v/>
      </c>
      <c r="AP184" s="39">
        <f t="shared" si="52"/>
        <v>0</v>
      </c>
      <c r="AQ184" s="39">
        <f t="shared" si="53"/>
        <v>0</v>
      </c>
    </row>
    <row r="185" spans="14:43" x14ac:dyDescent="0.25">
      <c r="N185" s="105">
        <f t="shared" si="36"/>
        <v>0</v>
      </c>
      <c r="O185" s="106" t="str">
        <f>IF($F185="","",IF(ISNUMBER($F185),$F185+Settings!$C$7/24,IFERROR(DATEVALUE(LEFT($F185,10))+TIMEVALUE(MID($F185,12,8))+Settings!$C$7/24,"")))</f>
        <v/>
      </c>
      <c r="P185" s="106" t="str">
        <f>IF($G185="","",IF(ISNUMBER($G185),$G185+Settings!$C$7/24,IFERROR(DATEVALUE(LEFT($G185,10))+TIMEVALUE(MID($G185,12,8))+Settings!$C$7/24,"")))</f>
        <v/>
      </c>
      <c r="Q185" s="39" t="str">
        <f t="shared" si="37"/>
        <v/>
      </c>
      <c r="R185" s="39" t="str">
        <f t="shared" si="38"/>
        <v/>
      </c>
      <c r="S185" s="107" t="str">
        <f t="shared" si="39"/>
        <v/>
      </c>
      <c r="T185" s="39" t="str">
        <f>IF($C185="","",IF(COUNTIF($C$2:$C185,$C185)=1,1,0))</f>
        <v/>
      </c>
      <c r="U185" s="39" t="str">
        <f>IF($T185=1,COUNTIF($T$2:$T185,1),"")</f>
        <v/>
      </c>
      <c r="V185" s="39" t="str">
        <f>IF($B185="","",IF(COUNTIF($B$2:$B185,$B185)=1,1,0))</f>
        <v/>
      </c>
      <c r="W185" s="39" t="str">
        <f>IF($V185=1,COUNTIF($V$2:$V185,1),"")</f>
        <v/>
      </c>
      <c r="X185" s="39" t="str">
        <f>IF($A185="","",IF(COUNTIF($A$2:$A185,$A185)=1,1,0))</f>
        <v/>
      </c>
      <c r="Y185" s="39" t="str">
        <f>IF($X185=1,COUNTIF($X$2:$X185,1),"")</f>
        <v/>
      </c>
      <c r="Z185" s="39">
        <f>IF(AND($E185="timed",$N185&gt;Settings!$C$8),1,0)</f>
        <v>0</v>
      </c>
      <c r="AA185" s="39">
        <f t="shared" si="40"/>
        <v>0</v>
      </c>
      <c r="AB185" s="39">
        <f t="shared" si="41"/>
        <v>0</v>
      </c>
      <c r="AC185" s="39" t="str">
        <f t="shared" si="42"/>
        <v/>
      </c>
      <c r="AD185" s="39" t="str">
        <f t="shared" si="43"/>
        <v/>
      </c>
      <c r="AE185" s="39" t="str">
        <f t="shared" si="44"/>
        <v/>
      </c>
      <c r="AF185" s="106" t="str">
        <f t="shared" si="45"/>
        <v/>
      </c>
      <c r="AG185" s="39">
        <f t="shared" si="46"/>
        <v>0</v>
      </c>
      <c r="AH185" s="39" t="str">
        <f t="shared" si="47"/>
        <v/>
      </c>
      <c r="AI185" s="39">
        <f>IF(AND($E185="timed",$N185&gt;=Settings!$C$9),1,0)</f>
        <v>0</v>
      </c>
      <c r="AJ185" s="39" t="str">
        <f>IF(OR($S185="",Settings!$C$16=""),"",IF($S185&lt;=Settings!$C$16,1,2))</f>
        <v/>
      </c>
      <c r="AK185" s="39" t="str">
        <f>IF($C185="","",IFERROR(IF(INDEX(Settings!$C$20:$C$59,MATCH($C185,Settings!$B$20:$B$59,0))="",Settings!$C$10,INDEX(Settings!$C$20:$C$59,MATCH($C185,Settings!$B$20:$B$59,0))),Settings!$C$10))</f>
        <v/>
      </c>
      <c r="AL185" s="108">
        <f t="shared" si="48"/>
        <v>0</v>
      </c>
      <c r="AM185" s="39" t="str">
        <f t="shared" si="49"/>
        <v/>
      </c>
      <c r="AN185" s="39" t="str">
        <f t="shared" si="50"/>
        <v/>
      </c>
      <c r="AO185" s="39" t="str">
        <f t="shared" si="51"/>
        <v/>
      </c>
      <c r="AP185" s="39">
        <f t="shared" si="52"/>
        <v>0</v>
      </c>
      <c r="AQ185" s="39">
        <f t="shared" si="53"/>
        <v>0</v>
      </c>
    </row>
    <row r="186" spans="14:43" x14ac:dyDescent="0.25">
      <c r="N186" s="105">
        <f t="shared" si="36"/>
        <v>0</v>
      </c>
      <c r="O186" s="106" t="str">
        <f>IF($F186="","",IF(ISNUMBER($F186),$F186+Settings!$C$7/24,IFERROR(DATEVALUE(LEFT($F186,10))+TIMEVALUE(MID($F186,12,8))+Settings!$C$7/24,"")))</f>
        <v/>
      </c>
      <c r="P186" s="106" t="str">
        <f>IF($G186="","",IF(ISNUMBER($G186),$G186+Settings!$C$7/24,IFERROR(DATEVALUE(LEFT($G186,10))+TIMEVALUE(MID($G186,12,8))+Settings!$C$7/24,"")))</f>
        <v/>
      </c>
      <c r="Q186" s="39" t="str">
        <f t="shared" si="37"/>
        <v/>
      </c>
      <c r="R186" s="39" t="str">
        <f t="shared" si="38"/>
        <v/>
      </c>
      <c r="S186" s="107" t="str">
        <f t="shared" si="39"/>
        <v/>
      </c>
      <c r="T186" s="39" t="str">
        <f>IF($C186="","",IF(COUNTIF($C$2:$C186,$C186)=1,1,0))</f>
        <v/>
      </c>
      <c r="U186" s="39" t="str">
        <f>IF($T186=1,COUNTIF($T$2:$T186,1),"")</f>
        <v/>
      </c>
      <c r="V186" s="39" t="str">
        <f>IF($B186="","",IF(COUNTIF($B$2:$B186,$B186)=1,1,0))</f>
        <v/>
      </c>
      <c r="W186" s="39" t="str">
        <f>IF($V186=1,COUNTIF($V$2:$V186,1),"")</f>
        <v/>
      </c>
      <c r="X186" s="39" t="str">
        <f>IF($A186="","",IF(COUNTIF($A$2:$A186,$A186)=1,1,0))</f>
        <v/>
      </c>
      <c r="Y186" s="39" t="str">
        <f>IF($X186=1,COUNTIF($X$2:$X186,1),"")</f>
        <v/>
      </c>
      <c r="Z186" s="39">
        <f>IF(AND($E186="timed",$N186&gt;Settings!$C$8),1,0)</f>
        <v>0</v>
      </c>
      <c r="AA186" s="39">
        <f t="shared" si="40"/>
        <v>0</v>
      </c>
      <c r="AB186" s="39">
        <f t="shared" si="41"/>
        <v>0</v>
      </c>
      <c r="AC186" s="39" t="str">
        <f t="shared" si="42"/>
        <v/>
      </c>
      <c r="AD186" s="39" t="str">
        <f t="shared" si="43"/>
        <v/>
      </c>
      <c r="AE186" s="39" t="str">
        <f t="shared" si="44"/>
        <v/>
      </c>
      <c r="AF186" s="106" t="str">
        <f t="shared" si="45"/>
        <v/>
      </c>
      <c r="AG186" s="39">
        <f t="shared" si="46"/>
        <v>0</v>
      </c>
      <c r="AH186" s="39" t="str">
        <f t="shared" si="47"/>
        <v/>
      </c>
      <c r="AI186" s="39">
        <f>IF(AND($E186="timed",$N186&gt;=Settings!$C$9),1,0)</f>
        <v>0</v>
      </c>
      <c r="AJ186" s="39" t="str">
        <f>IF(OR($S186="",Settings!$C$16=""),"",IF($S186&lt;=Settings!$C$16,1,2))</f>
        <v/>
      </c>
      <c r="AK186" s="39" t="str">
        <f>IF($C186="","",IFERROR(IF(INDEX(Settings!$C$20:$C$59,MATCH($C186,Settings!$B$20:$B$59,0))="",Settings!$C$10,INDEX(Settings!$C$20:$C$59,MATCH($C186,Settings!$B$20:$B$59,0))),Settings!$C$10))</f>
        <v/>
      </c>
      <c r="AL186" s="108">
        <f t="shared" si="48"/>
        <v>0</v>
      </c>
      <c r="AM186" s="39" t="str">
        <f t="shared" si="49"/>
        <v/>
      </c>
      <c r="AN186" s="39" t="str">
        <f t="shared" si="50"/>
        <v/>
      </c>
      <c r="AO186" s="39" t="str">
        <f t="shared" si="51"/>
        <v/>
      </c>
      <c r="AP186" s="39">
        <f t="shared" si="52"/>
        <v>0</v>
      </c>
      <c r="AQ186" s="39">
        <f t="shared" si="53"/>
        <v>0</v>
      </c>
    </row>
    <row r="187" spans="14:43" x14ac:dyDescent="0.25">
      <c r="N187" s="105">
        <f t="shared" si="36"/>
        <v>0</v>
      </c>
      <c r="O187" s="106" t="str">
        <f>IF($F187="","",IF(ISNUMBER($F187),$F187+Settings!$C$7/24,IFERROR(DATEVALUE(LEFT($F187,10))+TIMEVALUE(MID($F187,12,8))+Settings!$C$7/24,"")))</f>
        <v/>
      </c>
      <c r="P187" s="106" t="str">
        <f>IF($G187="","",IF(ISNUMBER($G187),$G187+Settings!$C$7/24,IFERROR(DATEVALUE(LEFT($G187,10))+TIMEVALUE(MID($G187,12,8))+Settings!$C$7/24,"")))</f>
        <v/>
      </c>
      <c r="Q187" s="39" t="str">
        <f t="shared" si="37"/>
        <v/>
      </c>
      <c r="R187" s="39" t="str">
        <f t="shared" si="38"/>
        <v/>
      </c>
      <c r="S187" s="107" t="str">
        <f t="shared" si="39"/>
        <v/>
      </c>
      <c r="T187" s="39" t="str">
        <f>IF($C187="","",IF(COUNTIF($C$2:$C187,$C187)=1,1,0))</f>
        <v/>
      </c>
      <c r="U187" s="39" t="str">
        <f>IF($T187=1,COUNTIF($T$2:$T187,1),"")</f>
        <v/>
      </c>
      <c r="V187" s="39" t="str">
        <f>IF($B187="","",IF(COUNTIF($B$2:$B187,$B187)=1,1,0))</f>
        <v/>
      </c>
      <c r="W187" s="39" t="str">
        <f>IF($V187=1,COUNTIF($V$2:$V187,1),"")</f>
        <v/>
      </c>
      <c r="X187" s="39" t="str">
        <f>IF($A187="","",IF(COUNTIF($A$2:$A187,$A187)=1,1,0))</f>
        <v/>
      </c>
      <c r="Y187" s="39" t="str">
        <f>IF($X187=1,COUNTIF($X$2:$X187,1),"")</f>
        <v/>
      </c>
      <c r="Z187" s="39">
        <f>IF(AND($E187="timed",$N187&gt;Settings!$C$8),1,0)</f>
        <v>0</v>
      </c>
      <c r="AA187" s="39">
        <f t="shared" si="40"/>
        <v>0</v>
      </c>
      <c r="AB187" s="39">
        <f t="shared" si="41"/>
        <v>0</v>
      </c>
      <c r="AC187" s="39" t="str">
        <f t="shared" si="42"/>
        <v/>
      </c>
      <c r="AD187" s="39" t="str">
        <f t="shared" si="43"/>
        <v/>
      </c>
      <c r="AE187" s="39" t="str">
        <f t="shared" si="44"/>
        <v/>
      </c>
      <c r="AF187" s="106" t="str">
        <f t="shared" si="45"/>
        <v/>
      </c>
      <c r="AG187" s="39">
        <f t="shared" si="46"/>
        <v>0</v>
      </c>
      <c r="AH187" s="39" t="str">
        <f t="shared" si="47"/>
        <v/>
      </c>
      <c r="AI187" s="39">
        <f>IF(AND($E187="timed",$N187&gt;=Settings!$C$9),1,0)</f>
        <v>0</v>
      </c>
      <c r="AJ187" s="39" t="str">
        <f>IF(OR($S187="",Settings!$C$16=""),"",IF($S187&lt;=Settings!$C$16,1,2))</f>
        <v/>
      </c>
      <c r="AK187" s="39" t="str">
        <f>IF($C187="","",IFERROR(IF(INDEX(Settings!$C$20:$C$59,MATCH($C187,Settings!$B$20:$B$59,0))="",Settings!$C$10,INDEX(Settings!$C$20:$C$59,MATCH($C187,Settings!$B$20:$B$59,0))),Settings!$C$10))</f>
        <v/>
      </c>
      <c r="AL187" s="108">
        <f t="shared" si="48"/>
        <v>0</v>
      </c>
      <c r="AM187" s="39" t="str">
        <f t="shared" si="49"/>
        <v/>
      </c>
      <c r="AN187" s="39" t="str">
        <f t="shared" si="50"/>
        <v/>
      </c>
      <c r="AO187" s="39" t="str">
        <f t="shared" si="51"/>
        <v/>
      </c>
      <c r="AP187" s="39">
        <f t="shared" si="52"/>
        <v>0</v>
      </c>
      <c r="AQ187" s="39">
        <f t="shared" si="53"/>
        <v>0</v>
      </c>
    </row>
    <row r="188" spans="14:43" x14ac:dyDescent="0.25">
      <c r="N188" s="105">
        <f t="shared" si="36"/>
        <v>0</v>
      </c>
      <c r="O188" s="106" t="str">
        <f>IF($F188="","",IF(ISNUMBER($F188),$F188+Settings!$C$7/24,IFERROR(DATEVALUE(LEFT($F188,10))+TIMEVALUE(MID($F188,12,8))+Settings!$C$7/24,"")))</f>
        <v/>
      </c>
      <c r="P188" s="106" t="str">
        <f>IF($G188="","",IF(ISNUMBER($G188),$G188+Settings!$C$7/24,IFERROR(DATEVALUE(LEFT($G188,10))+TIMEVALUE(MID($G188,12,8))+Settings!$C$7/24,"")))</f>
        <v/>
      </c>
      <c r="Q188" s="39" t="str">
        <f t="shared" si="37"/>
        <v/>
      </c>
      <c r="R188" s="39" t="str">
        <f t="shared" si="38"/>
        <v/>
      </c>
      <c r="S188" s="107" t="str">
        <f t="shared" si="39"/>
        <v/>
      </c>
      <c r="T188" s="39" t="str">
        <f>IF($C188="","",IF(COUNTIF($C$2:$C188,$C188)=1,1,0))</f>
        <v/>
      </c>
      <c r="U188" s="39" t="str">
        <f>IF($T188=1,COUNTIF($T$2:$T188,1),"")</f>
        <v/>
      </c>
      <c r="V188" s="39" t="str">
        <f>IF($B188="","",IF(COUNTIF($B$2:$B188,$B188)=1,1,0))</f>
        <v/>
      </c>
      <c r="W188" s="39" t="str">
        <f>IF($V188=1,COUNTIF($V$2:$V188,1),"")</f>
        <v/>
      </c>
      <c r="X188" s="39" t="str">
        <f>IF($A188="","",IF(COUNTIF($A$2:$A188,$A188)=1,1,0))</f>
        <v/>
      </c>
      <c r="Y188" s="39" t="str">
        <f>IF($X188=1,COUNTIF($X$2:$X188,1),"")</f>
        <v/>
      </c>
      <c r="Z188" s="39">
        <f>IF(AND($E188="timed",$N188&gt;Settings!$C$8),1,0)</f>
        <v>0</v>
      </c>
      <c r="AA188" s="39">
        <f t="shared" si="40"/>
        <v>0</v>
      </c>
      <c r="AB188" s="39">
        <f t="shared" si="41"/>
        <v>0</v>
      </c>
      <c r="AC188" s="39" t="str">
        <f t="shared" si="42"/>
        <v/>
      </c>
      <c r="AD188" s="39" t="str">
        <f t="shared" si="43"/>
        <v/>
      </c>
      <c r="AE188" s="39" t="str">
        <f t="shared" si="44"/>
        <v/>
      </c>
      <c r="AF188" s="106" t="str">
        <f t="shared" si="45"/>
        <v/>
      </c>
      <c r="AG188" s="39">
        <f t="shared" si="46"/>
        <v>0</v>
      </c>
      <c r="AH188" s="39" t="str">
        <f t="shared" si="47"/>
        <v/>
      </c>
      <c r="AI188" s="39">
        <f>IF(AND($E188="timed",$N188&gt;=Settings!$C$9),1,0)</f>
        <v>0</v>
      </c>
      <c r="AJ188" s="39" t="str">
        <f>IF(OR($S188="",Settings!$C$16=""),"",IF($S188&lt;=Settings!$C$16,1,2))</f>
        <v/>
      </c>
      <c r="AK188" s="39" t="str">
        <f>IF($C188="","",IFERROR(IF(INDEX(Settings!$C$20:$C$59,MATCH($C188,Settings!$B$20:$B$59,0))="",Settings!$C$10,INDEX(Settings!$C$20:$C$59,MATCH($C188,Settings!$B$20:$B$59,0))),Settings!$C$10))</f>
        <v/>
      </c>
      <c r="AL188" s="108">
        <f t="shared" si="48"/>
        <v>0</v>
      </c>
      <c r="AM188" s="39" t="str">
        <f t="shared" si="49"/>
        <v/>
      </c>
      <c r="AN188" s="39" t="str">
        <f t="shared" si="50"/>
        <v/>
      </c>
      <c r="AO188" s="39" t="str">
        <f t="shared" si="51"/>
        <v/>
      </c>
      <c r="AP188" s="39">
        <f t="shared" si="52"/>
        <v>0</v>
      </c>
      <c r="AQ188" s="39">
        <f t="shared" si="53"/>
        <v>0</v>
      </c>
    </row>
    <row r="189" spans="14:43" x14ac:dyDescent="0.25">
      <c r="N189" s="105">
        <f t="shared" si="36"/>
        <v>0</v>
      </c>
      <c r="O189" s="106" t="str">
        <f>IF($F189="","",IF(ISNUMBER($F189),$F189+Settings!$C$7/24,IFERROR(DATEVALUE(LEFT($F189,10))+TIMEVALUE(MID($F189,12,8))+Settings!$C$7/24,"")))</f>
        <v/>
      </c>
      <c r="P189" s="106" t="str">
        <f>IF($G189="","",IF(ISNUMBER($G189),$G189+Settings!$C$7/24,IFERROR(DATEVALUE(LEFT($G189,10))+TIMEVALUE(MID($G189,12,8))+Settings!$C$7/24,"")))</f>
        <v/>
      </c>
      <c r="Q189" s="39" t="str">
        <f t="shared" si="37"/>
        <v/>
      </c>
      <c r="R189" s="39" t="str">
        <f t="shared" si="38"/>
        <v/>
      </c>
      <c r="S189" s="107" t="str">
        <f t="shared" si="39"/>
        <v/>
      </c>
      <c r="T189" s="39" t="str">
        <f>IF($C189="","",IF(COUNTIF($C$2:$C189,$C189)=1,1,0))</f>
        <v/>
      </c>
      <c r="U189" s="39" t="str">
        <f>IF($T189=1,COUNTIF($T$2:$T189,1),"")</f>
        <v/>
      </c>
      <c r="V189" s="39" t="str">
        <f>IF($B189="","",IF(COUNTIF($B$2:$B189,$B189)=1,1,0))</f>
        <v/>
      </c>
      <c r="W189" s="39" t="str">
        <f>IF($V189=1,COUNTIF($V$2:$V189,1),"")</f>
        <v/>
      </c>
      <c r="X189" s="39" t="str">
        <f>IF($A189="","",IF(COUNTIF($A$2:$A189,$A189)=1,1,0))</f>
        <v/>
      </c>
      <c r="Y189" s="39" t="str">
        <f>IF($X189=1,COUNTIF($X$2:$X189,1),"")</f>
        <v/>
      </c>
      <c r="Z189" s="39">
        <f>IF(AND($E189="timed",$N189&gt;Settings!$C$8),1,0)</f>
        <v>0</v>
      </c>
      <c r="AA189" s="39">
        <f t="shared" si="40"/>
        <v>0</v>
      </c>
      <c r="AB189" s="39">
        <f t="shared" si="41"/>
        <v>0</v>
      </c>
      <c r="AC189" s="39" t="str">
        <f t="shared" si="42"/>
        <v/>
      </c>
      <c r="AD189" s="39" t="str">
        <f t="shared" si="43"/>
        <v/>
      </c>
      <c r="AE189" s="39" t="str">
        <f t="shared" si="44"/>
        <v/>
      </c>
      <c r="AF189" s="106" t="str">
        <f t="shared" si="45"/>
        <v/>
      </c>
      <c r="AG189" s="39">
        <f t="shared" si="46"/>
        <v>0</v>
      </c>
      <c r="AH189" s="39" t="str">
        <f t="shared" si="47"/>
        <v/>
      </c>
      <c r="AI189" s="39">
        <f>IF(AND($E189="timed",$N189&gt;=Settings!$C$9),1,0)</f>
        <v>0</v>
      </c>
      <c r="AJ189" s="39" t="str">
        <f>IF(OR($S189="",Settings!$C$16=""),"",IF($S189&lt;=Settings!$C$16,1,2))</f>
        <v/>
      </c>
      <c r="AK189" s="39" t="str">
        <f>IF($C189="","",IFERROR(IF(INDEX(Settings!$C$20:$C$59,MATCH($C189,Settings!$B$20:$B$59,0))="",Settings!$C$10,INDEX(Settings!$C$20:$C$59,MATCH($C189,Settings!$B$20:$B$59,0))),Settings!$C$10))</f>
        <v/>
      </c>
      <c r="AL189" s="108">
        <f t="shared" si="48"/>
        <v>0</v>
      </c>
      <c r="AM189" s="39" t="str">
        <f t="shared" si="49"/>
        <v/>
      </c>
      <c r="AN189" s="39" t="str">
        <f t="shared" si="50"/>
        <v/>
      </c>
      <c r="AO189" s="39" t="str">
        <f t="shared" si="51"/>
        <v/>
      </c>
      <c r="AP189" s="39">
        <f t="shared" si="52"/>
        <v>0</v>
      </c>
      <c r="AQ189" s="39">
        <f t="shared" si="53"/>
        <v>0</v>
      </c>
    </row>
    <row r="190" spans="14:43" x14ac:dyDescent="0.25">
      <c r="N190" s="105">
        <f t="shared" si="36"/>
        <v>0</v>
      </c>
      <c r="O190" s="106" t="str">
        <f>IF($F190="","",IF(ISNUMBER($F190),$F190+Settings!$C$7/24,IFERROR(DATEVALUE(LEFT($F190,10))+TIMEVALUE(MID($F190,12,8))+Settings!$C$7/24,"")))</f>
        <v/>
      </c>
      <c r="P190" s="106" t="str">
        <f>IF($G190="","",IF(ISNUMBER($G190),$G190+Settings!$C$7/24,IFERROR(DATEVALUE(LEFT($G190,10))+TIMEVALUE(MID($G190,12,8))+Settings!$C$7/24,"")))</f>
        <v/>
      </c>
      <c r="Q190" s="39" t="str">
        <f t="shared" si="37"/>
        <v/>
      </c>
      <c r="R190" s="39" t="str">
        <f t="shared" si="38"/>
        <v/>
      </c>
      <c r="S190" s="107" t="str">
        <f t="shared" si="39"/>
        <v/>
      </c>
      <c r="T190" s="39" t="str">
        <f>IF($C190="","",IF(COUNTIF($C$2:$C190,$C190)=1,1,0))</f>
        <v/>
      </c>
      <c r="U190" s="39" t="str">
        <f>IF($T190=1,COUNTIF($T$2:$T190,1),"")</f>
        <v/>
      </c>
      <c r="V190" s="39" t="str">
        <f>IF($B190="","",IF(COUNTIF($B$2:$B190,$B190)=1,1,0))</f>
        <v/>
      </c>
      <c r="W190" s="39" t="str">
        <f>IF($V190=1,COUNTIF($V$2:$V190,1),"")</f>
        <v/>
      </c>
      <c r="X190" s="39" t="str">
        <f>IF($A190="","",IF(COUNTIF($A$2:$A190,$A190)=1,1,0))</f>
        <v/>
      </c>
      <c r="Y190" s="39" t="str">
        <f>IF($X190=1,COUNTIF($X$2:$X190,1),"")</f>
        <v/>
      </c>
      <c r="Z190" s="39">
        <f>IF(AND($E190="timed",$N190&gt;Settings!$C$8),1,0)</f>
        <v>0</v>
      </c>
      <c r="AA190" s="39">
        <f t="shared" si="40"/>
        <v>0</v>
      </c>
      <c r="AB190" s="39">
        <f t="shared" si="41"/>
        <v>0</v>
      </c>
      <c r="AC190" s="39" t="str">
        <f t="shared" si="42"/>
        <v/>
      </c>
      <c r="AD190" s="39" t="str">
        <f t="shared" si="43"/>
        <v/>
      </c>
      <c r="AE190" s="39" t="str">
        <f t="shared" si="44"/>
        <v/>
      </c>
      <c r="AF190" s="106" t="str">
        <f t="shared" si="45"/>
        <v/>
      </c>
      <c r="AG190" s="39">
        <f t="shared" si="46"/>
        <v>0</v>
      </c>
      <c r="AH190" s="39" t="str">
        <f t="shared" si="47"/>
        <v/>
      </c>
      <c r="AI190" s="39">
        <f>IF(AND($E190="timed",$N190&gt;=Settings!$C$9),1,0)</f>
        <v>0</v>
      </c>
      <c r="AJ190" s="39" t="str">
        <f>IF(OR($S190="",Settings!$C$16=""),"",IF($S190&lt;=Settings!$C$16,1,2))</f>
        <v/>
      </c>
      <c r="AK190" s="39" t="str">
        <f>IF($C190="","",IFERROR(IF(INDEX(Settings!$C$20:$C$59,MATCH($C190,Settings!$B$20:$B$59,0))="",Settings!$C$10,INDEX(Settings!$C$20:$C$59,MATCH($C190,Settings!$B$20:$B$59,0))),Settings!$C$10))</f>
        <v/>
      </c>
      <c r="AL190" s="108">
        <f t="shared" si="48"/>
        <v>0</v>
      </c>
      <c r="AM190" s="39" t="str">
        <f t="shared" si="49"/>
        <v/>
      </c>
      <c r="AN190" s="39" t="str">
        <f t="shared" si="50"/>
        <v/>
      </c>
      <c r="AO190" s="39" t="str">
        <f t="shared" si="51"/>
        <v/>
      </c>
      <c r="AP190" s="39">
        <f t="shared" si="52"/>
        <v>0</v>
      </c>
      <c r="AQ190" s="39">
        <f t="shared" si="53"/>
        <v>0</v>
      </c>
    </row>
    <row r="191" spans="14:43" x14ac:dyDescent="0.25">
      <c r="N191" s="105">
        <f t="shared" si="36"/>
        <v>0</v>
      </c>
      <c r="O191" s="106" t="str">
        <f>IF($F191="","",IF(ISNUMBER($F191),$F191+Settings!$C$7/24,IFERROR(DATEVALUE(LEFT($F191,10))+TIMEVALUE(MID($F191,12,8))+Settings!$C$7/24,"")))</f>
        <v/>
      </c>
      <c r="P191" s="106" t="str">
        <f>IF($G191="","",IF(ISNUMBER($G191),$G191+Settings!$C$7/24,IFERROR(DATEVALUE(LEFT($G191,10))+TIMEVALUE(MID($G191,12,8))+Settings!$C$7/24,"")))</f>
        <v/>
      </c>
      <c r="Q191" s="39" t="str">
        <f t="shared" si="37"/>
        <v/>
      </c>
      <c r="R191" s="39" t="str">
        <f t="shared" si="38"/>
        <v/>
      </c>
      <c r="S191" s="107" t="str">
        <f t="shared" si="39"/>
        <v/>
      </c>
      <c r="T191" s="39" t="str">
        <f>IF($C191="","",IF(COUNTIF($C$2:$C191,$C191)=1,1,0))</f>
        <v/>
      </c>
      <c r="U191" s="39" t="str">
        <f>IF($T191=1,COUNTIF($T$2:$T191,1),"")</f>
        <v/>
      </c>
      <c r="V191" s="39" t="str">
        <f>IF($B191="","",IF(COUNTIF($B$2:$B191,$B191)=1,1,0))</f>
        <v/>
      </c>
      <c r="W191" s="39" t="str">
        <f>IF($V191=1,COUNTIF($V$2:$V191,1),"")</f>
        <v/>
      </c>
      <c r="X191" s="39" t="str">
        <f>IF($A191="","",IF(COUNTIF($A$2:$A191,$A191)=1,1,0))</f>
        <v/>
      </c>
      <c r="Y191" s="39" t="str">
        <f>IF($X191=1,COUNTIF($X$2:$X191,1),"")</f>
        <v/>
      </c>
      <c r="Z191" s="39">
        <f>IF(AND($E191="timed",$N191&gt;Settings!$C$8),1,0)</f>
        <v>0</v>
      </c>
      <c r="AA191" s="39">
        <f t="shared" si="40"/>
        <v>0</v>
      </c>
      <c r="AB191" s="39">
        <f t="shared" si="41"/>
        <v>0</v>
      </c>
      <c r="AC191" s="39" t="str">
        <f t="shared" si="42"/>
        <v/>
      </c>
      <c r="AD191" s="39" t="str">
        <f t="shared" si="43"/>
        <v/>
      </c>
      <c r="AE191" s="39" t="str">
        <f t="shared" si="44"/>
        <v/>
      </c>
      <c r="AF191" s="106" t="str">
        <f t="shared" si="45"/>
        <v/>
      </c>
      <c r="AG191" s="39">
        <f t="shared" si="46"/>
        <v>0</v>
      </c>
      <c r="AH191" s="39" t="str">
        <f t="shared" si="47"/>
        <v/>
      </c>
      <c r="AI191" s="39">
        <f>IF(AND($E191="timed",$N191&gt;=Settings!$C$9),1,0)</f>
        <v>0</v>
      </c>
      <c r="AJ191" s="39" t="str">
        <f>IF(OR($S191="",Settings!$C$16=""),"",IF($S191&lt;=Settings!$C$16,1,2))</f>
        <v/>
      </c>
      <c r="AK191" s="39" t="str">
        <f>IF($C191="","",IFERROR(IF(INDEX(Settings!$C$20:$C$59,MATCH($C191,Settings!$B$20:$B$59,0))="",Settings!$C$10,INDEX(Settings!$C$20:$C$59,MATCH($C191,Settings!$B$20:$B$59,0))),Settings!$C$10))</f>
        <v/>
      </c>
      <c r="AL191" s="108">
        <f t="shared" si="48"/>
        <v>0</v>
      </c>
      <c r="AM191" s="39" t="str">
        <f t="shared" si="49"/>
        <v/>
      </c>
      <c r="AN191" s="39" t="str">
        <f t="shared" si="50"/>
        <v/>
      </c>
      <c r="AO191" s="39" t="str">
        <f t="shared" si="51"/>
        <v/>
      </c>
      <c r="AP191" s="39">
        <f t="shared" si="52"/>
        <v>0</v>
      </c>
      <c r="AQ191" s="39">
        <f t="shared" si="53"/>
        <v>0</v>
      </c>
    </row>
    <row r="192" spans="14:43" x14ac:dyDescent="0.25">
      <c r="N192" s="105">
        <f t="shared" si="36"/>
        <v>0</v>
      </c>
      <c r="O192" s="106" t="str">
        <f>IF($F192="","",IF(ISNUMBER($F192),$F192+Settings!$C$7/24,IFERROR(DATEVALUE(LEFT($F192,10))+TIMEVALUE(MID($F192,12,8))+Settings!$C$7/24,"")))</f>
        <v/>
      </c>
      <c r="P192" s="106" t="str">
        <f>IF($G192="","",IF(ISNUMBER($G192),$G192+Settings!$C$7/24,IFERROR(DATEVALUE(LEFT($G192,10))+TIMEVALUE(MID($G192,12,8))+Settings!$C$7/24,"")))</f>
        <v/>
      </c>
      <c r="Q192" s="39" t="str">
        <f t="shared" si="37"/>
        <v/>
      </c>
      <c r="R192" s="39" t="str">
        <f t="shared" si="38"/>
        <v/>
      </c>
      <c r="S192" s="107" t="str">
        <f t="shared" si="39"/>
        <v/>
      </c>
      <c r="T192" s="39" t="str">
        <f>IF($C192="","",IF(COUNTIF($C$2:$C192,$C192)=1,1,0))</f>
        <v/>
      </c>
      <c r="U192" s="39" t="str">
        <f>IF($T192=1,COUNTIF($T$2:$T192,1),"")</f>
        <v/>
      </c>
      <c r="V192" s="39" t="str">
        <f>IF($B192="","",IF(COUNTIF($B$2:$B192,$B192)=1,1,0))</f>
        <v/>
      </c>
      <c r="W192" s="39" t="str">
        <f>IF($V192=1,COUNTIF($V$2:$V192,1),"")</f>
        <v/>
      </c>
      <c r="X192" s="39" t="str">
        <f>IF($A192="","",IF(COUNTIF($A$2:$A192,$A192)=1,1,0))</f>
        <v/>
      </c>
      <c r="Y192" s="39" t="str">
        <f>IF($X192=1,COUNTIF($X$2:$X192,1),"")</f>
        <v/>
      </c>
      <c r="Z192" s="39">
        <f>IF(AND($E192="timed",$N192&gt;Settings!$C$8),1,0)</f>
        <v>0</v>
      </c>
      <c r="AA192" s="39">
        <f t="shared" si="40"/>
        <v>0</v>
      </c>
      <c r="AB192" s="39">
        <f t="shared" si="41"/>
        <v>0</v>
      </c>
      <c r="AC192" s="39" t="str">
        <f t="shared" si="42"/>
        <v/>
      </c>
      <c r="AD192" s="39" t="str">
        <f t="shared" si="43"/>
        <v/>
      </c>
      <c r="AE192" s="39" t="str">
        <f t="shared" si="44"/>
        <v/>
      </c>
      <c r="AF192" s="106" t="str">
        <f t="shared" si="45"/>
        <v/>
      </c>
      <c r="AG192" s="39">
        <f t="shared" si="46"/>
        <v>0</v>
      </c>
      <c r="AH192" s="39" t="str">
        <f t="shared" si="47"/>
        <v/>
      </c>
      <c r="AI192" s="39">
        <f>IF(AND($E192="timed",$N192&gt;=Settings!$C$9),1,0)</f>
        <v>0</v>
      </c>
      <c r="AJ192" s="39" t="str">
        <f>IF(OR($S192="",Settings!$C$16=""),"",IF($S192&lt;=Settings!$C$16,1,2))</f>
        <v/>
      </c>
      <c r="AK192" s="39" t="str">
        <f>IF($C192="","",IFERROR(IF(INDEX(Settings!$C$20:$C$59,MATCH($C192,Settings!$B$20:$B$59,0))="",Settings!$C$10,INDEX(Settings!$C$20:$C$59,MATCH($C192,Settings!$B$20:$B$59,0))),Settings!$C$10))</f>
        <v/>
      </c>
      <c r="AL192" s="108">
        <f t="shared" si="48"/>
        <v>0</v>
      </c>
      <c r="AM192" s="39" t="str">
        <f t="shared" si="49"/>
        <v/>
      </c>
      <c r="AN192" s="39" t="str">
        <f t="shared" si="50"/>
        <v/>
      </c>
      <c r="AO192" s="39" t="str">
        <f t="shared" si="51"/>
        <v/>
      </c>
      <c r="AP192" s="39">
        <f t="shared" si="52"/>
        <v>0</v>
      </c>
      <c r="AQ192" s="39">
        <f t="shared" si="53"/>
        <v>0</v>
      </c>
    </row>
    <row r="193" spans="14:43" x14ac:dyDescent="0.25">
      <c r="N193" s="105">
        <f t="shared" si="36"/>
        <v>0</v>
      </c>
      <c r="O193" s="106" t="str">
        <f>IF($F193="","",IF(ISNUMBER($F193),$F193+Settings!$C$7/24,IFERROR(DATEVALUE(LEFT($F193,10))+TIMEVALUE(MID($F193,12,8))+Settings!$C$7/24,"")))</f>
        <v/>
      </c>
      <c r="P193" s="106" t="str">
        <f>IF($G193="","",IF(ISNUMBER($G193),$G193+Settings!$C$7/24,IFERROR(DATEVALUE(LEFT($G193,10))+TIMEVALUE(MID($G193,12,8))+Settings!$C$7/24,"")))</f>
        <v/>
      </c>
      <c r="Q193" s="39" t="str">
        <f t="shared" si="37"/>
        <v/>
      </c>
      <c r="R193" s="39" t="str">
        <f t="shared" si="38"/>
        <v/>
      </c>
      <c r="S193" s="107" t="str">
        <f t="shared" si="39"/>
        <v/>
      </c>
      <c r="T193" s="39" t="str">
        <f>IF($C193="","",IF(COUNTIF($C$2:$C193,$C193)=1,1,0))</f>
        <v/>
      </c>
      <c r="U193" s="39" t="str">
        <f>IF($T193=1,COUNTIF($T$2:$T193,1),"")</f>
        <v/>
      </c>
      <c r="V193" s="39" t="str">
        <f>IF($B193="","",IF(COUNTIF($B$2:$B193,$B193)=1,1,0))</f>
        <v/>
      </c>
      <c r="W193" s="39" t="str">
        <f>IF($V193=1,COUNTIF($V$2:$V193,1),"")</f>
        <v/>
      </c>
      <c r="X193" s="39" t="str">
        <f>IF($A193="","",IF(COUNTIF($A$2:$A193,$A193)=1,1,0))</f>
        <v/>
      </c>
      <c r="Y193" s="39" t="str">
        <f>IF($X193=1,COUNTIF($X$2:$X193,1),"")</f>
        <v/>
      </c>
      <c r="Z193" s="39">
        <f>IF(AND($E193="timed",$N193&gt;Settings!$C$8),1,0)</f>
        <v>0</v>
      </c>
      <c r="AA193" s="39">
        <f t="shared" si="40"/>
        <v>0</v>
      </c>
      <c r="AB193" s="39">
        <f t="shared" si="41"/>
        <v>0</v>
      </c>
      <c r="AC193" s="39" t="str">
        <f t="shared" si="42"/>
        <v/>
      </c>
      <c r="AD193" s="39" t="str">
        <f t="shared" si="43"/>
        <v/>
      </c>
      <c r="AE193" s="39" t="str">
        <f t="shared" si="44"/>
        <v/>
      </c>
      <c r="AF193" s="106" t="str">
        <f t="shared" si="45"/>
        <v/>
      </c>
      <c r="AG193" s="39">
        <f t="shared" si="46"/>
        <v>0</v>
      </c>
      <c r="AH193" s="39" t="str">
        <f t="shared" si="47"/>
        <v/>
      </c>
      <c r="AI193" s="39">
        <f>IF(AND($E193="timed",$N193&gt;=Settings!$C$9),1,0)</f>
        <v>0</v>
      </c>
      <c r="AJ193" s="39" t="str">
        <f>IF(OR($S193="",Settings!$C$16=""),"",IF($S193&lt;=Settings!$C$16,1,2))</f>
        <v/>
      </c>
      <c r="AK193" s="39" t="str">
        <f>IF($C193="","",IFERROR(IF(INDEX(Settings!$C$20:$C$59,MATCH($C193,Settings!$B$20:$B$59,0))="",Settings!$C$10,INDEX(Settings!$C$20:$C$59,MATCH($C193,Settings!$B$20:$B$59,0))),Settings!$C$10))</f>
        <v/>
      </c>
      <c r="AL193" s="108">
        <f t="shared" si="48"/>
        <v>0</v>
      </c>
      <c r="AM193" s="39" t="str">
        <f t="shared" si="49"/>
        <v/>
      </c>
      <c r="AN193" s="39" t="str">
        <f t="shared" si="50"/>
        <v/>
      </c>
      <c r="AO193" s="39" t="str">
        <f t="shared" si="51"/>
        <v/>
      </c>
      <c r="AP193" s="39">
        <f t="shared" si="52"/>
        <v>0</v>
      </c>
      <c r="AQ193" s="39">
        <f t="shared" si="53"/>
        <v>0</v>
      </c>
    </row>
    <row r="194" spans="14:43" x14ac:dyDescent="0.25">
      <c r="N194" s="105">
        <f t="shared" ref="N194:N257" si="54">IF($E194&lt;&gt;"timed",0,IF(ISNUMBER($H194),$H194,IFERROR(VALUE($H194),0)))</f>
        <v>0</v>
      </c>
      <c r="O194" s="106" t="str">
        <f>IF($F194="","",IF(ISNUMBER($F194),$F194+Settings!$C$7/24,IFERROR(DATEVALUE(LEFT($F194,10))+TIMEVALUE(MID($F194,12,8))+Settings!$C$7/24,"")))</f>
        <v/>
      </c>
      <c r="P194" s="106" t="str">
        <f>IF($G194="","",IF(ISNUMBER($G194),$G194+Settings!$C$7/24,IFERROR(DATEVALUE(LEFT($G194,10))+TIMEVALUE(MID($G194,12,8))+Settings!$C$7/24,"")))</f>
        <v/>
      </c>
      <c r="Q194" s="39" t="str">
        <f t="shared" ref="Q194:Q257" si="55">IF($O194="","",HOUR($O194))</f>
        <v/>
      </c>
      <c r="R194" s="39" t="str">
        <f t="shared" ref="R194:R257" si="56">IF($O194="","",WEEKDAY($O194,2))</f>
        <v/>
      </c>
      <c r="S194" s="107" t="str">
        <f t="shared" ref="S194:S257" si="57">IF($A194="","",IF(ISNUMBER($A194),INT($A194),IFERROR(DATEVALUE($A194),"")))</f>
        <v/>
      </c>
      <c r="T194" s="39" t="str">
        <f>IF($C194="","",IF(COUNTIF($C$2:$C194,$C194)=1,1,0))</f>
        <v/>
      </c>
      <c r="U194" s="39" t="str">
        <f>IF($T194=1,COUNTIF($T$2:$T194,1),"")</f>
        <v/>
      </c>
      <c r="V194" s="39" t="str">
        <f>IF($B194="","",IF(COUNTIF($B$2:$B194,$B194)=1,1,0))</f>
        <v/>
      </c>
      <c r="W194" s="39" t="str">
        <f>IF($V194=1,COUNTIF($V$2:$V194,1),"")</f>
        <v/>
      </c>
      <c r="X194" s="39" t="str">
        <f>IF($A194="","",IF(COUNTIF($A$2:$A194,$A194)=1,1,0))</f>
        <v/>
      </c>
      <c r="Y194" s="39" t="str">
        <f>IF($X194=1,COUNTIF($X$2:$X194,1),"")</f>
        <v/>
      </c>
      <c r="Z194" s="39">
        <f>IF(AND($E194="timed",$N194&gt;Settings!$C$8),1,0)</f>
        <v>0</v>
      </c>
      <c r="AA194" s="39">
        <f t="shared" ref="AA194:AA257" si="58">IF(AND($E194="timed",$G194=""),1,0)</f>
        <v>0</v>
      </c>
      <c r="AB194" s="39">
        <f t="shared" ref="AB194:AB257" si="59">IF($E194&lt;&gt;"timed",0,IF(ISNUMBER($I194),$I194,IFERROR(VALUE($I194),0)))</f>
        <v>0</v>
      </c>
      <c r="AC194" s="39" t="str">
        <f t="shared" ref="AC194:AC257" si="60">IF(OR($E194&lt;&gt;"timed",$O194=""),"",ROUND($O194*86400,0)*10000+ROW())</f>
        <v/>
      </c>
      <c r="AD194" s="39" t="str">
        <f t="shared" ref="AD194:AD257" si="61">IF($AC194="","",COUNTIF($AC$2:$AC$1201,"&lt;"&amp;$AC194)+1)</f>
        <v/>
      </c>
      <c r="AE194" s="39" t="str">
        <f t="shared" ref="AE194:AE257" si="62">IF($AD194="","",IFERROR(IF(INDEX($S$2:$S$1201,MATCH($AD194-1,$AD$2:$AD$1201,0))=$S194,INDEX($C$2:$C$1201,MATCH($AD194-1,$AD$2:$AD$1201,0)),""),""))</f>
        <v/>
      </c>
      <c r="AF194" s="106" t="str">
        <f t="shared" ref="AF194:AF257" si="63">IF($AD194="","",IFERROR(IF(INDEX($S$2:$S$1201,MATCH($AD194-1,$AD$2:$AD$1201,0))=$S194,INDEX($P$2:$P$1201,MATCH($AD194-1,$AD$2:$AD$1201,0)),""),""))</f>
        <v/>
      </c>
      <c r="AG194" s="39">
        <f t="shared" ref="AG194:AG257" si="64">IF(OR($E194&lt;&gt;"timed",$AE194=""),0,IF($AE194=$C194,0,1))</f>
        <v>0</v>
      </c>
      <c r="AH194" s="39" t="str">
        <f t="shared" ref="AH194:AH257" si="65">IF(OR($AF194="",$O194=""),"",MAX(0,ROUND(($O194-$AF194)*1440,0)))</f>
        <v/>
      </c>
      <c r="AI194" s="39">
        <f>IF(AND($E194="timed",$N194&gt;=Settings!$C$9),1,0)</f>
        <v>0</v>
      </c>
      <c r="AJ194" s="39" t="str">
        <f>IF(OR($S194="",Settings!$C$16=""),"",IF($S194&lt;=Settings!$C$16,1,2))</f>
        <v/>
      </c>
      <c r="AK194" s="39" t="str">
        <f>IF($C194="","",IFERROR(IF(INDEX(Settings!$C$20:$C$59,MATCH($C194,Settings!$B$20:$B$59,0))="",Settings!$C$10,INDEX(Settings!$C$20:$C$59,MATCH($C194,Settings!$B$20:$B$59,0))),Settings!$C$10))</f>
        <v/>
      </c>
      <c r="AL194" s="108">
        <f t="shared" ref="AL194:AL257" si="66">IF(OR($N194=0,$AK194=""),0,ROUND($N194/60*$AK194,2))</f>
        <v>0</v>
      </c>
      <c r="AM194" s="39" t="str">
        <f t="shared" ref="AM194:AM257" si="67">IF($AD194="","",IFERROR(INDEX($S$2:$S$1201,MATCH($AD194-1,$AD$2:$AD$1201,0)),""))</f>
        <v/>
      </c>
      <c r="AN194" s="39" t="str">
        <f t="shared" ref="AN194:AN257" si="68">IF($Z194=1,$N194+ROW()/1000000,"")</f>
        <v/>
      </c>
      <c r="AO194" s="39" t="str">
        <f t="shared" ref="AO194:AO257" si="69">IF(OR($E194&lt;&gt;"timed",$P194=""),"",ROUND($P194*86400,0)*10000+ROW())</f>
        <v/>
      </c>
      <c r="AP194" s="39">
        <f t="shared" ref="AP194:AP257" si="70">IF($AC194="",0,IF(COUNTIFS($S$2:$S$1201,$S194,$AC$2:$AC$1201,"&lt;"&amp;$AC194)=0,1,0))</f>
        <v>0</v>
      </c>
      <c r="AQ194" s="39">
        <f t="shared" ref="AQ194:AQ257" si="71">IF($AO194="",0,IF(COUNTIFS($S$2:$S$1201,$S194,$AO$2:$AO$1201,"&gt;"&amp;$AO194)=0,1,0))</f>
        <v>0</v>
      </c>
    </row>
    <row r="195" spans="14:43" x14ac:dyDescent="0.25">
      <c r="N195" s="105">
        <f t="shared" si="54"/>
        <v>0</v>
      </c>
      <c r="O195" s="106" t="str">
        <f>IF($F195="","",IF(ISNUMBER($F195),$F195+Settings!$C$7/24,IFERROR(DATEVALUE(LEFT($F195,10))+TIMEVALUE(MID($F195,12,8))+Settings!$C$7/24,"")))</f>
        <v/>
      </c>
      <c r="P195" s="106" t="str">
        <f>IF($G195="","",IF(ISNUMBER($G195),$G195+Settings!$C$7/24,IFERROR(DATEVALUE(LEFT($G195,10))+TIMEVALUE(MID($G195,12,8))+Settings!$C$7/24,"")))</f>
        <v/>
      </c>
      <c r="Q195" s="39" t="str">
        <f t="shared" si="55"/>
        <v/>
      </c>
      <c r="R195" s="39" t="str">
        <f t="shared" si="56"/>
        <v/>
      </c>
      <c r="S195" s="107" t="str">
        <f t="shared" si="57"/>
        <v/>
      </c>
      <c r="T195" s="39" t="str">
        <f>IF($C195="","",IF(COUNTIF($C$2:$C195,$C195)=1,1,0))</f>
        <v/>
      </c>
      <c r="U195" s="39" t="str">
        <f>IF($T195=1,COUNTIF($T$2:$T195,1),"")</f>
        <v/>
      </c>
      <c r="V195" s="39" t="str">
        <f>IF($B195="","",IF(COUNTIF($B$2:$B195,$B195)=1,1,0))</f>
        <v/>
      </c>
      <c r="W195" s="39" t="str">
        <f>IF($V195=1,COUNTIF($V$2:$V195,1),"")</f>
        <v/>
      </c>
      <c r="X195" s="39" t="str">
        <f>IF($A195="","",IF(COUNTIF($A$2:$A195,$A195)=1,1,0))</f>
        <v/>
      </c>
      <c r="Y195" s="39" t="str">
        <f>IF($X195=1,COUNTIF($X$2:$X195,1),"")</f>
        <v/>
      </c>
      <c r="Z195" s="39">
        <f>IF(AND($E195="timed",$N195&gt;Settings!$C$8),1,0)</f>
        <v>0</v>
      </c>
      <c r="AA195" s="39">
        <f t="shared" si="58"/>
        <v>0</v>
      </c>
      <c r="AB195" s="39">
        <f t="shared" si="59"/>
        <v>0</v>
      </c>
      <c r="AC195" s="39" t="str">
        <f t="shared" si="60"/>
        <v/>
      </c>
      <c r="AD195" s="39" t="str">
        <f t="shared" si="61"/>
        <v/>
      </c>
      <c r="AE195" s="39" t="str">
        <f t="shared" si="62"/>
        <v/>
      </c>
      <c r="AF195" s="106" t="str">
        <f t="shared" si="63"/>
        <v/>
      </c>
      <c r="AG195" s="39">
        <f t="shared" si="64"/>
        <v>0</v>
      </c>
      <c r="AH195" s="39" t="str">
        <f t="shared" si="65"/>
        <v/>
      </c>
      <c r="AI195" s="39">
        <f>IF(AND($E195="timed",$N195&gt;=Settings!$C$9),1,0)</f>
        <v>0</v>
      </c>
      <c r="AJ195" s="39" t="str">
        <f>IF(OR($S195="",Settings!$C$16=""),"",IF($S195&lt;=Settings!$C$16,1,2))</f>
        <v/>
      </c>
      <c r="AK195" s="39" t="str">
        <f>IF($C195="","",IFERROR(IF(INDEX(Settings!$C$20:$C$59,MATCH($C195,Settings!$B$20:$B$59,0))="",Settings!$C$10,INDEX(Settings!$C$20:$C$59,MATCH($C195,Settings!$B$20:$B$59,0))),Settings!$C$10))</f>
        <v/>
      </c>
      <c r="AL195" s="108">
        <f t="shared" si="66"/>
        <v>0</v>
      </c>
      <c r="AM195" s="39" t="str">
        <f t="shared" si="67"/>
        <v/>
      </c>
      <c r="AN195" s="39" t="str">
        <f t="shared" si="68"/>
        <v/>
      </c>
      <c r="AO195" s="39" t="str">
        <f t="shared" si="69"/>
        <v/>
      </c>
      <c r="AP195" s="39">
        <f t="shared" si="70"/>
        <v>0</v>
      </c>
      <c r="AQ195" s="39">
        <f t="shared" si="71"/>
        <v>0</v>
      </c>
    </row>
    <row r="196" spans="14:43" x14ac:dyDescent="0.25">
      <c r="N196" s="105">
        <f t="shared" si="54"/>
        <v>0</v>
      </c>
      <c r="O196" s="106" t="str">
        <f>IF($F196="","",IF(ISNUMBER($F196),$F196+Settings!$C$7/24,IFERROR(DATEVALUE(LEFT($F196,10))+TIMEVALUE(MID($F196,12,8))+Settings!$C$7/24,"")))</f>
        <v/>
      </c>
      <c r="P196" s="106" t="str">
        <f>IF($G196="","",IF(ISNUMBER($G196),$G196+Settings!$C$7/24,IFERROR(DATEVALUE(LEFT($G196,10))+TIMEVALUE(MID($G196,12,8))+Settings!$C$7/24,"")))</f>
        <v/>
      </c>
      <c r="Q196" s="39" t="str">
        <f t="shared" si="55"/>
        <v/>
      </c>
      <c r="R196" s="39" t="str">
        <f t="shared" si="56"/>
        <v/>
      </c>
      <c r="S196" s="107" t="str">
        <f t="shared" si="57"/>
        <v/>
      </c>
      <c r="T196" s="39" t="str">
        <f>IF($C196="","",IF(COUNTIF($C$2:$C196,$C196)=1,1,0))</f>
        <v/>
      </c>
      <c r="U196" s="39" t="str">
        <f>IF($T196=1,COUNTIF($T$2:$T196,1),"")</f>
        <v/>
      </c>
      <c r="V196" s="39" t="str">
        <f>IF($B196="","",IF(COUNTIF($B$2:$B196,$B196)=1,1,0))</f>
        <v/>
      </c>
      <c r="W196" s="39" t="str">
        <f>IF($V196=1,COUNTIF($V$2:$V196,1),"")</f>
        <v/>
      </c>
      <c r="X196" s="39" t="str">
        <f>IF($A196="","",IF(COUNTIF($A$2:$A196,$A196)=1,1,0))</f>
        <v/>
      </c>
      <c r="Y196" s="39" t="str">
        <f>IF($X196=1,COUNTIF($X$2:$X196,1),"")</f>
        <v/>
      </c>
      <c r="Z196" s="39">
        <f>IF(AND($E196="timed",$N196&gt;Settings!$C$8),1,0)</f>
        <v>0</v>
      </c>
      <c r="AA196" s="39">
        <f t="shared" si="58"/>
        <v>0</v>
      </c>
      <c r="AB196" s="39">
        <f t="shared" si="59"/>
        <v>0</v>
      </c>
      <c r="AC196" s="39" t="str">
        <f t="shared" si="60"/>
        <v/>
      </c>
      <c r="AD196" s="39" t="str">
        <f t="shared" si="61"/>
        <v/>
      </c>
      <c r="AE196" s="39" t="str">
        <f t="shared" si="62"/>
        <v/>
      </c>
      <c r="AF196" s="106" t="str">
        <f t="shared" si="63"/>
        <v/>
      </c>
      <c r="AG196" s="39">
        <f t="shared" si="64"/>
        <v>0</v>
      </c>
      <c r="AH196" s="39" t="str">
        <f t="shared" si="65"/>
        <v/>
      </c>
      <c r="AI196" s="39">
        <f>IF(AND($E196="timed",$N196&gt;=Settings!$C$9),1,0)</f>
        <v>0</v>
      </c>
      <c r="AJ196" s="39" t="str">
        <f>IF(OR($S196="",Settings!$C$16=""),"",IF($S196&lt;=Settings!$C$16,1,2))</f>
        <v/>
      </c>
      <c r="AK196" s="39" t="str">
        <f>IF($C196="","",IFERROR(IF(INDEX(Settings!$C$20:$C$59,MATCH($C196,Settings!$B$20:$B$59,0))="",Settings!$C$10,INDEX(Settings!$C$20:$C$59,MATCH($C196,Settings!$B$20:$B$59,0))),Settings!$C$10))</f>
        <v/>
      </c>
      <c r="AL196" s="108">
        <f t="shared" si="66"/>
        <v>0</v>
      </c>
      <c r="AM196" s="39" t="str">
        <f t="shared" si="67"/>
        <v/>
      </c>
      <c r="AN196" s="39" t="str">
        <f t="shared" si="68"/>
        <v/>
      </c>
      <c r="AO196" s="39" t="str">
        <f t="shared" si="69"/>
        <v/>
      </c>
      <c r="AP196" s="39">
        <f t="shared" si="70"/>
        <v>0</v>
      </c>
      <c r="AQ196" s="39">
        <f t="shared" si="71"/>
        <v>0</v>
      </c>
    </row>
    <row r="197" spans="14:43" x14ac:dyDescent="0.25">
      <c r="N197" s="105">
        <f t="shared" si="54"/>
        <v>0</v>
      </c>
      <c r="O197" s="106" t="str">
        <f>IF($F197="","",IF(ISNUMBER($F197),$F197+Settings!$C$7/24,IFERROR(DATEVALUE(LEFT($F197,10))+TIMEVALUE(MID($F197,12,8))+Settings!$C$7/24,"")))</f>
        <v/>
      </c>
      <c r="P197" s="106" t="str">
        <f>IF($G197="","",IF(ISNUMBER($G197),$G197+Settings!$C$7/24,IFERROR(DATEVALUE(LEFT($G197,10))+TIMEVALUE(MID($G197,12,8))+Settings!$C$7/24,"")))</f>
        <v/>
      </c>
      <c r="Q197" s="39" t="str">
        <f t="shared" si="55"/>
        <v/>
      </c>
      <c r="R197" s="39" t="str">
        <f t="shared" si="56"/>
        <v/>
      </c>
      <c r="S197" s="107" t="str">
        <f t="shared" si="57"/>
        <v/>
      </c>
      <c r="T197" s="39" t="str">
        <f>IF($C197="","",IF(COUNTIF($C$2:$C197,$C197)=1,1,0))</f>
        <v/>
      </c>
      <c r="U197" s="39" t="str">
        <f>IF($T197=1,COUNTIF($T$2:$T197,1),"")</f>
        <v/>
      </c>
      <c r="V197" s="39" t="str">
        <f>IF($B197="","",IF(COUNTIF($B$2:$B197,$B197)=1,1,0))</f>
        <v/>
      </c>
      <c r="W197" s="39" t="str">
        <f>IF($V197=1,COUNTIF($V$2:$V197,1),"")</f>
        <v/>
      </c>
      <c r="X197" s="39" t="str">
        <f>IF($A197="","",IF(COUNTIF($A$2:$A197,$A197)=1,1,0))</f>
        <v/>
      </c>
      <c r="Y197" s="39" t="str">
        <f>IF($X197=1,COUNTIF($X$2:$X197,1),"")</f>
        <v/>
      </c>
      <c r="Z197" s="39">
        <f>IF(AND($E197="timed",$N197&gt;Settings!$C$8),1,0)</f>
        <v>0</v>
      </c>
      <c r="AA197" s="39">
        <f t="shared" si="58"/>
        <v>0</v>
      </c>
      <c r="AB197" s="39">
        <f t="shared" si="59"/>
        <v>0</v>
      </c>
      <c r="AC197" s="39" t="str">
        <f t="shared" si="60"/>
        <v/>
      </c>
      <c r="AD197" s="39" t="str">
        <f t="shared" si="61"/>
        <v/>
      </c>
      <c r="AE197" s="39" t="str">
        <f t="shared" si="62"/>
        <v/>
      </c>
      <c r="AF197" s="106" t="str">
        <f t="shared" si="63"/>
        <v/>
      </c>
      <c r="AG197" s="39">
        <f t="shared" si="64"/>
        <v>0</v>
      </c>
      <c r="AH197" s="39" t="str">
        <f t="shared" si="65"/>
        <v/>
      </c>
      <c r="AI197" s="39">
        <f>IF(AND($E197="timed",$N197&gt;=Settings!$C$9),1,0)</f>
        <v>0</v>
      </c>
      <c r="AJ197" s="39" t="str">
        <f>IF(OR($S197="",Settings!$C$16=""),"",IF($S197&lt;=Settings!$C$16,1,2))</f>
        <v/>
      </c>
      <c r="AK197" s="39" t="str">
        <f>IF($C197="","",IFERROR(IF(INDEX(Settings!$C$20:$C$59,MATCH($C197,Settings!$B$20:$B$59,0))="",Settings!$C$10,INDEX(Settings!$C$20:$C$59,MATCH($C197,Settings!$B$20:$B$59,0))),Settings!$C$10))</f>
        <v/>
      </c>
      <c r="AL197" s="108">
        <f t="shared" si="66"/>
        <v>0</v>
      </c>
      <c r="AM197" s="39" t="str">
        <f t="shared" si="67"/>
        <v/>
      </c>
      <c r="AN197" s="39" t="str">
        <f t="shared" si="68"/>
        <v/>
      </c>
      <c r="AO197" s="39" t="str">
        <f t="shared" si="69"/>
        <v/>
      </c>
      <c r="AP197" s="39">
        <f t="shared" si="70"/>
        <v>0</v>
      </c>
      <c r="AQ197" s="39">
        <f t="shared" si="71"/>
        <v>0</v>
      </c>
    </row>
    <row r="198" spans="14:43" x14ac:dyDescent="0.25">
      <c r="N198" s="105">
        <f t="shared" si="54"/>
        <v>0</v>
      </c>
      <c r="O198" s="106" t="str">
        <f>IF($F198="","",IF(ISNUMBER($F198),$F198+Settings!$C$7/24,IFERROR(DATEVALUE(LEFT($F198,10))+TIMEVALUE(MID($F198,12,8))+Settings!$C$7/24,"")))</f>
        <v/>
      </c>
      <c r="P198" s="106" t="str">
        <f>IF($G198="","",IF(ISNUMBER($G198),$G198+Settings!$C$7/24,IFERROR(DATEVALUE(LEFT($G198,10))+TIMEVALUE(MID($G198,12,8))+Settings!$C$7/24,"")))</f>
        <v/>
      </c>
      <c r="Q198" s="39" t="str">
        <f t="shared" si="55"/>
        <v/>
      </c>
      <c r="R198" s="39" t="str">
        <f t="shared" si="56"/>
        <v/>
      </c>
      <c r="S198" s="107" t="str">
        <f t="shared" si="57"/>
        <v/>
      </c>
      <c r="T198" s="39" t="str">
        <f>IF($C198="","",IF(COUNTIF($C$2:$C198,$C198)=1,1,0))</f>
        <v/>
      </c>
      <c r="U198" s="39" t="str">
        <f>IF($T198=1,COUNTIF($T$2:$T198,1),"")</f>
        <v/>
      </c>
      <c r="V198" s="39" t="str">
        <f>IF($B198="","",IF(COUNTIF($B$2:$B198,$B198)=1,1,0))</f>
        <v/>
      </c>
      <c r="W198" s="39" t="str">
        <f>IF($V198=1,COUNTIF($V$2:$V198,1),"")</f>
        <v/>
      </c>
      <c r="X198" s="39" t="str">
        <f>IF($A198="","",IF(COUNTIF($A$2:$A198,$A198)=1,1,0))</f>
        <v/>
      </c>
      <c r="Y198" s="39" t="str">
        <f>IF($X198=1,COUNTIF($X$2:$X198,1),"")</f>
        <v/>
      </c>
      <c r="Z198" s="39">
        <f>IF(AND($E198="timed",$N198&gt;Settings!$C$8),1,0)</f>
        <v>0</v>
      </c>
      <c r="AA198" s="39">
        <f t="shared" si="58"/>
        <v>0</v>
      </c>
      <c r="AB198" s="39">
        <f t="shared" si="59"/>
        <v>0</v>
      </c>
      <c r="AC198" s="39" t="str">
        <f t="shared" si="60"/>
        <v/>
      </c>
      <c r="AD198" s="39" t="str">
        <f t="shared" si="61"/>
        <v/>
      </c>
      <c r="AE198" s="39" t="str">
        <f t="shared" si="62"/>
        <v/>
      </c>
      <c r="AF198" s="106" t="str">
        <f t="shared" si="63"/>
        <v/>
      </c>
      <c r="AG198" s="39">
        <f t="shared" si="64"/>
        <v>0</v>
      </c>
      <c r="AH198" s="39" t="str">
        <f t="shared" si="65"/>
        <v/>
      </c>
      <c r="AI198" s="39">
        <f>IF(AND($E198="timed",$N198&gt;=Settings!$C$9),1,0)</f>
        <v>0</v>
      </c>
      <c r="AJ198" s="39" t="str">
        <f>IF(OR($S198="",Settings!$C$16=""),"",IF($S198&lt;=Settings!$C$16,1,2))</f>
        <v/>
      </c>
      <c r="AK198" s="39" t="str">
        <f>IF($C198="","",IFERROR(IF(INDEX(Settings!$C$20:$C$59,MATCH($C198,Settings!$B$20:$B$59,0))="",Settings!$C$10,INDEX(Settings!$C$20:$C$59,MATCH($C198,Settings!$B$20:$B$59,0))),Settings!$C$10))</f>
        <v/>
      </c>
      <c r="AL198" s="108">
        <f t="shared" si="66"/>
        <v>0</v>
      </c>
      <c r="AM198" s="39" t="str">
        <f t="shared" si="67"/>
        <v/>
      </c>
      <c r="AN198" s="39" t="str">
        <f t="shared" si="68"/>
        <v/>
      </c>
      <c r="AO198" s="39" t="str">
        <f t="shared" si="69"/>
        <v/>
      </c>
      <c r="AP198" s="39">
        <f t="shared" si="70"/>
        <v>0</v>
      </c>
      <c r="AQ198" s="39">
        <f t="shared" si="71"/>
        <v>0</v>
      </c>
    </row>
    <row r="199" spans="14:43" x14ac:dyDescent="0.25">
      <c r="N199" s="105">
        <f t="shared" si="54"/>
        <v>0</v>
      </c>
      <c r="O199" s="106" t="str">
        <f>IF($F199="","",IF(ISNUMBER($F199),$F199+Settings!$C$7/24,IFERROR(DATEVALUE(LEFT($F199,10))+TIMEVALUE(MID($F199,12,8))+Settings!$C$7/24,"")))</f>
        <v/>
      </c>
      <c r="P199" s="106" t="str">
        <f>IF($G199="","",IF(ISNUMBER($G199),$G199+Settings!$C$7/24,IFERROR(DATEVALUE(LEFT($G199,10))+TIMEVALUE(MID($G199,12,8))+Settings!$C$7/24,"")))</f>
        <v/>
      </c>
      <c r="Q199" s="39" t="str">
        <f t="shared" si="55"/>
        <v/>
      </c>
      <c r="R199" s="39" t="str">
        <f t="shared" si="56"/>
        <v/>
      </c>
      <c r="S199" s="107" t="str">
        <f t="shared" si="57"/>
        <v/>
      </c>
      <c r="T199" s="39" t="str">
        <f>IF($C199="","",IF(COUNTIF($C$2:$C199,$C199)=1,1,0))</f>
        <v/>
      </c>
      <c r="U199" s="39" t="str">
        <f>IF($T199=1,COUNTIF($T$2:$T199,1),"")</f>
        <v/>
      </c>
      <c r="V199" s="39" t="str">
        <f>IF($B199="","",IF(COUNTIF($B$2:$B199,$B199)=1,1,0))</f>
        <v/>
      </c>
      <c r="W199" s="39" t="str">
        <f>IF($V199=1,COUNTIF($V$2:$V199,1),"")</f>
        <v/>
      </c>
      <c r="X199" s="39" t="str">
        <f>IF($A199="","",IF(COUNTIF($A$2:$A199,$A199)=1,1,0))</f>
        <v/>
      </c>
      <c r="Y199" s="39" t="str">
        <f>IF($X199=1,COUNTIF($X$2:$X199,1),"")</f>
        <v/>
      </c>
      <c r="Z199" s="39">
        <f>IF(AND($E199="timed",$N199&gt;Settings!$C$8),1,0)</f>
        <v>0</v>
      </c>
      <c r="AA199" s="39">
        <f t="shared" si="58"/>
        <v>0</v>
      </c>
      <c r="AB199" s="39">
        <f t="shared" si="59"/>
        <v>0</v>
      </c>
      <c r="AC199" s="39" t="str">
        <f t="shared" si="60"/>
        <v/>
      </c>
      <c r="AD199" s="39" t="str">
        <f t="shared" si="61"/>
        <v/>
      </c>
      <c r="AE199" s="39" t="str">
        <f t="shared" si="62"/>
        <v/>
      </c>
      <c r="AF199" s="106" t="str">
        <f t="shared" si="63"/>
        <v/>
      </c>
      <c r="AG199" s="39">
        <f t="shared" si="64"/>
        <v>0</v>
      </c>
      <c r="AH199" s="39" t="str">
        <f t="shared" si="65"/>
        <v/>
      </c>
      <c r="AI199" s="39">
        <f>IF(AND($E199="timed",$N199&gt;=Settings!$C$9),1,0)</f>
        <v>0</v>
      </c>
      <c r="AJ199" s="39" t="str">
        <f>IF(OR($S199="",Settings!$C$16=""),"",IF($S199&lt;=Settings!$C$16,1,2))</f>
        <v/>
      </c>
      <c r="AK199" s="39" t="str">
        <f>IF($C199="","",IFERROR(IF(INDEX(Settings!$C$20:$C$59,MATCH($C199,Settings!$B$20:$B$59,0))="",Settings!$C$10,INDEX(Settings!$C$20:$C$59,MATCH($C199,Settings!$B$20:$B$59,0))),Settings!$C$10))</f>
        <v/>
      </c>
      <c r="AL199" s="108">
        <f t="shared" si="66"/>
        <v>0</v>
      </c>
      <c r="AM199" s="39" t="str">
        <f t="shared" si="67"/>
        <v/>
      </c>
      <c r="AN199" s="39" t="str">
        <f t="shared" si="68"/>
        <v/>
      </c>
      <c r="AO199" s="39" t="str">
        <f t="shared" si="69"/>
        <v/>
      </c>
      <c r="AP199" s="39">
        <f t="shared" si="70"/>
        <v>0</v>
      </c>
      <c r="AQ199" s="39">
        <f t="shared" si="71"/>
        <v>0</v>
      </c>
    </row>
    <row r="200" spans="14:43" x14ac:dyDescent="0.25">
      <c r="N200" s="105">
        <f t="shared" si="54"/>
        <v>0</v>
      </c>
      <c r="O200" s="106" t="str">
        <f>IF($F200="","",IF(ISNUMBER($F200),$F200+Settings!$C$7/24,IFERROR(DATEVALUE(LEFT($F200,10))+TIMEVALUE(MID($F200,12,8))+Settings!$C$7/24,"")))</f>
        <v/>
      </c>
      <c r="P200" s="106" t="str">
        <f>IF($G200="","",IF(ISNUMBER($G200),$G200+Settings!$C$7/24,IFERROR(DATEVALUE(LEFT($G200,10))+TIMEVALUE(MID($G200,12,8))+Settings!$C$7/24,"")))</f>
        <v/>
      </c>
      <c r="Q200" s="39" t="str">
        <f t="shared" si="55"/>
        <v/>
      </c>
      <c r="R200" s="39" t="str">
        <f t="shared" si="56"/>
        <v/>
      </c>
      <c r="S200" s="107" t="str">
        <f t="shared" si="57"/>
        <v/>
      </c>
      <c r="T200" s="39" t="str">
        <f>IF($C200="","",IF(COUNTIF($C$2:$C200,$C200)=1,1,0))</f>
        <v/>
      </c>
      <c r="U200" s="39" t="str">
        <f>IF($T200=1,COUNTIF($T$2:$T200,1),"")</f>
        <v/>
      </c>
      <c r="V200" s="39" t="str">
        <f>IF($B200="","",IF(COUNTIF($B$2:$B200,$B200)=1,1,0))</f>
        <v/>
      </c>
      <c r="W200" s="39" t="str">
        <f>IF($V200=1,COUNTIF($V$2:$V200,1),"")</f>
        <v/>
      </c>
      <c r="X200" s="39" t="str">
        <f>IF($A200="","",IF(COUNTIF($A$2:$A200,$A200)=1,1,0))</f>
        <v/>
      </c>
      <c r="Y200" s="39" t="str">
        <f>IF($X200=1,COUNTIF($X$2:$X200,1),"")</f>
        <v/>
      </c>
      <c r="Z200" s="39">
        <f>IF(AND($E200="timed",$N200&gt;Settings!$C$8),1,0)</f>
        <v>0</v>
      </c>
      <c r="AA200" s="39">
        <f t="shared" si="58"/>
        <v>0</v>
      </c>
      <c r="AB200" s="39">
        <f t="shared" si="59"/>
        <v>0</v>
      </c>
      <c r="AC200" s="39" t="str">
        <f t="shared" si="60"/>
        <v/>
      </c>
      <c r="AD200" s="39" t="str">
        <f t="shared" si="61"/>
        <v/>
      </c>
      <c r="AE200" s="39" t="str">
        <f t="shared" si="62"/>
        <v/>
      </c>
      <c r="AF200" s="106" t="str">
        <f t="shared" si="63"/>
        <v/>
      </c>
      <c r="AG200" s="39">
        <f t="shared" si="64"/>
        <v>0</v>
      </c>
      <c r="AH200" s="39" t="str">
        <f t="shared" si="65"/>
        <v/>
      </c>
      <c r="AI200" s="39">
        <f>IF(AND($E200="timed",$N200&gt;=Settings!$C$9),1,0)</f>
        <v>0</v>
      </c>
      <c r="AJ200" s="39" t="str">
        <f>IF(OR($S200="",Settings!$C$16=""),"",IF($S200&lt;=Settings!$C$16,1,2))</f>
        <v/>
      </c>
      <c r="AK200" s="39" t="str">
        <f>IF($C200="","",IFERROR(IF(INDEX(Settings!$C$20:$C$59,MATCH($C200,Settings!$B$20:$B$59,0))="",Settings!$C$10,INDEX(Settings!$C$20:$C$59,MATCH($C200,Settings!$B$20:$B$59,0))),Settings!$C$10))</f>
        <v/>
      </c>
      <c r="AL200" s="108">
        <f t="shared" si="66"/>
        <v>0</v>
      </c>
      <c r="AM200" s="39" t="str">
        <f t="shared" si="67"/>
        <v/>
      </c>
      <c r="AN200" s="39" t="str">
        <f t="shared" si="68"/>
        <v/>
      </c>
      <c r="AO200" s="39" t="str">
        <f t="shared" si="69"/>
        <v/>
      </c>
      <c r="AP200" s="39">
        <f t="shared" si="70"/>
        <v>0</v>
      </c>
      <c r="AQ200" s="39">
        <f t="shared" si="71"/>
        <v>0</v>
      </c>
    </row>
    <row r="201" spans="14:43" x14ac:dyDescent="0.25">
      <c r="N201" s="105">
        <f t="shared" si="54"/>
        <v>0</v>
      </c>
      <c r="O201" s="106" t="str">
        <f>IF($F201="","",IF(ISNUMBER($F201),$F201+Settings!$C$7/24,IFERROR(DATEVALUE(LEFT($F201,10))+TIMEVALUE(MID($F201,12,8))+Settings!$C$7/24,"")))</f>
        <v/>
      </c>
      <c r="P201" s="106" t="str">
        <f>IF($G201="","",IF(ISNUMBER($G201),$G201+Settings!$C$7/24,IFERROR(DATEVALUE(LEFT($G201,10))+TIMEVALUE(MID($G201,12,8))+Settings!$C$7/24,"")))</f>
        <v/>
      </c>
      <c r="Q201" s="39" t="str">
        <f t="shared" si="55"/>
        <v/>
      </c>
      <c r="R201" s="39" t="str">
        <f t="shared" si="56"/>
        <v/>
      </c>
      <c r="S201" s="107" t="str">
        <f t="shared" si="57"/>
        <v/>
      </c>
      <c r="T201" s="39" t="str">
        <f>IF($C201="","",IF(COUNTIF($C$2:$C201,$C201)=1,1,0))</f>
        <v/>
      </c>
      <c r="U201" s="39" t="str">
        <f>IF($T201=1,COUNTIF($T$2:$T201,1),"")</f>
        <v/>
      </c>
      <c r="V201" s="39" t="str">
        <f>IF($B201="","",IF(COUNTIF($B$2:$B201,$B201)=1,1,0))</f>
        <v/>
      </c>
      <c r="W201" s="39" t="str">
        <f>IF($V201=1,COUNTIF($V$2:$V201,1),"")</f>
        <v/>
      </c>
      <c r="X201" s="39" t="str">
        <f>IF($A201="","",IF(COUNTIF($A$2:$A201,$A201)=1,1,0))</f>
        <v/>
      </c>
      <c r="Y201" s="39" t="str">
        <f>IF($X201=1,COUNTIF($X$2:$X201,1),"")</f>
        <v/>
      </c>
      <c r="Z201" s="39">
        <f>IF(AND($E201="timed",$N201&gt;Settings!$C$8),1,0)</f>
        <v>0</v>
      </c>
      <c r="AA201" s="39">
        <f t="shared" si="58"/>
        <v>0</v>
      </c>
      <c r="AB201" s="39">
        <f t="shared" si="59"/>
        <v>0</v>
      </c>
      <c r="AC201" s="39" t="str">
        <f t="shared" si="60"/>
        <v/>
      </c>
      <c r="AD201" s="39" t="str">
        <f t="shared" si="61"/>
        <v/>
      </c>
      <c r="AE201" s="39" t="str">
        <f t="shared" si="62"/>
        <v/>
      </c>
      <c r="AF201" s="106" t="str">
        <f t="shared" si="63"/>
        <v/>
      </c>
      <c r="AG201" s="39">
        <f t="shared" si="64"/>
        <v>0</v>
      </c>
      <c r="AH201" s="39" t="str">
        <f t="shared" si="65"/>
        <v/>
      </c>
      <c r="AI201" s="39">
        <f>IF(AND($E201="timed",$N201&gt;=Settings!$C$9),1,0)</f>
        <v>0</v>
      </c>
      <c r="AJ201" s="39" t="str">
        <f>IF(OR($S201="",Settings!$C$16=""),"",IF($S201&lt;=Settings!$C$16,1,2))</f>
        <v/>
      </c>
      <c r="AK201" s="39" t="str">
        <f>IF($C201="","",IFERROR(IF(INDEX(Settings!$C$20:$C$59,MATCH($C201,Settings!$B$20:$B$59,0))="",Settings!$C$10,INDEX(Settings!$C$20:$C$59,MATCH($C201,Settings!$B$20:$B$59,0))),Settings!$C$10))</f>
        <v/>
      </c>
      <c r="AL201" s="108">
        <f t="shared" si="66"/>
        <v>0</v>
      </c>
      <c r="AM201" s="39" t="str">
        <f t="shared" si="67"/>
        <v/>
      </c>
      <c r="AN201" s="39" t="str">
        <f t="shared" si="68"/>
        <v/>
      </c>
      <c r="AO201" s="39" t="str">
        <f t="shared" si="69"/>
        <v/>
      </c>
      <c r="AP201" s="39">
        <f t="shared" si="70"/>
        <v>0</v>
      </c>
      <c r="AQ201" s="39">
        <f t="shared" si="71"/>
        <v>0</v>
      </c>
    </row>
    <row r="202" spans="14:43" x14ac:dyDescent="0.25">
      <c r="N202" s="105">
        <f t="shared" si="54"/>
        <v>0</v>
      </c>
      <c r="O202" s="106" t="str">
        <f>IF($F202="","",IF(ISNUMBER($F202),$F202+Settings!$C$7/24,IFERROR(DATEVALUE(LEFT($F202,10))+TIMEVALUE(MID($F202,12,8))+Settings!$C$7/24,"")))</f>
        <v/>
      </c>
      <c r="P202" s="106" t="str">
        <f>IF($G202="","",IF(ISNUMBER($G202),$G202+Settings!$C$7/24,IFERROR(DATEVALUE(LEFT($G202,10))+TIMEVALUE(MID($G202,12,8))+Settings!$C$7/24,"")))</f>
        <v/>
      </c>
      <c r="Q202" s="39" t="str">
        <f t="shared" si="55"/>
        <v/>
      </c>
      <c r="R202" s="39" t="str">
        <f t="shared" si="56"/>
        <v/>
      </c>
      <c r="S202" s="107" t="str">
        <f t="shared" si="57"/>
        <v/>
      </c>
      <c r="T202" s="39" t="str">
        <f>IF($C202="","",IF(COUNTIF($C$2:$C202,$C202)=1,1,0))</f>
        <v/>
      </c>
      <c r="U202" s="39" t="str">
        <f>IF($T202=1,COUNTIF($T$2:$T202,1),"")</f>
        <v/>
      </c>
      <c r="V202" s="39" t="str">
        <f>IF($B202="","",IF(COUNTIF($B$2:$B202,$B202)=1,1,0))</f>
        <v/>
      </c>
      <c r="W202" s="39" t="str">
        <f>IF($V202=1,COUNTIF($V$2:$V202,1),"")</f>
        <v/>
      </c>
      <c r="X202" s="39" t="str">
        <f>IF($A202="","",IF(COUNTIF($A$2:$A202,$A202)=1,1,0))</f>
        <v/>
      </c>
      <c r="Y202" s="39" t="str">
        <f>IF($X202=1,COUNTIF($X$2:$X202,1),"")</f>
        <v/>
      </c>
      <c r="Z202" s="39">
        <f>IF(AND($E202="timed",$N202&gt;Settings!$C$8),1,0)</f>
        <v>0</v>
      </c>
      <c r="AA202" s="39">
        <f t="shared" si="58"/>
        <v>0</v>
      </c>
      <c r="AB202" s="39">
        <f t="shared" si="59"/>
        <v>0</v>
      </c>
      <c r="AC202" s="39" t="str">
        <f t="shared" si="60"/>
        <v/>
      </c>
      <c r="AD202" s="39" t="str">
        <f t="shared" si="61"/>
        <v/>
      </c>
      <c r="AE202" s="39" t="str">
        <f t="shared" si="62"/>
        <v/>
      </c>
      <c r="AF202" s="106" t="str">
        <f t="shared" si="63"/>
        <v/>
      </c>
      <c r="AG202" s="39">
        <f t="shared" si="64"/>
        <v>0</v>
      </c>
      <c r="AH202" s="39" t="str">
        <f t="shared" si="65"/>
        <v/>
      </c>
      <c r="AI202" s="39">
        <f>IF(AND($E202="timed",$N202&gt;=Settings!$C$9),1,0)</f>
        <v>0</v>
      </c>
      <c r="AJ202" s="39" t="str">
        <f>IF(OR($S202="",Settings!$C$16=""),"",IF($S202&lt;=Settings!$C$16,1,2))</f>
        <v/>
      </c>
      <c r="AK202" s="39" t="str">
        <f>IF($C202="","",IFERROR(IF(INDEX(Settings!$C$20:$C$59,MATCH($C202,Settings!$B$20:$B$59,0))="",Settings!$C$10,INDEX(Settings!$C$20:$C$59,MATCH($C202,Settings!$B$20:$B$59,0))),Settings!$C$10))</f>
        <v/>
      </c>
      <c r="AL202" s="108">
        <f t="shared" si="66"/>
        <v>0</v>
      </c>
      <c r="AM202" s="39" t="str">
        <f t="shared" si="67"/>
        <v/>
      </c>
      <c r="AN202" s="39" t="str">
        <f t="shared" si="68"/>
        <v/>
      </c>
      <c r="AO202" s="39" t="str">
        <f t="shared" si="69"/>
        <v/>
      </c>
      <c r="AP202" s="39">
        <f t="shared" si="70"/>
        <v>0</v>
      </c>
      <c r="AQ202" s="39">
        <f t="shared" si="71"/>
        <v>0</v>
      </c>
    </row>
    <row r="203" spans="14:43" x14ac:dyDescent="0.25">
      <c r="N203" s="105">
        <f t="shared" si="54"/>
        <v>0</v>
      </c>
      <c r="O203" s="106" t="str">
        <f>IF($F203="","",IF(ISNUMBER($F203),$F203+Settings!$C$7/24,IFERROR(DATEVALUE(LEFT($F203,10))+TIMEVALUE(MID($F203,12,8))+Settings!$C$7/24,"")))</f>
        <v/>
      </c>
      <c r="P203" s="106" t="str">
        <f>IF($G203="","",IF(ISNUMBER($G203),$G203+Settings!$C$7/24,IFERROR(DATEVALUE(LEFT($G203,10))+TIMEVALUE(MID($G203,12,8))+Settings!$C$7/24,"")))</f>
        <v/>
      </c>
      <c r="Q203" s="39" t="str">
        <f t="shared" si="55"/>
        <v/>
      </c>
      <c r="R203" s="39" t="str">
        <f t="shared" si="56"/>
        <v/>
      </c>
      <c r="S203" s="107" t="str">
        <f t="shared" si="57"/>
        <v/>
      </c>
      <c r="T203" s="39" t="str">
        <f>IF($C203="","",IF(COUNTIF($C$2:$C203,$C203)=1,1,0))</f>
        <v/>
      </c>
      <c r="U203" s="39" t="str">
        <f>IF($T203=1,COUNTIF($T$2:$T203,1),"")</f>
        <v/>
      </c>
      <c r="V203" s="39" t="str">
        <f>IF($B203="","",IF(COUNTIF($B$2:$B203,$B203)=1,1,0))</f>
        <v/>
      </c>
      <c r="W203" s="39" t="str">
        <f>IF($V203=1,COUNTIF($V$2:$V203,1),"")</f>
        <v/>
      </c>
      <c r="X203" s="39" t="str">
        <f>IF($A203="","",IF(COUNTIF($A$2:$A203,$A203)=1,1,0))</f>
        <v/>
      </c>
      <c r="Y203" s="39" t="str">
        <f>IF($X203=1,COUNTIF($X$2:$X203,1),"")</f>
        <v/>
      </c>
      <c r="Z203" s="39">
        <f>IF(AND($E203="timed",$N203&gt;Settings!$C$8),1,0)</f>
        <v>0</v>
      </c>
      <c r="AA203" s="39">
        <f t="shared" si="58"/>
        <v>0</v>
      </c>
      <c r="AB203" s="39">
        <f t="shared" si="59"/>
        <v>0</v>
      </c>
      <c r="AC203" s="39" t="str">
        <f t="shared" si="60"/>
        <v/>
      </c>
      <c r="AD203" s="39" t="str">
        <f t="shared" si="61"/>
        <v/>
      </c>
      <c r="AE203" s="39" t="str">
        <f t="shared" si="62"/>
        <v/>
      </c>
      <c r="AF203" s="106" t="str">
        <f t="shared" si="63"/>
        <v/>
      </c>
      <c r="AG203" s="39">
        <f t="shared" si="64"/>
        <v>0</v>
      </c>
      <c r="AH203" s="39" t="str">
        <f t="shared" si="65"/>
        <v/>
      </c>
      <c r="AI203" s="39">
        <f>IF(AND($E203="timed",$N203&gt;=Settings!$C$9),1,0)</f>
        <v>0</v>
      </c>
      <c r="AJ203" s="39" t="str">
        <f>IF(OR($S203="",Settings!$C$16=""),"",IF($S203&lt;=Settings!$C$16,1,2))</f>
        <v/>
      </c>
      <c r="AK203" s="39" t="str">
        <f>IF($C203="","",IFERROR(IF(INDEX(Settings!$C$20:$C$59,MATCH($C203,Settings!$B$20:$B$59,0))="",Settings!$C$10,INDEX(Settings!$C$20:$C$59,MATCH($C203,Settings!$B$20:$B$59,0))),Settings!$C$10))</f>
        <v/>
      </c>
      <c r="AL203" s="108">
        <f t="shared" si="66"/>
        <v>0</v>
      </c>
      <c r="AM203" s="39" t="str">
        <f t="shared" si="67"/>
        <v/>
      </c>
      <c r="AN203" s="39" t="str">
        <f t="shared" si="68"/>
        <v/>
      </c>
      <c r="AO203" s="39" t="str">
        <f t="shared" si="69"/>
        <v/>
      </c>
      <c r="AP203" s="39">
        <f t="shared" si="70"/>
        <v>0</v>
      </c>
      <c r="AQ203" s="39">
        <f t="shared" si="71"/>
        <v>0</v>
      </c>
    </row>
    <row r="204" spans="14:43" x14ac:dyDescent="0.25">
      <c r="N204" s="105">
        <f t="shared" si="54"/>
        <v>0</v>
      </c>
      <c r="O204" s="106" t="str">
        <f>IF($F204="","",IF(ISNUMBER($F204),$F204+Settings!$C$7/24,IFERROR(DATEVALUE(LEFT($F204,10))+TIMEVALUE(MID($F204,12,8))+Settings!$C$7/24,"")))</f>
        <v/>
      </c>
      <c r="P204" s="106" t="str">
        <f>IF($G204="","",IF(ISNUMBER($G204),$G204+Settings!$C$7/24,IFERROR(DATEVALUE(LEFT($G204,10))+TIMEVALUE(MID($G204,12,8))+Settings!$C$7/24,"")))</f>
        <v/>
      </c>
      <c r="Q204" s="39" t="str">
        <f t="shared" si="55"/>
        <v/>
      </c>
      <c r="R204" s="39" t="str">
        <f t="shared" si="56"/>
        <v/>
      </c>
      <c r="S204" s="107" t="str">
        <f t="shared" si="57"/>
        <v/>
      </c>
      <c r="T204" s="39" t="str">
        <f>IF($C204="","",IF(COUNTIF($C$2:$C204,$C204)=1,1,0))</f>
        <v/>
      </c>
      <c r="U204" s="39" t="str">
        <f>IF($T204=1,COUNTIF($T$2:$T204,1),"")</f>
        <v/>
      </c>
      <c r="V204" s="39" t="str">
        <f>IF($B204="","",IF(COUNTIF($B$2:$B204,$B204)=1,1,0))</f>
        <v/>
      </c>
      <c r="W204" s="39" t="str">
        <f>IF($V204=1,COUNTIF($V$2:$V204,1),"")</f>
        <v/>
      </c>
      <c r="X204" s="39" t="str">
        <f>IF($A204="","",IF(COUNTIF($A$2:$A204,$A204)=1,1,0))</f>
        <v/>
      </c>
      <c r="Y204" s="39" t="str">
        <f>IF($X204=1,COUNTIF($X$2:$X204,1),"")</f>
        <v/>
      </c>
      <c r="Z204" s="39">
        <f>IF(AND($E204="timed",$N204&gt;Settings!$C$8),1,0)</f>
        <v>0</v>
      </c>
      <c r="AA204" s="39">
        <f t="shared" si="58"/>
        <v>0</v>
      </c>
      <c r="AB204" s="39">
        <f t="shared" si="59"/>
        <v>0</v>
      </c>
      <c r="AC204" s="39" t="str">
        <f t="shared" si="60"/>
        <v/>
      </c>
      <c r="AD204" s="39" t="str">
        <f t="shared" si="61"/>
        <v/>
      </c>
      <c r="AE204" s="39" t="str">
        <f t="shared" si="62"/>
        <v/>
      </c>
      <c r="AF204" s="106" t="str">
        <f t="shared" si="63"/>
        <v/>
      </c>
      <c r="AG204" s="39">
        <f t="shared" si="64"/>
        <v>0</v>
      </c>
      <c r="AH204" s="39" t="str">
        <f t="shared" si="65"/>
        <v/>
      </c>
      <c r="AI204" s="39">
        <f>IF(AND($E204="timed",$N204&gt;=Settings!$C$9),1,0)</f>
        <v>0</v>
      </c>
      <c r="AJ204" s="39" t="str">
        <f>IF(OR($S204="",Settings!$C$16=""),"",IF($S204&lt;=Settings!$C$16,1,2))</f>
        <v/>
      </c>
      <c r="AK204" s="39" t="str">
        <f>IF($C204="","",IFERROR(IF(INDEX(Settings!$C$20:$C$59,MATCH($C204,Settings!$B$20:$B$59,0))="",Settings!$C$10,INDEX(Settings!$C$20:$C$59,MATCH($C204,Settings!$B$20:$B$59,0))),Settings!$C$10))</f>
        <v/>
      </c>
      <c r="AL204" s="108">
        <f t="shared" si="66"/>
        <v>0</v>
      </c>
      <c r="AM204" s="39" t="str">
        <f t="shared" si="67"/>
        <v/>
      </c>
      <c r="AN204" s="39" t="str">
        <f t="shared" si="68"/>
        <v/>
      </c>
      <c r="AO204" s="39" t="str">
        <f t="shared" si="69"/>
        <v/>
      </c>
      <c r="AP204" s="39">
        <f t="shared" si="70"/>
        <v>0</v>
      </c>
      <c r="AQ204" s="39">
        <f t="shared" si="71"/>
        <v>0</v>
      </c>
    </row>
    <row r="205" spans="14:43" x14ac:dyDescent="0.25">
      <c r="N205" s="105">
        <f t="shared" si="54"/>
        <v>0</v>
      </c>
      <c r="O205" s="106" t="str">
        <f>IF($F205="","",IF(ISNUMBER($F205),$F205+Settings!$C$7/24,IFERROR(DATEVALUE(LEFT($F205,10))+TIMEVALUE(MID($F205,12,8))+Settings!$C$7/24,"")))</f>
        <v/>
      </c>
      <c r="P205" s="106" t="str">
        <f>IF($G205="","",IF(ISNUMBER($G205),$G205+Settings!$C$7/24,IFERROR(DATEVALUE(LEFT($G205,10))+TIMEVALUE(MID($G205,12,8))+Settings!$C$7/24,"")))</f>
        <v/>
      </c>
      <c r="Q205" s="39" t="str">
        <f t="shared" si="55"/>
        <v/>
      </c>
      <c r="R205" s="39" t="str">
        <f t="shared" si="56"/>
        <v/>
      </c>
      <c r="S205" s="107" t="str">
        <f t="shared" si="57"/>
        <v/>
      </c>
      <c r="T205" s="39" t="str">
        <f>IF($C205="","",IF(COUNTIF($C$2:$C205,$C205)=1,1,0))</f>
        <v/>
      </c>
      <c r="U205" s="39" t="str">
        <f>IF($T205=1,COUNTIF($T$2:$T205,1),"")</f>
        <v/>
      </c>
      <c r="V205" s="39" t="str">
        <f>IF($B205="","",IF(COUNTIF($B$2:$B205,$B205)=1,1,0))</f>
        <v/>
      </c>
      <c r="W205" s="39" t="str">
        <f>IF($V205=1,COUNTIF($V$2:$V205,1),"")</f>
        <v/>
      </c>
      <c r="X205" s="39" t="str">
        <f>IF($A205="","",IF(COUNTIF($A$2:$A205,$A205)=1,1,0))</f>
        <v/>
      </c>
      <c r="Y205" s="39" t="str">
        <f>IF($X205=1,COUNTIF($X$2:$X205,1),"")</f>
        <v/>
      </c>
      <c r="Z205" s="39">
        <f>IF(AND($E205="timed",$N205&gt;Settings!$C$8),1,0)</f>
        <v>0</v>
      </c>
      <c r="AA205" s="39">
        <f t="shared" si="58"/>
        <v>0</v>
      </c>
      <c r="AB205" s="39">
        <f t="shared" si="59"/>
        <v>0</v>
      </c>
      <c r="AC205" s="39" t="str">
        <f t="shared" si="60"/>
        <v/>
      </c>
      <c r="AD205" s="39" t="str">
        <f t="shared" si="61"/>
        <v/>
      </c>
      <c r="AE205" s="39" t="str">
        <f t="shared" si="62"/>
        <v/>
      </c>
      <c r="AF205" s="106" t="str">
        <f t="shared" si="63"/>
        <v/>
      </c>
      <c r="AG205" s="39">
        <f t="shared" si="64"/>
        <v>0</v>
      </c>
      <c r="AH205" s="39" t="str">
        <f t="shared" si="65"/>
        <v/>
      </c>
      <c r="AI205" s="39">
        <f>IF(AND($E205="timed",$N205&gt;=Settings!$C$9),1,0)</f>
        <v>0</v>
      </c>
      <c r="AJ205" s="39" t="str">
        <f>IF(OR($S205="",Settings!$C$16=""),"",IF($S205&lt;=Settings!$C$16,1,2))</f>
        <v/>
      </c>
      <c r="AK205" s="39" t="str">
        <f>IF($C205="","",IFERROR(IF(INDEX(Settings!$C$20:$C$59,MATCH($C205,Settings!$B$20:$B$59,0))="",Settings!$C$10,INDEX(Settings!$C$20:$C$59,MATCH($C205,Settings!$B$20:$B$59,0))),Settings!$C$10))</f>
        <v/>
      </c>
      <c r="AL205" s="108">
        <f t="shared" si="66"/>
        <v>0</v>
      </c>
      <c r="AM205" s="39" t="str">
        <f t="shared" si="67"/>
        <v/>
      </c>
      <c r="AN205" s="39" t="str">
        <f t="shared" si="68"/>
        <v/>
      </c>
      <c r="AO205" s="39" t="str">
        <f t="shared" si="69"/>
        <v/>
      </c>
      <c r="AP205" s="39">
        <f t="shared" si="70"/>
        <v>0</v>
      </c>
      <c r="AQ205" s="39">
        <f t="shared" si="71"/>
        <v>0</v>
      </c>
    </row>
    <row r="206" spans="14:43" x14ac:dyDescent="0.25">
      <c r="N206" s="105">
        <f t="shared" si="54"/>
        <v>0</v>
      </c>
      <c r="O206" s="106" t="str">
        <f>IF($F206="","",IF(ISNUMBER($F206),$F206+Settings!$C$7/24,IFERROR(DATEVALUE(LEFT($F206,10))+TIMEVALUE(MID($F206,12,8))+Settings!$C$7/24,"")))</f>
        <v/>
      </c>
      <c r="P206" s="106" t="str">
        <f>IF($G206="","",IF(ISNUMBER($G206),$G206+Settings!$C$7/24,IFERROR(DATEVALUE(LEFT($G206,10))+TIMEVALUE(MID($G206,12,8))+Settings!$C$7/24,"")))</f>
        <v/>
      </c>
      <c r="Q206" s="39" t="str">
        <f t="shared" si="55"/>
        <v/>
      </c>
      <c r="R206" s="39" t="str">
        <f t="shared" si="56"/>
        <v/>
      </c>
      <c r="S206" s="107" t="str">
        <f t="shared" si="57"/>
        <v/>
      </c>
      <c r="T206" s="39" t="str">
        <f>IF($C206="","",IF(COUNTIF($C$2:$C206,$C206)=1,1,0))</f>
        <v/>
      </c>
      <c r="U206" s="39" t="str">
        <f>IF($T206=1,COUNTIF($T$2:$T206,1),"")</f>
        <v/>
      </c>
      <c r="V206" s="39" t="str">
        <f>IF($B206="","",IF(COUNTIF($B$2:$B206,$B206)=1,1,0))</f>
        <v/>
      </c>
      <c r="W206" s="39" t="str">
        <f>IF($V206=1,COUNTIF($V$2:$V206,1),"")</f>
        <v/>
      </c>
      <c r="X206" s="39" t="str">
        <f>IF($A206="","",IF(COUNTIF($A$2:$A206,$A206)=1,1,0))</f>
        <v/>
      </c>
      <c r="Y206" s="39" t="str">
        <f>IF($X206=1,COUNTIF($X$2:$X206,1),"")</f>
        <v/>
      </c>
      <c r="Z206" s="39">
        <f>IF(AND($E206="timed",$N206&gt;Settings!$C$8),1,0)</f>
        <v>0</v>
      </c>
      <c r="AA206" s="39">
        <f t="shared" si="58"/>
        <v>0</v>
      </c>
      <c r="AB206" s="39">
        <f t="shared" si="59"/>
        <v>0</v>
      </c>
      <c r="AC206" s="39" t="str">
        <f t="shared" si="60"/>
        <v/>
      </c>
      <c r="AD206" s="39" t="str">
        <f t="shared" si="61"/>
        <v/>
      </c>
      <c r="AE206" s="39" t="str">
        <f t="shared" si="62"/>
        <v/>
      </c>
      <c r="AF206" s="106" t="str">
        <f t="shared" si="63"/>
        <v/>
      </c>
      <c r="AG206" s="39">
        <f t="shared" si="64"/>
        <v>0</v>
      </c>
      <c r="AH206" s="39" t="str">
        <f t="shared" si="65"/>
        <v/>
      </c>
      <c r="AI206" s="39">
        <f>IF(AND($E206="timed",$N206&gt;=Settings!$C$9),1,0)</f>
        <v>0</v>
      </c>
      <c r="AJ206" s="39" t="str">
        <f>IF(OR($S206="",Settings!$C$16=""),"",IF($S206&lt;=Settings!$C$16,1,2))</f>
        <v/>
      </c>
      <c r="AK206" s="39" t="str">
        <f>IF($C206="","",IFERROR(IF(INDEX(Settings!$C$20:$C$59,MATCH($C206,Settings!$B$20:$B$59,0))="",Settings!$C$10,INDEX(Settings!$C$20:$C$59,MATCH($C206,Settings!$B$20:$B$59,0))),Settings!$C$10))</f>
        <v/>
      </c>
      <c r="AL206" s="108">
        <f t="shared" si="66"/>
        <v>0</v>
      </c>
      <c r="AM206" s="39" t="str">
        <f t="shared" si="67"/>
        <v/>
      </c>
      <c r="AN206" s="39" t="str">
        <f t="shared" si="68"/>
        <v/>
      </c>
      <c r="AO206" s="39" t="str">
        <f t="shared" si="69"/>
        <v/>
      </c>
      <c r="AP206" s="39">
        <f t="shared" si="70"/>
        <v>0</v>
      </c>
      <c r="AQ206" s="39">
        <f t="shared" si="71"/>
        <v>0</v>
      </c>
    </row>
    <row r="207" spans="14:43" x14ac:dyDescent="0.25">
      <c r="N207" s="105">
        <f t="shared" si="54"/>
        <v>0</v>
      </c>
      <c r="O207" s="106" t="str">
        <f>IF($F207="","",IF(ISNUMBER($F207),$F207+Settings!$C$7/24,IFERROR(DATEVALUE(LEFT($F207,10))+TIMEVALUE(MID($F207,12,8))+Settings!$C$7/24,"")))</f>
        <v/>
      </c>
      <c r="P207" s="106" t="str">
        <f>IF($G207="","",IF(ISNUMBER($G207),$G207+Settings!$C$7/24,IFERROR(DATEVALUE(LEFT($G207,10))+TIMEVALUE(MID($G207,12,8))+Settings!$C$7/24,"")))</f>
        <v/>
      </c>
      <c r="Q207" s="39" t="str">
        <f t="shared" si="55"/>
        <v/>
      </c>
      <c r="R207" s="39" t="str">
        <f t="shared" si="56"/>
        <v/>
      </c>
      <c r="S207" s="107" t="str">
        <f t="shared" si="57"/>
        <v/>
      </c>
      <c r="T207" s="39" t="str">
        <f>IF($C207="","",IF(COUNTIF($C$2:$C207,$C207)=1,1,0))</f>
        <v/>
      </c>
      <c r="U207" s="39" t="str">
        <f>IF($T207=1,COUNTIF($T$2:$T207,1),"")</f>
        <v/>
      </c>
      <c r="V207" s="39" t="str">
        <f>IF($B207="","",IF(COUNTIF($B$2:$B207,$B207)=1,1,0))</f>
        <v/>
      </c>
      <c r="W207" s="39" t="str">
        <f>IF($V207=1,COUNTIF($V$2:$V207,1),"")</f>
        <v/>
      </c>
      <c r="X207" s="39" t="str">
        <f>IF($A207="","",IF(COUNTIF($A$2:$A207,$A207)=1,1,0))</f>
        <v/>
      </c>
      <c r="Y207" s="39" t="str">
        <f>IF($X207=1,COUNTIF($X$2:$X207,1),"")</f>
        <v/>
      </c>
      <c r="Z207" s="39">
        <f>IF(AND($E207="timed",$N207&gt;Settings!$C$8),1,0)</f>
        <v>0</v>
      </c>
      <c r="AA207" s="39">
        <f t="shared" si="58"/>
        <v>0</v>
      </c>
      <c r="AB207" s="39">
        <f t="shared" si="59"/>
        <v>0</v>
      </c>
      <c r="AC207" s="39" t="str">
        <f t="shared" si="60"/>
        <v/>
      </c>
      <c r="AD207" s="39" t="str">
        <f t="shared" si="61"/>
        <v/>
      </c>
      <c r="AE207" s="39" t="str">
        <f t="shared" si="62"/>
        <v/>
      </c>
      <c r="AF207" s="106" t="str">
        <f t="shared" si="63"/>
        <v/>
      </c>
      <c r="AG207" s="39">
        <f t="shared" si="64"/>
        <v>0</v>
      </c>
      <c r="AH207" s="39" t="str">
        <f t="shared" si="65"/>
        <v/>
      </c>
      <c r="AI207" s="39">
        <f>IF(AND($E207="timed",$N207&gt;=Settings!$C$9),1,0)</f>
        <v>0</v>
      </c>
      <c r="AJ207" s="39" t="str">
        <f>IF(OR($S207="",Settings!$C$16=""),"",IF($S207&lt;=Settings!$C$16,1,2))</f>
        <v/>
      </c>
      <c r="AK207" s="39" t="str">
        <f>IF($C207="","",IFERROR(IF(INDEX(Settings!$C$20:$C$59,MATCH($C207,Settings!$B$20:$B$59,0))="",Settings!$C$10,INDEX(Settings!$C$20:$C$59,MATCH($C207,Settings!$B$20:$B$59,0))),Settings!$C$10))</f>
        <v/>
      </c>
      <c r="AL207" s="108">
        <f t="shared" si="66"/>
        <v>0</v>
      </c>
      <c r="AM207" s="39" t="str">
        <f t="shared" si="67"/>
        <v/>
      </c>
      <c r="AN207" s="39" t="str">
        <f t="shared" si="68"/>
        <v/>
      </c>
      <c r="AO207" s="39" t="str">
        <f t="shared" si="69"/>
        <v/>
      </c>
      <c r="AP207" s="39">
        <f t="shared" si="70"/>
        <v>0</v>
      </c>
      <c r="AQ207" s="39">
        <f t="shared" si="71"/>
        <v>0</v>
      </c>
    </row>
    <row r="208" spans="14:43" x14ac:dyDescent="0.25">
      <c r="N208" s="105">
        <f t="shared" si="54"/>
        <v>0</v>
      </c>
      <c r="O208" s="106" t="str">
        <f>IF($F208="","",IF(ISNUMBER($F208),$F208+Settings!$C$7/24,IFERROR(DATEVALUE(LEFT($F208,10))+TIMEVALUE(MID($F208,12,8))+Settings!$C$7/24,"")))</f>
        <v/>
      </c>
      <c r="P208" s="106" t="str">
        <f>IF($G208="","",IF(ISNUMBER($G208),$G208+Settings!$C$7/24,IFERROR(DATEVALUE(LEFT($G208,10))+TIMEVALUE(MID($G208,12,8))+Settings!$C$7/24,"")))</f>
        <v/>
      </c>
      <c r="Q208" s="39" t="str">
        <f t="shared" si="55"/>
        <v/>
      </c>
      <c r="R208" s="39" t="str">
        <f t="shared" si="56"/>
        <v/>
      </c>
      <c r="S208" s="107" t="str">
        <f t="shared" si="57"/>
        <v/>
      </c>
      <c r="T208" s="39" t="str">
        <f>IF($C208="","",IF(COUNTIF($C$2:$C208,$C208)=1,1,0))</f>
        <v/>
      </c>
      <c r="U208" s="39" t="str">
        <f>IF($T208=1,COUNTIF($T$2:$T208,1),"")</f>
        <v/>
      </c>
      <c r="V208" s="39" t="str">
        <f>IF($B208="","",IF(COUNTIF($B$2:$B208,$B208)=1,1,0))</f>
        <v/>
      </c>
      <c r="W208" s="39" t="str">
        <f>IF($V208=1,COUNTIF($V$2:$V208,1),"")</f>
        <v/>
      </c>
      <c r="X208" s="39" t="str">
        <f>IF($A208="","",IF(COUNTIF($A$2:$A208,$A208)=1,1,0))</f>
        <v/>
      </c>
      <c r="Y208" s="39" t="str">
        <f>IF($X208=1,COUNTIF($X$2:$X208,1),"")</f>
        <v/>
      </c>
      <c r="Z208" s="39">
        <f>IF(AND($E208="timed",$N208&gt;Settings!$C$8),1,0)</f>
        <v>0</v>
      </c>
      <c r="AA208" s="39">
        <f t="shared" si="58"/>
        <v>0</v>
      </c>
      <c r="AB208" s="39">
        <f t="shared" si="59"/>
        <v>0</v>
      </c>
      <c r="AC208" s="39" t="str">
        <f t="shared" si="60"/>
        <v/>
      </c>
      <c r="AD208" s="39" t="str">
        <f t="shared" si="61"/>
        <v/>
      </c>
      <c r="AE208" s="39" t="str">
        <f t="shared" si="62"/>
        <v/>
      </c>
      <c r="AF208" s="106" t="str">
        <f t="shared" si="63"/>
        <v/>
      </c>
      <c r="AG208" s="39">
        <f t="shared" si="64"/>
        <v>0</v>
      </c>
      <c r="AH208" s="39" t="str">
        <f t="shared" si="65"/>
        <v/>
      </c>
      <c r="AI208" s="39">
        <f>IF(AND($E208="timed",$N208&gt;=Settings!$C$9),1,0)</f>
        <v>0</v>
      </c>
      <c r="AJ208" s="39" t="str">
        <f>IF(OR($S208="",Settings!$C$16=""),"",IF($S208&lt;=Settings!$C$16,1,2))</f>
        <v/>
      </c>
      <c r="AK208" s="39" t="str">
        <f>IF($C208="","",IFERROR(IF(INDEX(Settings!$C$20:$C$59,MATCH($C208,Settings!$B$20:$B$59,0))="",Settings!$C$10,INDEX(Settings!$C$20:$C$59,MATCH($C208,Settings!$B$20:$B$59,0))),Settings!$C$10))</f>
        <v/>
      </c>
      <c r="AL208" s="108">
        <f t="shared" si="66"/>
        <v>0</v>
      </c>
      <c r="AM208" s="39" t="str">
        <f t="shared" si="67"/>
        <v/>
      </c>
      <c r="AN208" s="39" t="str">
        <f t="shared" si="68"/>
        <v/>
      </c>
      <c r="AO208" s="39" t="str">
        <f t="shared" si="69"/>
        <v/>
      </c>
      <c r="AP208" s="39">
        <f t="shared" si="70"/>
        <v>0</v>
      </c>
      <c r="AQ208" s="39">
        <f t="shared" si="71"/>
        <v>0</v>
      </c>
    </row>
    <row r="209" spans="14:43" x14ac:dyDescent="0.25">
      <c r="N209" s="105">
        <f t="shared" si="54"/>
        <v>0</v>
      </c>
      <c r="O209" s="106" t="str">
        <f>IF($F209="","",IF(ISNUMBER($F209),$F209+Settings!$C$7/24,IFERROR(DATEVALUE(LEFT($F209,10))+TIMEVALUE(MID($F209,12,8))+Settings!$C$7/24,"")))</f>
        <v/>
      </c>
      <c r="P209" s="106" t="str">
        <f>IF($G209="","",IF(ISNUMBER($G209),$G209+Settings!$C$7/24,IFERROR(DATEVALUE(LEFT($G209,10))+TIMEVALUE(MID($G209,12,8))+Settings!$C$7/24,"")))</f>
        <v/>
      </c>
      <c r="Q209" s="39" t="str">
        <f t="shared" si="55"/>
        <v/>
      </c>
      <c r="R209" s="39" t="str">
        <f t="shared" si="56"/>
        <v/>
      </c>
      <c r="S209" s="107" t="str">
        <f t="shared" si="57"/>
        <v/>
      </c>
      <c r="T209" s="39" t="str">
        <f>IF($C209="","",IF(COUNTIF($C$2:$C209,$C209)=1,1,0))</f>
        <v/>
      </c>
      <c r="U209" s="39" t="str">
        <f>IF($T209=1,COUNTIF($T$2:$T209,1),"")</f>
        <v/>
      </c>
      <c r="V209" s="39" t="str">
        <f>IF($B209="","",IF(COUNTIF($B$2:$B209,$B209)=1,1,0))</f>
        <v/>
      </c>
      <c r="W209" s="39" t="str">
        <f>IF($V209=1,COUNTIF($V$2:$V209,1),"")</f>
        <v/>
      </c>
      <c r="X209" s="39" t="str">
        <f>IF($A209="","",IF(COUNTIF($A$2:$A209,$A209)=1,1,0))</f>
        <v/>
      </c>
      <c r="Y209" s="39" t="str">
        <f>IF($X209=1,COUNTIF($X$2:$X209,1),"")</f>
        <v/>
      </c>
      <c r="Z209" s="39">
        <f>IF(AND($E209="timed",$N209&gt;Settings!$C$8),1,0)</f>
        <v>0</v>
      </c>
      <c r="AA209" s="39">
        <f t="shared" si="58"/>
        <v>0</v>
      </c>
      <c r="AB209" s="39">
        <f t="shared" si="59"/>
        <v>0</v>
      </c>
      <c r="AC209" s="39" t="str">
        <f t="shared" si="60"/>
        <v/>
      </c>
      <c r="AD209" s="39" t="str">
        <f t="shared" si="61"/>
        <v/>
      </c>
      <c r="AE209" s="39" t="str">
        <f t="shared" si="62"/>
        <v/>
      </c>
      <c r="AF209" s="106" t="str">
        <f t="shared" si="63"/>
        <v/>
      </c>
      <c r="AG209" s="39">
        <f t="shared" si="64"/>
        <v>0</v>
      </c>
      <c r="AH209" s="39" t="str">
        <f t="shared" si="65"/>
        <v/>
      </c>
      <c r="AI209" s="39">
        <f>IF(AND($E209="timed",$N209&gt;=Settings!$C$9),1,0)</f>
        <v>0</v>
      </c>
      <c r="AJ209" s="39" t="str">
        <f>IF(OR($S209="",Settings!$C$16=""),"",IF($S209&lt;=Settings!$C$16,1,2))</f>
        <v/>
      </c>
      <c r="AK209" s="39" t="str">
        <f>IF($C209="","",IFERROR(IF(INDEX(Settings!$C$20:$C$59,MATCH($C209,Settings!$B$20:$B$59,0))="",Settings!$C$10,INDEX(Settings!$C$20:$C$59,MATCH($C209,Settings!$B$20:$B$59,0))),Settings!$C$10))</f>
        <v/>
      </c>
      <c r="AL209" s="108">
        <f t="shared" si="66"/>
        <v>0</v>
      </c>
      <c r="AM209" s="39" t="str">
        <f t="shared" si="67"/>
        <v/>
      </c>
      <c r="AN209" s="39" t="str">
        <f t="shared" si="68"/>
        <v/>
      </c>
      <c r="AO209" s="39" t="str">
        <f t="shared" si="69"/>
        <v/>
      </c>
      <c r="AP209" s="39">
        <f t="shared" si="70"/>
        <v>0</v>
      </c>
      <c r="AQ209" s="39">
        <f t="shared" si="71"/>
        <v>0</v>
      </c>
    </row>
    <row r="210" spans="14:43" x14ac:dyDescent="0.25">
      <c r="N210" s="105">
        <f t="shared" si="54"/>
        <v>0</v>
      </c>
      <c r="O210" s="106" t="str">
        <f>IF($F210="","",IF(ISNUMBER($F210),$F210+Settings!$C$7/24,IFERROR(DATEVALUE(LEFT($F210,10))+TIMEVALUE(MID($F210,12,8))+Settings!$C$7/24,"")))</f>
        <v/>
      </c>
      <c r="P210" s="106" t="str">
        <f>IF($G210="","",IF(ISNUMBER($G210),$G210+Settings!$C$7/24,IFERROR(DATEVALUE(LEFT($G210,10))+TIMEVALUE(MID($G210,12,8))+Settings!$C$7/24,"")))</f>
        <v/>
      </c>
      <c r="Q210" s="39" t="str">
        <f t="shared" si="55"/>
        <v/>
      </c>
      <c r="R210" s="39" t="str">
        <f t="shared" si="56"/>
        <v/>
      </c>
      <c r="S210" s="107" t="str">
        <f t="shared" si="57"/>
        <v/>
      </c>
      <c r="T210" s="39" t="str">
        <f>IF($C210="","",IF(COUNTIF($C$2:$C210,$C210)=1,1,0))</f>
        <v/>
      </c>
      <c r="U210" s="39" t="str">
        <f>IF($T210=1,COUNTIF($T$2:$T210,1),"")</f>
        <v/>
      </c>
      <c r="V210" s="39" t="str">
        <f>IF($B210="","",IF(COUNTIF($B$2:$B210,$B210)=1,1,0))</f>
        <v/>
      </c>
      <c r="W210" s="39" t="str">
        <f>IF($V210=1,COUNTIF($V$2:$V210,1),"")</f>
        <v/>
      </c>
      <c r="X210" s="39" t="str">
        <f>IF($A210="","",IF(COUNTIF($A$2:$A210,$A210)=1,1,0))</f>
        <v/>
      </c>
      <c r="Y210" s="39" t="str">
        <f>IF($X210=1,COUNTIF($X$2:$X210,1),"")</f>
        <v/>
      </c>
      <c r="Z210" s="39">
        <f>IF(AND($E210="timed",$N210&gt;Settings!$C$8),1,0)</f>
        <v>0</v>
      </c>
      <c r="AA210" s="39">
        <f t="shared" si="58"/>
        <v>0</v>
      </c>
      <c r="AB210" s="39">
        <f t="shared" si="59"/>
        <v>0</v>
      </c>
      <c r="AC210" s="39" t="str">
        <f t="shared" si="60"/>
        <v/>
      </c>
      <c r="AD210" s="39" t="str">
        <f t="shared" si="61"/>
        <v/>
      </c>
      <c r="AE210" s="39" t="str">
        <f t="shared" si="62"/>
        <v/>
      </c>
      <c r="AF210" s="106" t="str">
        <f t="shared" si="63"/>
        <v/>
      </c>
      <c r="AG210" s="39">
        <f t="shared" si="64"/>
        <v>0</v>
      </c>
      <c r="AH210" s="39" t="str">
        <f t="shared" si="65"/>
        <v/>
      </c>
      <c r="AI210" s="39">
        <f>IF(AND($E210="timed",$N210&gt;=Settings!$C$9),1,0)</f>
        <v>0</v>
      </c>
      <c r="AJ210" s="39" t="str">
        <f>IF(OR($S210="",Settings!$C$16=""),"",IF($S210&lt;=Settings!$C$16,1,2))</f>
        <v/>
      </c>
      <c r="AK210" s="39" t="str">
        <f>IF($C210="","",IFERROR(IF(INDEX(Settings!$C$20:$C$59,MATCH($C210,Settings!$B$20:$B$59,0))="",Settings!$C$10,INDEX(Settings!$C$20:$C$59,MATCH($C210,Settings!$B$20:$B$59,0))),Settings!$C$10))</f>
        <v/>
      </c>
      <c r="AL210" s="108">
        <f t="shared" si="66"/>
        <v>0</v>
      </c>
      <c r="AM210" s="39" t="str">
        <f t="shared" si="67"/>
        <v/>
      </c>
      <c r="AN210" s="39" t="str">
        <f t="shared" si="68"/>
        <v/>
      </c>
      <c r="AO210" s="39" t="str">
        <f t="shared" si="69"/>
        <v/>
      </c>
      <c r="AP210" s="39">
        <f t="shared" si="70"/>
        <v>0</v>
      </c>
      <c r="AQ210" s="39">
        <f t="shared" si="71"/>
        <v>0</v>
      </c>
    </row>
    <row r="211" spans="14:43" x14ac:dyDescent="0.25">
      <c r="N211" s="105">
        <f t="shared" si="54"/>
        <v>0</v>
      </c>
      <c r="O211" s="106" t="str">
        <f>IF($F211="","",IF(ISNUMBER($F211),$F211+Settings!$C$7/24,IFERROR(DATEVALUE(LEFT($F211,10))+TIMEVALUE(MID($F211,12,8))+Settings!$C$7/24,"")))</f>
        <v/>
      </c>
      <c r="P211" s="106" t="str">
        <f>IF($G211="","",IF(ISNUMBER($G211),$G211+Settings!$C$7/24,IFERROR(DATEVALUE(LEFT($G211,10))+TIMEVALUE(MID($G211,12,8))+Settings!$C$7/24,"")))</f>
        <v/>
      </c>
      <c r="Q211" s="39" t="str">
        <f t="shared" si="55"/>
        <v/>
      </c>
      <c r="R211" s="39" t="str">
        <f t="shared" si="56"/>
        <v/>
      </c>
      <c r="S211" s="107" t="str">
        <f t="shared" si="57"/>
        <v/>
      </c>
      <c r="T211" s="39" t="str">
        <f>IF($C211="","",IF(COUNTIF($C$2:$C211,$C211)=1,1,0))</f>
        <v/>
      </c>
      <c r="U211" s="39" t="str">
        <f>IF($T211=1,COUNTIF($T$2:$T211,1),"")</f>
        <v/>
      </c>
      <c r="V211" s="39" t="str">
        <f>IF($B211="","",IF(COUNTIF($B$2:$B211,$B211)=1,1,0))</f>
        <v/>
      </c>
      <c r="W211" s="39" t="str">
        <f>IF($V211=1,COUNTIF($V$2:$V211,1),"")</f>
        <v/>
      </c>
      <c r="X211" s="39" t="str">
        <f>IF($A211="","",IF(COUNTIF($A$2:$A211,$A211)=1,1,0))</f>
        <v/>
      </c>
      <c r="Y211" s="39" t="str">
        <f>IF($X211=1,COUNTIF($X$2:$X211,1),"")</f>
        <v/>
      </c>
      <c r="Z211" s="39">
        <f>IF(AND($E211="timed",$N211&gt;Settings!$C$8),1,0)</f>
        <v>0</v>
      </c>
      <c r="AA211" s="39">
        <f t="shared" si="58"/>
        <v>0</v>
      </c>
      <c r="AB211" s="39">
        <f t="shared" si="59"/>
        <v>0</v>
      </c>
      <c r="AC211" s="39" t="str">
        <f t="shared" si="60"/>
        <v/>
      </c>
      <c r="AD211" s="39" t="str">
        <f t="shared" si="61"/>
        <v/>
      </c>
      <c r="AE211" s="39" t="str">
        <f t="shared" si="62"/>
        <v/>
      </c>
      <c r="AF211" s="106" t="str">
        <f t="shared" si="63"/>
        <v/>
      </c>
      <c r="AG211" s="39">
        <f t="shared" si="64"/>
        <v>0</v>
      </c>
      <c r="AH211" s="39" t="str">
        <f t="shared" si="65"/>
        <v/>
      </c>
      <c r="AI211" s="39">
        <f>IF(AND($E211="timed",$N211&gt;=Settings!$C$9),1,0)</f>
        <v>0</v>
      </c>
      <c r="AJ211" s="39" t="str">
        <f>IF(OR($S211="",Settings!$C$16=""),"",IF($S211&lt;=Settings!$C$16,1,2))</f>
        <v/>
      </c>
      <c r="AK211" s="39" t="str">
        <f>IF($C211="","",IFERROR(IF(INDEX(Settings!$C$20:$C$59,MATCH($C211,Settings!$B$20:$B$59,0))="",Settings!$C$10,INDEX(Settings!$C$20:$C$59,MATCH($C211,Settings!$B$20:$B$59,0))),Settings!$C$10))</f>
        <v/>
      </c>
      <c r="AL211" s="108">
        <f t="shared" si="66"/>
        <v>0</v>
      </c>
      <c r="AM211" s="39" t="str">
        <f t="shared" si="67"/>
        <v/>
      </c>
      <c r="AN211" s="39" t="str">
        <f t="shared" si="68"/>
        <v/>
      </c>
      <c r="AO211" s="39" t="str">
        <f t="shared" si="69"/>
        <v/>
      </c>
      <c r="AP211" s="39">
        <f t="shared" si="70"/>
        <v>0</v>
      </c>
      <c r="AQ211" s="39">
        <f t="shared" si="71"/>
        <v>0</v>
      </c>
    </row>
    <row r="212" spans="14:43" x14ac:dyDescent="0.25">
      <c r="N212" s="105">
        <f t="shared" si="54"/>
        <v>0</v>
      </c>
      <c r="O212" s="106" t="str">
        <f>IF($F212="","",IF(ISNUMBER($F212),$F212+Settings!$C$7/24,IFERROR(DATEVALUE(LEFT($F212,10))+TIMEVALUE(MID($F212,12,8))+Settings!$C$7/24,"")))</f>
        <v/>
      </c>
      <c r="P212" s="106" t="str">
        <f>IF($G212="","",IF(ISNUMBER($G212),$G212+Settings!$C$7/24,IFERROR(DATEVALUE(LEFT($G212,10))+TIMEVALUE(MID($G212,12,8))+Settings!$C$7/24,"")))</f>
        <v/>
      </c>
      <c r="Q212" s="39" t="str">
        <f t="shared" si="55"/>
        <v/>
      </c>
      <c r="R212" s="39" t="str">
        <f t="shared" si="56"/>
        <v/>
      </c>
      <c r="S212" s="107" t="str">
        <f t="shared" si="57"/>
        <v/>
      </c>
      <c r="T212" s="39" t="str">
        <f>IF($C212="","",IF(COUNTIF($C$2:$C212,$C212)=1,1,0))</f>
        <v/>
      </c>
      <c r="U212" s="39" t="str">
        <f>IF($T212=1,COUNTIF($T$2:$T212,1),"")</f>
        <v/>
      </c>
      <c r="V212" s="39" t="str">
        <f>IF($B212="","",IF(COUNTIF($B$2:$B212,$B212)=1,1,0))</f>
        <v/>
      </c>
      <c r="W212" s="39" t="str">
        <f>IF($V212=1,COUNTIF($V$2:$V212,1),"")</f>
        <v/>
      </c>
      <c r="X212" s="39" t="str">
        <f>IF($A212="","",IF(COUNTIF($A$2:$A212,$A212)=1,1,0))</f>
        <v/>
      </c>
      <c r="Y212" s="39" t="str">
        <f>IF($X212=1,COUNTIF($X$2:$X212,1),"")</f>
        <v/>
      </c>
      <c r="Z212" s="39">
        <f>IF(AND($E212="timed",$N212&gt;Settings!$C$8),1,0)</f>
        <v>0</v>
      </c>
      <c r="AA212" s="39">
        <f t="shared" si="58"/>
        <v>0</v>
      </c>
      <c r="AB212" s="39">
        <f t="shared" si="59"/>
        <v>0</v>
      </c>
      <c r="AC212" s="39" t="str">
        <f t="shared" si="60"/>
        <v/>
      </c>
      <c r="AD212" s="39" t="str">
        <f t="shared" si="61"/>
        <v/>
      </c>
      <c r="AE212" s="39" t="str">
        <f t="shared" si="62"/>
        <v/>
      </c>
      <c r="AF212" s="106" t="str">
        <f t="shared" si="63"/>
        <v/>
      </c>
      <c r="AG212" s="39">
        <f t="shared" si="64"/>
        <v>0</v>
      </c>
      <c r="AH212" s="39" t="str">
        <f t="shared" si="65"/>
        <v/>
      </c>
      <c r="AI212" s="39">
        <f>IF(AND($E212="timed",$N212&gt;=Settings!$C$9),1,0)</f>
        <v>0</v>
      </c>
      <c r="AJ212" s="39" t="str">
        <f>IF(OR($S212="",Settings!$C$16=""),"",IF($S212&lt;=Settings!$C$16,1,2))</f>
        <v/>
      </c>
      <c r="AK212" s="39" t="str">
        <f>IF($C212="","",IFERROR(IF(INDEX(Settings!$C$20:$C$59,MATCH($C212,Settings!$B$20:$B$59,0))="",Settings!$C$10,INDEX(Settings!$C$20:$C$59,MATCH($C212,Settings!$B$20:$B$59,0))),Settings!$C$10))</f>
        <v/>
      </c>
      <c r="AL212" s="108">
        <f t="shared" si="66"/>
        <v>0</v>
      </c>
      <c r="AM212" s="39" t="str">
        <f t="shared" si="67"/>
        <v/>
      </c>
      <c r="AN212" s="39" t="str">
        <f t="shared" si="68"/>
        <v/>
      </c>
      <c r="AO212" s="39" t="str">
        <f t="shared" si="69"/>
        <v/>
      </c>
      <c r="AP212" s="39">
        <f t="shared" si="70"/>
        <v>0</v>
      </c>
      <c r="AQ212" s="39">
        <f t="shared" si="71"/>
        <v>0</v>
      </c>
    </row>
    <row r="213" spans="14:43" x14ac:dyDescent="0.25">
      <c r="N213" s="105">
        <f t="shared" si="54"/>
        <v>0</v>
      </c>
      <c r="O213" s="106" t="str">
        <f>IF($F213="","",IF(ISNUMBER($F213),$F213+Settings!$C$7/24,IFERROR(DATEVALUE(LEFT($F213,10))+TIMEVALUE(MID($F213,12,8))+Settings!$C$7/24,"")))</f>
        <v/>
      </c>
      <c r="P213" s="106" t="str">
        <f>IF($G213="","",IF(ISNUMBER($G213),$G213+Settings!$C$7/24,IFERROR(DATEVALUE(LEFT($G213,10))+TIMEVALUE(MID($G213,12,8))+Settings!$C$7/24,"")))</f>
        <v/>
      </c>
      <c r="Q213" s="39" t="str">
        <f t="shared" si="55"/>
        <v/>
      </c>
      <c r="R213" s="39" t="str">
        <f t="shared" si="56"/>
        <v/>
      </c>
      <c r="S213" s="107" t="str">
        <f t="shared" si="57"/>
        <v/>
      </c>
      <c r="T213" s="39" t="str">
        <f>IF($C213="","",IF(COUNTIF($C$2:$C213,$C213)=1,1,0))</f>
        <v/>
      </c>
      <c r="U213" s="39" t="str">
        <f>IF($T213=1,COUNTIF($T$2:$T213,1),"")</f>
        <v/>
      </c>
      <c r="V213" s="39" t="str">
        <f>IF($B213="","",IF(COUNTIF($B$2:$B213,$B213)=1,1,0))</f>
        <v/>
      </c>
      <c r="W213" s="39" t="str">
        <f>IF($V213=1,COUNTIF($V$2:$V213,1),"")</f>
        <v/>
      </c>
      <c r="X213" s="39" t="str">
        <f>IF($A213="","",IF(COUNTIF($A$2:$A213,$A213)=1,1,0))</f>
        <v/>
      </c>
      <c r="Y213" s="39" t="str">
        <f>IF($X213=1,COUNTIF($X$2:$X213,1),"")</f>
        <v/>
      </c>
      <c r="Z213" s="39">
        <f>IF(AND($E213="timed",$N213&gt;Settings!$C$8),1,0)</f>
        <v>0</v>
      </c>
      <c r="AA213" s="39">
        <f t="shared" si="58"/>
        <v>0</v>
      </c>
      <c r="AB213" s="39">
        <f t="shared" si="59"/>
        <v>0</v>
      </c>
      <c r="AC213" s="39" t="str">
        <f t="shared" si="60"/>
        <v/>
      </c>
      <c r="AD213" s="39" t="str">
        <f t="shared" si="61"/>
        <v/>
      </c>
      <c r="AE213" s="39" t="str">
        <f t="shared" si="62"/>
        <v/>
      </c>
      <c r="AF213" s="106" t="str">
        <f t="shared" si="63"/>
        <v/>
      </c>
      <c r="AG213" s="39">
        <f t="shared" si="64"/>
        <v>0</v>
      </c>
      <c r="AH213" s="39" t="str">
        <f t="shared" si="65"/>
        <v/>
      </c>
      <c r="AI213" s="39">
        <f>IF(AND($E213="timed",$N213&gt;=Settings!$C$9),1,0)</f>
        <v>0</v>
      </c>
      <c r="AJ213" s="39" t="str">
        <f>IF(OR($S213="",Settings!$C$16=""),"",IF($S213&lt;=Settings!$C$16,1,2))</f>
        <v/>
      </c>
      <c r="AK213" s="39" t="str">
        <f>IF($C213="","",IFERROR(IF(INDEX(Settings!$C$20:$C$59,MATCH($C213,Settings!$B$20:$B$59,0))="",Settings!$C$10,INDEX(Settings!$C$20:$C$59,MATCH($C213,Settings!$B$20:$B$59,0))),Settings!$C$10))</f>
        <v/>
      </c>
      <c r="AL213" s="108">
        <f t="shared" si="66"/>
        <v>0</v>
      </c>
      <c r="AM213" s="39" t="str">
        <f t="shared" si="67"/>
        <v/>
      </c>
      <c r="AN213" s="39" t="str">
        <f t="shared" si="68"/>
        <v/>
      </c>
      <c r="AO213" s="39" t="str">
        <f t="shared" si="69"/>
        <v/>
      </c>
      <c r="AP213" s="39">
        <f t="shared" si="70"/>
        <v>0</v>
      </c>
      <c r="AQ213" s="39">
        <f t="shared" si="71"/>
        <v>0</v>
      </c>
    </row>
    <row r="214" spans="14:43" x14ac:dyDescent="0.25">
      <c r="N214" s="105">
        <f t="shared" si="54"/>
        <v>0</v>
      </c>
      <c r="O214" s="106" t="str">
        <f>IF($F214="","",IF(ISNUMBER($F214),$F214+Settings!$C$7/24,IFERROR(DATEVALUE(LEFT($F214,10))+TIMEVALUE(MID($F214,12,8))+Settings!$C$7/24,"")))</f>
        <v/>
      </c>
      <c r="P214" s="106" t="str">
        <f>IF($G214="","",IF(ISNUMBER($G214),$G214+Settings!$C$7/24,IFERROR(DATEVALUE(LEFT($G214,10))+TIMEVALUE(MID($G214,12,8))+Settings!$C$7/24,"")))</f>
        <v/>
      </c>
      <c r="Q214" s="39" t="str">
        <f t="shared" si="55"/>
        <v/>
      </c>
      <c r="R214" s="39" t="str">
        <f t="shared" si="56"/>
        <v/>
      </c>
      <c r="S214" s="107" t="str">
        <f t="shared" si="57"/>
        <v/>
      </c>
      <c r="T214" s="39" t="str">
        <f>IF($C214="","",IF(COUNTIF($C$2:$C214,$C214)=1,1,0))</f>
        <v/>
      </c>
      <c r="U214" s="39" t="str">
        <f>IF($T214=1,COUNTIF($T$2:$T214,1),"")</f>
        <v/>
      </c>
      <c r="V214" s="39" t="str">
        <f>IF($B214="","",IF(COUNTIF($B$2:$B214,$B214)=1,1,0))</f>
        <v/>
      </c>
      <c r="W214" s="39" t="str">
        <f>IF($V214=1,COUNTIF($V$2:$V214,1),"")</f>
        <v/>
      </c>
      <c r="X214" s="39" t="str">
        <f>IF($A214="","",IF(COUNTIF($A$2:$A214,$A214)=1,1,0))</f>
        <v/>
      </c>
      <c r="Y214" s="39" t="str">
        <f>IF($X214=1,COUNTIF($X$2:$X214,1),"")</f>
        <v/>
      </c>
      <c r="Z214" s="39">
        <f>IF(AND($E214="timed",$N214&gt;Settings!$C$8),1,0)</f>
        <v>0</v>
      </c>
      <c r="AA214" s="39">
        <f t="shared" si="58"/>
        <v>0</v>
      </c>
      <c r="AB214" s="39">
        <f t="shared" si="59"/>
        <v>0</v>
      </c>
      <c r="AC214" s="39" t="str">
        <f t="shared" si="60"/>
        <v/>
      </c>
      <c r="AD214" s="39" t="str">
        <f t="shared" si="61"/>
        <v/>
      </c>
      <c r="AE214" s="39" t="str">
        <f t="shared" si="62"/>
        <v/>
      </c>
      <c r="AF214" s="106" t="str">
        <f t="shared" si="63"/>
        <v/>
      </c>
      <c r="AG214" s="39">
        <f t="shared" si="64"/>
        <v>0</v>
      </c>
      <c r="AH214" s="39" t="str">
        <f t="shared" si="65"/>
        <v/>
      </c>
      <c r="AI214" s="39">
        <f>IF(AND($E214="timed",$N214&gt;=Settings!$C$9),1,0)</f>
        <v>0</v>
      </c>
      <c r="AJ214" s="39" t="str">
        <f>IF(OR($S214="",Settings!$C$16=""),"",IF($S214&lt;=Settings!$C$16,1,2))</f>
        <v/>
      </c>
      <c r="AK214" s="39" t="str">
        <f>IF($C214="","",IFERROR(IF(INDEX(Settings!$C$20:$C$59,MATCH($C214,Settings!$B$20:$B$59,0))="",Settings!$C$10,INDEX(Settings!$C$20:$C$59,MATCH($C214,Settings!$B$20:$B$59,0))),Settings!$C$10))</f>
        <v/>
      </c>
      <c r="AL214" s="108">
        <f t="shared" si="66"/>
        <v>0</v>
      </c>
      <c r="AM214" s="39" t="str">
        <f t="shared" si="67"/>
        <v/>
      </c>
      <c r="AN214" s="39" t="str">
        <f t="shared" si="68"/>
        <v/>
      </c>
      <c r="AO214" s="39" t="str">
        <f t="shared" si="69"/>
        <v/>
      </c>
      <c r="AP214" s="39">
        <f t="shared" si="70"/>
        <v>0</v>
      </c>
      <c r="AQ214" s="39">
        <f t="shared" si="71"/>
        <v>0</v>
      </c>
    </row>
    <row r="215" spans="14:43" x14ac:dyDescent="0.25">
      <c r="N215" s="105">
        <f t="shared" si="54"/>
        <v>0</v>
      </c>
      <c r="O215" s="106" t="str">
        <f>IF($F215="","",IF(ISNUMBER($F215),$F215+Settings!$C$7/24,IFERROR(DATEVALUE(LEFT($F215,10))+TIMEVALUE(MID($F215,12,8))+Settings!$C$7/24,"")))</f>
        <v/>
      </c>
      <c r="P215" s="106" t="str">
        <f>IF($G215="","",IF(ISNUMBER($G215),$G215+Settings!$C$7/24,IFERROR(DATEVALUE(LEFT($G215,10))+TIMEVALUE(MID($G215,12,8))+Settings!$C$7/24,"")))</f>
        <v/>
      </c>
      <c r="Q215" s="39" t="str">
        <f t="shared" si="55"/>
        <v/>
      </c>
      <c r="R215" s="39" t="str">
        <f t="shared" si="56"/>
        <v/>
      </c>
      <c r="S215" s="107" t="str">
        <f t="shared" si="57"/>
        <v/>
      </c>
      <c r="T215" s="39" t="str">
        <f>IF($C215="","",IF(COUNTIF($C$2:$C215,$C215)=1,1,0))</f>
        <v/>
      </c>
      <c r="U215" s="39" t="str">
        <f>IF($T215=1,COUNTIF($T$2:$T215,1),"")</f>
        <v/>
      </c>
      <c r="V215" s="39" t="str">
        <f>IF($B215="","",IF(COUNTIF($B$2:$B215,$B215)=1,1,0))</f>
        <v/>
      </c>
      <c r="W215" s="39" t="str">
        <f>IF($V215=1,COUNTIF($V$2:$V215,1),"")</f>
        <v/>
      </c>
      <c r="X215" s="39" t="str">
        <f>IF($A215="","",IF(COUNTIF($A$2:$A215,$A215)=1,1,0))</f>
        <v/>
      </c>
      <c r="Y215" s="39" t="str">
        <f>IF($X215=1,COUNTIF($X$2:$X215,1),"")</f>
        <v/>
      </c>
      <c r="Z215" s="39">
        <f>IF(AND($E215="timed",$N215&gt;Settings!$C$8),1,0)</f>
        <v>0</v>
      </c>
      <c r="AA215" s="39">
        <f t="shared" si="58"/>
        <v>0</v>
      </c>
      <c r="AB215" s="39">
        <f t="shared" si="59"/>
        <v>0</v>
      </c>
      <c r="AC215" s="39" t="str">
        <f t="shared" si="60"/>
        <v/>
      </c>
      <c r="AD215" s="39" t="str">
        <f t="shared" si="61"/>
        <v/>
      </c>
      <c r="AE215" s="39" t="str">
        <f t="shared" si="62"/>
        <v/>
      </c>
      <c r="AF215" s="106" t="str">
        <f t="shared" si="63"/>
        <v/>
      </c>
      <c r="AG215" s="39">
        <f t="shared" si="64"/>
        <v>0</v>
      </c>
      <c r="AH215" s="39" t="str">
        <f t="shared" si="65"/>
        <v/>
      </c>
      <c r="AI215" s="39">
        <f>IF(AND($E215="timed",$N215&gt;=Settings!$C$9),1,0)</f>
        <v>0</v>
      </c>
      <c r="AJ215" s="39" t="str">
        <f>IF(OR($S215="",Settings!$C$16=""),"",IF($S215&lt;=Settings!$C$16,1,2))</f>
        <v/>
      </c>
      <c r="AK215" s="39" t="str">
        <f>IF($C215="","",IFERROR(IF(INDEX(Settings!$C$20:$C$59,MATCH($C215,Settings!$B$20:$B$59,0))="",Settings!$C$10,INDEX(Settings!$C$20:$C$59,MATCH($C215,Settings!$B$20:$B$59,0))),Settings!$C$10))</f>
        <v/>
      </c>
      <c r="AL215" s="108">
        <f t="shared" si="66"/>
        <v>0</v>
      </c>
      <c r="AM215" s="39" t="str">
        <f t="shared" si="67"/>
        <v/>
      </c>
      <c r="AN215" s="39" t="str">
        <f t="shared" si="68"/>
        <v/>
      </c>
      <c r="AO215" s="39" t="str">
        <f t="shared" si="69"/>
        <v/>
      </c>
      <c r="AP215" s="39">
        <f t="shared" si="70"/>
        <v>0</v>
      </c>
      <c r="AQ215" s="39">
        <f t="shared" si="71"/>
        <v>0</v>
      </c>
    </row>
    <row r="216" spans="14:43" x14ac:dyDescent="0.25">
      <c r="N216" s="105">
        <f t="shared" si="54"/>
        <v>0</v>
      </c>
      <c r="O216" s="106" t="str">
        <f>IF($F216="","",IF(ISNUMBER($F216),$F216+Settings!$C$7/24,IFERROR(DATEVALUE(LEFT($F216,10))+TIMEVALUE(MID($F216,12,8))+Settings!$C$7/24,"")))</f>
        <v/>
      </c>
      <c r="P216" s="106" t="str">
        <f>IF($G216="","",IF(ISNUMBER($G216),$G216+Settings!$C$7/24,IFERROR(DATEVALUE(LEFT($G216,10))+TIMEVALUE(MID($G216,12,8))+Settings!$C$7/24,"")))</f>
        <v/>
      </c>
      <c r="Q216" s="39" t="str">
        <f t="shared" si="55"/>
        <v/>
      </c>
      <c r="R216" s="39" t="str">
        <f t="shared" si="56"/>
        <v/>
      </c>
      <c r="S216" s="107" t="str">
        <f t="shared" si="57"/>
        <v/>
      </c>
      <c r="T216" s="39" t="str">
        <f>IF($C216="","",IF(COUNTIF($C$2:$C216,$C216)=1,1,0))</f>
        <v/>
      </c>
      <c r="U216" s="39" t="str">
        <f>IF($T216=1,COUNTIF($T$2:$T216,1),"")</f>
        <v/>
      </c>
      <c r="V216" s="39" t="str">
        <f>IF($B216="","",IF(COUNTIF($B$2:$B216,$B216)=1,1,0))</f>
        <v/>
      </c>
      <c r="W216" s="39" t="str">
        <f>IF($V216=1,COUNTIF($V$2:$V216,1),"")</f>
        <v/>
      </c>
      <c r="X216" s="39" t="str">
        <f>IF($A216="","",IF(COUNTIF($A$2:$A216,$A216)=1,1,0))</f>
        <v/>
      </c>
      <c r="Y216" s="39" t="str">
        <f>IF($X216=1,COUNTIF($X$2:$X216,1),"")</f>
        <v/>
      </c>
      <c r="Z216" s="39">
        <f>IF(AND($E216="timed",$N216&gt;Settings!$C$8),1,0)</f>
        <v>0</v>
      </c>
      <c r="AA216" s="39">
        <f t="shared" si="58"/>
        <v>0</v>
      </c>
      <c r="AB216" s="39">
        <f t="shared" si="59"/>
        <v>0</v>
      </c>
      <c r="AC216" s="39" t="str">
        <f t="shared" si="60"/>
        <v/>
      </c>
      <c r="AD216" s="39" t="str">
        <f t="shared" si="61"/>
        <v/>
      </c>
      <c r="AE216" s="39" t="str">
        <f t="shared" si="62"/>
        <v/>
      </c>
      <c r="AF216" s="106" t="str">
        <f t="shared" si="63"/>
        <v/>
      </c>
      <c r="AG216" s="39">
        <f t="shared" si="64"/>
        <v>0</v>
      </c>
      <c r="AH216" s="39" t="str">
        <f t="shared" si="65"/>
        <v/>
      </c>
      <c r="AI216" s="39">
        <f>IF(AND($E216="timed",$N216&gt;=Settings!$C$9),1,0)</f>
        <v>0</v>
      </c>
      <c r="AJ216" s="39" t="str">
        <f>IF(OR($S216="",Settings!$C$16=""),"",IF($S216&lt;=Settings!$C$16,1,2))</f>
        <v/>
      </c>
      <c r="AK216" s="39" t="str">
        <f>IF($C216="","",IFERROR(IF(INDEX(Settings!$C$20:$C$59,MATCH($C216,Settings!$B$20:$B$59,0))="",Settings!$C$10,INDEX(Settings!$C$20:$C$59,MATCH($C216,Settings!$B$20:$B$59,0))),Settings!$C$10))</f>
        <v/>
      </c>
      <c r="AL216" s="108">
        <f t="shared" si="66"/>
        <v>0</v>
      </c>
      <c r="AM216" s="39" t="str">
        <f t="shared" si="67"/>
        <v/>
      </c>
      <c r="AN216" s="39" t="str">
        <f t="shared" si="68"/>
        <v/>
      </c>
      <c r="AO216" s="39" t="str">
        <f t="shared" si="69"/>
        <v/>
      </c>
      <c r="AP216" s="39">
        <f t="shared" si="70"/>
        <v>0</v>
      </c>
      <c r="AQ216" s="39">
        <f t="shared" si="71"/>
        <v>0</v>
      </c>
    </row>
    <row r="217" spans="14:43" x14ac:dyDescent="0.25">
      <c r="N217" s="105">
        <f t="shared" si="54"/>
        <v>0</v>
      </c>
      <c r="O217" s="106" t="str">
        <f>IF($F217="","",IF(ISNUMBER($F217),$F217+Settings!$C$7/24,IFERROR(DATEVALUE(LEFT($F217,10))+TIMEVALUE(MID($F217,12,8))+Settings!$C$7/24,"")))</f>
        <v/>
      </c>
      <c r="P217" s="106" t="str">
        <f>IF($G217="","",IF(ISNUMBER($G217),$G217+Settings!$C$7/24,IFERROR(DATEVALUE(LEFT($G217,10))+TIMEVALUE(MID($G217,12,8))+Settings!$C$7/24,"")))</f>
        <v/>
      </c>
      <c r="Q217" s="39" t="str">
        <f t="shared" si="55"/>
        <v/>
      </c>
      <c r="R217" s="39" t="str">
        <f t="shared" si="56"/>
        <v/>
      </c>
      <c r="S217" s="107" t="str">
        <f t="shared" si="57"/>
        <v/>
      </c>
      <c r="T217" s="39" t="str">
        <f>IF($C217="","",IF(COUNTIF($C$2:$C217,$C217)=1,1,0))</f>
        <v/>
      </c>
      <c r="U217" s="39" t="str">
        <f>IF($T217=1,COUNTIF($T$2:$T217,1),"")</f>
        <v/>
      </c>
      <c r="V217" s="39" t="str">
        <f>IF($B217="","",IF(COUNTIF($B$2:$B217,$B217)=1,1,0))</f>
        <v/>
      </c>
      <c r="W217" s="39" t="str">
        <f>IF($V217=1,COUNTIF($V$2:$V217,1),"")</f>
        <v/>
      </c>
      <c r="X217" s="39" t="str">
        <f>IF($A217="","",IF(COUNTIF($A$2:$A217,$A217)=1,1,0))</f>
        <v/>
      </c>
      <c r="Y217" s="39" t="str">
        <f>IF($X217=1,COUNTIF($X$2:$X217,1),"")</f>
        <v/>
      </c>
      <c r="Z217" s="39">
        <f>IF(AND($E217="timed",$N217&gt;Settings!$C$8),1,0)</f>
        <v>0</v>
      </c>
      <c r="AA217" s="39">
        <f t="shared" si="58"/>
        <v>0</v>
      </c>
      <c r="AB217" s="39">
        <f t="shared" si="59"/>
        <v>0</v>
      </c>
      <c r="AC217" s="39" t="str">
        <f t="shared" si="60"/>
        <v/>
      </c>
      <c r="AD217" s="39" t="str">
        <f t="shared" si="61"/>
        <v/>
      </c>
      <c r="AE217" s="39" t="str">
        <f t="shared" si="62"/>
        <v/>
      </c>
      <c r="AF217" s="106" t="str">
        <f t="shared" si="63"/>
        <v/>
      </c>
      <c r="AG217" s="39">
        <f t="shared" si="64"/>
        <v>0</v>
      </c>
      <c r="AH217" s="39" t="str">
        <f t="shared" si="65"/>
        <v/>
      </c>
      <c r="AI217" s="39">
        <f>IF(AND($E217="timed",$N217&gt;=Settings!$C$9),1,0)</f>
        <v>0</v>
      </c>
      <c r="AJ217" s="39" t="str">
        <f>IF(OR($S217="",Settings!$C$16=""),"",IF($S217&lt;=Settings!$C$16,1,2))</f>
        <v/>
      </c>
      <c r="AK217" s="39" t="str">
        <f>IF($C217="","",IFERROR(IF(INDEX(Settings!$C$20:$C$59,MATCH($C217,Settings!$B$20:$B$59,0))="",Settings!$C$10,INDEX(Settings!$C$20:$C$59,MATCH($C217,Settings!$B$20:$B$59,0))),Settings!$C$10))</f>
        <v/>
      </c>
      <c r="AL217" s="108">
        <f t="shared" si="66"/>
        <v>0</v>
      </c>
      <c r="AM217" s="39" t="str">
        <f t="shared" si="67"/>
        <v/>
      </c>
      <c r="AN217" s="39" t="str">
        <f t="shared" si="68"/>
        <v/>
      </c>
      <c r="AO217" s="39" t="str">
        <f t="shared" si="69"/>
        <v/>
      </c>
      <c r="AP217" s="39">
        <f t="shared" si="70"/>
        <v>0</v>
      </c>
      <c r="AQ217" s="39">
        <f t="shared" si="71"/>
        <v>0</v>
      </c>
    </row>
    <row r="218" spans="14:43" x14ac:dyDescent="0.25">
      <c r="N218" s="105">
        <f t="shared" si="54"/>
        <v>0</v>
      </c>
      <c r="O218" s="106" t="str">
        <f>IF($F218="","",IF(ISNUMBER($F218),$F218+Settings!$C$7/24,IFERROR(DATEVALUE(LEFT($F218,10))+TIMEVALUE(MID($F218,12,8))+Settings!$C$7/24,"")))</f>
        <v/>
      </c>
      <c r="P218" s="106" t="str">
        <f>IF($G218="","",IF(ISNUMBER($G218),$G218+Settings!$C$7/24,IFERROR(DATEVALUE(LEFT($G218,10))+TIMEVALUE(MID($G218,12,8))+Settings!$C$7/24,"")))</f>
        <v/>
      </c>
      <c r="Q218" s="39" t="str">
        <f t="shared" si="55"/>
        <v/>
      </c>
      <c r="R218" s="39" t="str">
        <f t="shared" si="56"/>
        <v/>
      </c>
      <c r="S218" s="107" t="str">
        <f t="shared" si="57"/>
        <v/>
      </c>
      <c r="T218" s="39" t="str">
        <f>IF($C218="","",IF(COUNTIF($C$2:$C218,$C218)=1,1,0))</f>
        <v/>
      </c>
      <c r="U218" s="39" t="str">
        <f>IF($T218=1,COUNTIF($T$2:$T218,1),"")</f>
        <v/>
      </c>
      <c r="V218" s="39" t="str">
        <f>IF($B218="","",IF(COUNTIF($B$2:$B218,$B218)=1,1,0))</f>
        <v/>
      </c>
      <c r="W218" s="39" t="str">
        <f>IF($V218=1,COUNTIF($V$2:$V218,1),"")</f>
        <v/>
      </c>
      <c r="X218" s="39" t="str">
        <f>IF($A218="","",IF(COUNTIF($A$2:$A218,$A218)=1,1,0))</f>
        <v/>
      </c>
      <c r="Y218" s="39" t="str">
        <f>IF($X218=1,COUNTIF($X$2:$X218,1),"")</f>
        <v/>
      </c>
      <c r="Z218" s="39">
        <f>IF(AND($E218="timed",$N218&gt;Settings!$C$8),1,0)</f>
        <v>0</v>
      </c>
      <c r="AA218" s="39">
        <f t="shared" si="58"/>
        <v>0</v>
      </c>
      <c r="AB218" s="39">
        <f t="shared" si="59"/>
        <v>0</v>
      </c>
      <c r="AC218" s="39" t="str">
        <f t="shared" si="60"/>
        <v/>
      </c>
      <c r="AD218" s="39" t="str">
        <f t="shared" si="61"/>
        <v/>
      </c>
      <c r="AE218" s="39" t="str">
        <f t="shared" si="62"/>
        <v/>
      </c>
      <c r="AF218" s="106" t="str">
        <f t="shared" si="63"/>
        <v/>
      </c>
      <c r="AG218" s="39">
        <f t="shared" si="64"/>
        <v>0</v>
      </c>
      <c r="AH218" s="39" t="str">
        <f t="shared" si="65"/>
        <v/>
      </c>
      <c r="AI218" s="39">
        <f>IF(AND($E218="timed",$N218&gt;=Settings!$C$9),1,0)</f>
        <v>0</v>
      </c>
      <c r="AJ218" s="39" t="str">
        <f>IF(OR($S218="",Settings!$C$16=""),"",IF($S218&lt;=Settings!$C$16,1,2))</f>
        <v/>
      </c>
      <c r="AK218" s="39" t="str">
        <f>IF($C218="","",IFERROR(IF(INDEX(Settings!$C$20:$C$59,MATCH($C218,Settings!$B$20:$B$59,0))="",Settings!$C$10,INDEX(Settings!$C$20:$C$59,MATCH($C218,Settings!$B$20:$B$59,0))),Settings!$C$10))</f>
        <v/>
      </c>
      <c r="AL218" s="108">
        <f t="shared" si="66"/>
        <v>0</v>
      </c>
      <c r="AM218" s="39" t="str">
        <f t="shared" si="67"/>
        <v/>
      </c>
      <c r="AN218" s="39" t="str">
        <f t="shared" si="68"/>
        <v/>
      </c>
      <c r="AO218" s="39" t="str">
        <f t="shared" si="69"/>
        <v/>
      </c>
      <c r="AP218" s="39">
        <f t="shared" si="70"/>
        <v>0</v>
      </c>
      <c r="AQ218" s="39">
        <f t="shared" si="71"/>
        <v>0</v>
      </c>
    </row>
    <row r="219" spans="14:43" x14ac:dyDescent="0.25">
      <c r="N219" s="105">
        <f t="shared" si="54"/>
        <v>0</v>
      </c>
      <c r="O219" s="106" t="str">
        <f>IF($F219="","",IF(ISNUMBER($F219),$F219+Settings!$C$7/24,IFERROR(DATEVALUE(LEFT($F219,10))+TIMEVALUE(MID($F219,12,8))+Settings!$C$7/24,"")))</f>
        <v/>
      </c>
      <c r="P219" s="106" t="str">
        <f>IF($G219="","",IF(ISNUMBER($G219),$G219+Settings!$C$7/24,IFERROR(DATEVALUE(LEFT($G219,10))+TIMEVALUE(MID($G219,12,8))+Settings!$C$7/24,"")))</f>
        <v/>
      </c>
      <c r="Q219" s="39" t="str">
        <f t="shared" si="55"/>
        <v/>
      </c>
      <c r="R219" s="39" t="str">
        <f t="shared" si="56"/>
        <v/>
      </c>
      <c r="S219" s="107" t="str">
        <f t="shared" si="57"/>
        <v/>
      </c>
      <c r="T219" s="39" t="str">
        <f>IF($C219="","",IF(COUNTIF($C$2:$C219,$C219)=1,1,0))</f>
        <v/>
      </c>
      <c r="U219" s="39" t="str">
        <f>IF($T219=1,COUNTIF($T$2:$T219,1),"")</f>
        <v/>
      </c>
      <c r="V219" s="39" t="str">
        <f>IF($B219="","",IF(COUNTIF($B$2:$B219,$B219)=1,1,0))</f>
        <v/>
      </c>
      <c r="W219" s="39" t="str">
        <f>IF($V219=1,COUNTIF($V$2:$V219,1),"")</f>
        <v/>
      </c>
      <c r="X219" s="39" t="str">
        <f>IF($A219="","",IF(COUNTIF($A$2:$A219,$A219)=1,1,0))</f>
        <v/>
      </c>
      <c r="Y219" s="39" t="str">
        <f>IF($X219=1,COUNTIF($X$2:$X219,1),"")</f>
        <v/>
      </c>
      <c r="Z219" s="39">
        <f>IF(AND($E219="timed",$N219&gt;Settings!$C$8),1,0)</f>
        <v>0</v>
      </c>
      <c r="AA219" s="39">
        <f t="shared" si="58"/>
        <v>0</v>
      </c>
      <c r="AB219" s="39">
        <f t="shared" si="59"/>
        <v>0</v>
      </c>
      <c r="AC219" s="39" t="str">
        <f t="shared" si="60"/>
        <v/>
      </c>
      <c r="AD219" s="39" t="str">
        <f t="shared" si="61"/>
        <v/>
      </c>
      <c r="AE219" s="39" t="str">
        <f t="shared" si="62"/>
        <v/>
      </c>
      <c r="AF219" s="106" t="str">
        <f t="shared" si="63"/>
        <v/>
      </c>
      <c r="AG219" s="39">
        <f t="shared" si="64"/>
        <v>0</v>
      </c>
      <c r="AH219" s="39" t="str">
        <f t="shared" si="65"/>
        <v/>
      </c>
      <c r="AI219" s="39">
        <f>IF(AND($E219="timed",$N219&gt;=Settings!$C$9),1,0)</f>
        <v>0</v>
      </c>
      <c r="AJ219" s="39" t="str">
        <f>IF(OR($S219="",Settings!$C$16=""),"",IF($S219&lt;=Settings!$C$16,1,2))</f>
        <v/>
      </c>
      <c r="AK219" s="39" t="str">
        <f>IF($C219="","",IFERROR(IF(INDEX(Settings!$C$20:$C$59,MATCH($C219,Settings!$B$20:$B$59,0))="",Settings!$C$10,INDEX(Settings!$C$20:$C$59,MATCH($C219,Settings!$B$20:$B$59,0))),Settings!$C$10))</f>
        <v/>
      </c>
      <c r="AL219" s="108">
        <f t="shared" si="66"/>
        <v>0</v>
      </c>
      <c r="AM219" s="39" t="str">
        <f t="shared" si="67"/>
        <v/>
      </c>
      <c r="AN219" s="39" t="str">
        <f t="shared" si="68"/>
        <v/>
      </c>
      <c r="AO219" s="39" t="str">
        <f t="shared" si="69"/>
        <v/>
      </c>
      <c r="AP219" s="39">
        <f t="shared" si="70"/>
        <v>0</v>
      </c>
      <c r="AQ219" s="39">
        <f t="shared" si="71"/>
        <v>0</v>
      </c>
    </row>
    <row r="220" spans="14:43" x14ac:dyDescent="0.25">
      <c r="N220" s="105">
        <f t="shared" si="54"/>
        <v>0</v>
      </c>
      <c r="O220" s="106" t="str">
        <f>IF($F220="","",IF(ISNUMBER($F220),$F220+Settings!$C$7/24,IFERROR(DATEVALUE(LEFT($F220,10))+TIMEVALUE(MID($F220,12,8))+Settings!$C$7/24,"")))</f>
        <v/>
      </c>
      <c r="P220" s="106" t="str">
        <f>IF($G220="","",IF(ISNUMBER($G220),$G220+Settings!$C$7/24,IFERROR(DATEVALUE(LEFT($G220,10))+TIMEVALUE(MID($G220,12,8))+Settings!$C$7/24,"")))</f>
        <v/>
      </c>
      <c r="Q220" s="39" t="str">
        <f t="shared" si="55"/>
        <v/>
      </c>
      <c r="R220" s="39" t="str">
        <f t="shared" si="56"/>
        <v/>
      </c>
      <c r="S220" s="107" t="str">
        <f t="shared" si="57"/>
        <v/>
      </c>
      <c r="T220" s="39" t="str">
        <f>IF($C220="","",IF(COUNTIF($C$2:$C220,$C220)=1,1,0))</f>
        <v/>
      </c>
      <c r="U220" s="39" t="str">
        <f>IF($T220=1,COUNTIF($T$2:$T220,1),"")</f>
        <v/>
      </c>
      <c r="V220" s="39" t="str">
        <f>IF($B220="","",IF(COUNTIF($B$2:$B220,$B220)=1,1,0))</f>
        <v/>
      </c>
      <c r="W220" s="39" t="str">
        <f>IF($V220=1,COUNTIF($V$2:$V220,1),"")</f>
        <v/>
      </c>
      <c r="X220" s="39" t="str">
        <f>IF($A220="","",IF(COUNTIF($A$2:$A220,$A220)=1,1,0))</f>
        <v/>
      </c>
      <c r="Y220" s="39" t="str">
        <f>IF($X220=1,COUNTIF($X$2:$X220,1),"")</f>
        <v/>
      </c>
      <c r="Z220" s="39">
        <f>IF(AND($E220="timed",$N220&gt;Settings!$C$8),1,0)</f>
        <v>0</v>
      </c>
      <c r="AA220" s="39">
        <f t="shared" si="58"/>
        <v>0</v>
      </c>
      <c r="AB220" s="39">
        <f t="shared" si="59"/>
        <v>0</v>
      </c>
      <c r="AC220" s="39" t="str">
        <f t="shared" si="60"/>
        <v/>
      </c>
      <c r="AD220" s="39" t="str">
        <f t="shared" si="61"/>
        <v/>
      </c>
      <c r="AE220" s="39" t="str">
        <f t="shared" si="62"/>
        <v/>
      </c>
      <c r="AF220" s="106" t="str">
        <f t="shared" si="63"/>
        <v/>
      </c>
      <c r="AG220" s="39">
        <f t="shared" si="64"/>
        <v>0</v>
      </c>
      <c r="AH220" s="39" t="str">
        <f t="shared" si="65"/>
        <v/>
      </c>
      <c r="AI220" s="39">
        <f>IF(AND($E220="timed",$N220&gt;=Settings!$C$9),1,0)</f>
        <v>0</v>
      </c>
      <c r="AJ220" s="39" t="str">
        <f>IF(OR($S220="",Settings!$C$16=""),"",IF($S220&lt;=Settings!$C$16,1,2))</f>
        <v/>
      </c>
      <c r="AK220" s="39" t="str">
        <f>IF($C220="","",IFERROR(IF(INDEX(Settings!$C$20:$C$59,MATCH($C220,Settings!$B$20:$B$59,0))="",Settings!$C$10,INDEX(Settings!$C$20:$C$59,MATCH($C220,Settings!$B$20:$B$59,0))),Settings!$C$10))</f>
        <v/>
      </c>
      <c r="AL220" s="108">
        <f t="shared" si="66"/>
        <v>0</v>
      </c>
      <c r="AM220" s="39" t="str">
        <f t="shared" si="67"/>
        <v/>
      </c>
      <c r="AN220" s="39" t="str">
        <f t="shared" si="68"/>
        <v/>
      </c>
      <c r="AO220" s="39" t="str">
        <f t="shared" si="69"/>
        <v/>
      </c>
      <c r="AP220" s="39">
        <f t="shared" si="70"/>
        <v>0</v>
      </c>
      <c r="AQ220" s="39">
        <f t="shared" si="71"/>
        <v>0</v>
      </c>
    </row>
    <row r="221" spans="14:43" x14ac:dyDescent="0.25">
      <c r="N221" s="105">
        <f t="shared" si="54"/>
        <v>0</v>
      </c>
      <c r="O221" s="106" t="str">
        <f>IF($F221="","",IF(ISNUMBER($F221),$F221+Settings!$C$7/24,IFERROR(DATEVALUE(LEFT($F221,10))+TIMEVALUE(MID($F221,12,8))+Settings!$C$7/24,"")))</f>
        <v/>
      </c>
      <c r="P221" s="106" t="str">
        <f>IF($G221="","",IF(ISNUMBER($G221),$G221+Settings!$C$7/24,IFERROR(DATEVALUE(LEFT($G221,10))+TIMEVALUE(MID($G221,12,8))+Settings!$C$7/24,"")))</f>
        <v/>
      </c>
      <c r="Q221" s="39" t="str">
        <f t="shared" si="55"/>
        <v/>
      </c>
      <c r="R221" s="39" t="str">
        <f t="shared" si="56"/>
        <v/>
      </c>
      <c r="S221" s="107" t="str">
        <f t="shared" si="57"/>
        <v/>
      </c>
      <c r="T221" s="39" t="str">
        <f>IF($C221="","",IF(COUNTIF($C$2:$C221,$C221)=1,1,0))</f>
        <v/>
      </c>
      <c r="U221" s="39" t="str">
        <f>IF($T221=1,COUNTIF($T$2:$T221,1),"")</f>
        <v/>
      </c>
      <c r="V221" s="39" t="str">
        <f>IF($B221="","",IF(COUNTIF($B$2:$B221,$B221)=1,1,0))</f>
        <v/>
      </c>
      <c r="W221" s="39" t="str">
        <f>IF($V221=1,COUNTIF($V$2:$V221,1),"")</f>
        <v/>
      </c>
      <c r="X221" s="39" t="str">
        <f>IF($A221="","",IF(COUNTIF($A$2:$A221,$A221)=1,1,0))</f>
        <v/>
      </c>
      <c r="Y221" s="39" t="str">
        <f>IF($X221=1,COUNTIF($X$2:$X221,1),"")</f>
        <v/>
      </c>
      <c r="Z221" s="39">
        <f>IF(AND($E221="timed",$N221&gt;Settings!$C$8),1,0)</f>
        <v>0</v>
      </c>
      <c r="AA221" s="39">
        <f t="shared" si="58"/>
        <v>0</v>
      </c>
      <c r="AB221" s="39">
        <f t="shared" si="59"/>
        <v>0</v>
      </c>
      <c r="AC221" s="39" t="str">
        <f t="shared" si="60"/>
        <v/>
      </c>
      <c r="AD221" s="39" t="str">
        <f t="shared" si="61"/>
        <v/>
      </c>
      <c r="AE221" s="39" t="str">
        <f t="shared" si="62"/>
        <v/>
      </c>
      <c r="AF221" s="106" t="str">
        <f t="shared" si="63"/>
        <v/>
      </c>
      <c r="AG221" s="39">
        <f t="shared" si="64"/>
        <v>0</v>
      </c>
      <c r="AH221" s="39" t="str">
        <f t="shared" si="65"/>
        <v/>
      </c>
      <c r="AI221" s="39">
        <f>IF(AND($E221="timed",$N221&gt;=Settings!$C$9),1,0)</f>
        <v>0</v>
      </c>
      <c r="AJ221" s="39" t="str">
        <f>IF(OR($S221="",Settings!$C$16=""),"",IF($S221&lt;=Settings!$C$16,1,2))</f>
        <v/>
      </c>
      <c r="AK221" s="39" t="str">
        <f>IF($C221="","",IFERROR(IF(INDEX(Settings!$C$20:$C$59,MATCH($C221,Settings!$B$20:$B$59,0))="",Settings!$C$10,INDEX(Settings!$C$20:$C$59,MATCH($C221,Settings!$B$20:$B$59,0))),Settings!$C$10))</f>
        <v/>
      </c>
      <c r="AL221" s="108">
        <f t="shared" si="66"/>
        <v>0</v>
      </c>
      <c r="AM221" s="39" t="str">
        <f t="shared" si="67"/>
        <v/>
      </c>
      <c r="AN221" s="39" t="str">
        <f t="shared" si="68"/>
        <v/>
      </c>
      <c r="AO221" s="39" t="str">
        <f t="shared" si="69"/>
        <v/>
      </c>
      <c r="AP221" s="39">
        <f t="shared" si="70"/>
        <v>0</v>
      </c>
      <c r="AQ221" s="39">
        <f t="shared" si="71"/>
        <v>0</v>
      </c>
    </row>
    <row r="222" spans="14:43" x14ac:dyDescent="0.25">
      <c r="N222" s="105">
        <f t="shared" si="54"/>
        <v>0</v>
      </c>
      <c r="O222" s="106" t="str">
        <f>IF($F222="","",IF(ISNUMBER($F222),$F222+Settings!$C$7/24,IFERROR(DATEVALUE(LEFT($F222,10))+TIMEVALUE(MID($F222,12,8))+Settings!$C$7/24,"")))</f>
        <v/>
      </c>
      <c r="P222" s="106" t="str">
        <f>IF($G222="","",IF(ISNUMBER($G222),$G222+Settings!$C$7/24,IFERROR(DATEVALUE(LEFT($G222,10))+TIMEVALUE(MID($G222,12,8))+Settings!$C$7/24,"")))</f>
        <v/>
      </c>
      <c r="Q222" s="39" t="str">
        <f t="shared" si="55"/>
        <v/>
      </c>
      <c r="R222" s="39" t="str">
        <f t="shared" si="56"/>
        <v/>
      </c>
      <c r="S222" s="107" t="str">
        <f t="shared" si="57"/>
        <v/>
      </c>
      <c r="T222" s="39" t="str">
        <f>IF($C222="","",IF(COUNTIF($C$2:$C222,$C222)=1,1,0))</f>
        <v/>
      </c>
      <c r="U222" s="39" t="str">
        <f>IF($T222=1,COUNTIF($T$2:$T222,1),"")</f>
        <v/>
      </c>
      <c r="V222" s="39" t="str">
        <f>IF($B222="","",IF(COUNTIF($B$2:$B222,$B222)=1,1,0))</f>
        <v/>
      </c>
      <c r="W222" s="39" t="str">
        <f>IF($V222=1,COUNTIF($V$2:$V222,1),"")</f>
        <v/>
      </c>
      <c r="X222" s="39" t="str">
        <f>IF($A222="","",IF(COUNTIF($A$2:$A222,$A222)=1,1,0))</f>
        <v/>
      </c>
      <c r="Y222" s="39" t="str">
        <f>IF($X222=1,COUNTIF($X$2:$X222,1),"")</f>
        <v/>
      </c>
      <c r="Z222" s="39">
        <f>IF(AND($E222="timed",$N222&gt;Settings!$C$8),1,0)</f>
        <v>0</v>
      </c>
      <c r="AA222" s="39">
        <f t="shared" si="58"/>
        <v>0</v>
      </c>
      <c r="AB222" s="39">
        <f t="shared" si="59"/>
        <v>0</v>
      </c>
      <c r="AC222" s="39" t="str">
        <f t="shared" si="60"/>
        <v/>
      </c>
      <c r="AD222" s="39" t="str">
        <f t="shared" si="61"/>
        <v/>
      </c>
      <c r="AE222" s="39" t="str">
        <f t="shared" si="62"/>
        <v/>
      </c>
      <c r="AF222" s="106" t="str">
        <f t="shared" si="63"/>
        <v/>
      </c>
      <c r="AG222" s="39">
        <f t="shared" si="64"/>
        <v>0</v>
      </c>
      <c r="AH222" s="39" t="str">
        <f t="shared" si="65"/>
        <v/>
      </c>
      <c r="AI222" s="39">
        <f>IF(AND($E222="timed",$N222&gt;=Settings!$C$9),1,0)</f>
        <v>0</v>
      </c>
      <c r="AJ222" s="39" t="str">
        <f>IF(OR($S222="",Settings!$C$16=""),"",IF($S222&lt;=Settings!$C$16,1,2))</f>
        <v/>
      </c>
      <c r="AK222" s="39" t="str">
        <f>IF($C222="","",IFERROR(IF(INDEX(Settings!$C$20:$C$59,MATCH($C222,Settings!$B$20:$B$59,0))="",Settings!$C$10,INDEX(Settings!$C$20:$C$59,MATCH($C222,Settings!$B$20:$B$59,0))),Settings!$C$10))</f>
        <v/>
      </c>
      <c r="AL222" s="108">
        <f t="shared" si="66"/>
        <v>0</v>
      </c>
      <c r="AM222" s="39" t="str">
        <f t="shared" si="67"/>
        <v/>
      </c>
      <c r="AN222" s="39" t="str">
        <f t="shared" si="68"/>
        <v/>
      </c>
      <c r="AO222" s="39" t="str">
        <f t="shared" si="69"/>
        <v/>
      </c>
      <c r="AP222" s="39">
        <f t="shared" si="70"/>
        <v>0</v>
      </c>
      <c r="AQ222" s="39">
        <f t="shared" si="71"/>
        <v>0</v>
      </c>
    </row>
    <row r="223" spans="14:43" x14ac:dyDescent="0.25">
      <c r="N223" s="105">
        <f t="shared" si="54"/>
        <v>0</v>
      </c>
      <c r="O223" s="106" t="str">
        <f>IF($F223="","",IF(ISNUMBER($F223),$F223+Settings!$C$7/24,IFERROR(DATEVALUE(LEFT($F223,10))+TIMEVALUE(MID($F223,12,8))+Settings!$C$7/24,"")))</f>
        <v/>
      </c>
      <c r="P223" s="106" t="str">
        <f>IF($G223="","",IF(ISNUMBER($G223),$G223+Settings!$C$7/24,IFERROR(DATEVALUE(LEFT($G223,10))+TIMEVALUE(MID($G223,12,8))+Settings!$C$7/24,"")))</f>
        <v/>
      </c>
      <c r="Q223" s="39" t="str">
        <f t="shared" si="55"/>
        <v/>
      </c>
      <c r="R223" s="39" t="str">
        <f t="shared" si="56"/>
        <v/>
      </c>
      <c r="S223" s="107" t="str">
        <f t="shared" si="57"/>
        <v/>
      </c>
      <c r="T223" s="39" t="str">
        <f>IF($C223="","",IF(COUNTIF($C$2:$C223,$C223)=1,1,0))</f>
        <v/>
      </c>
      <c r="U223" s="39" t="str">
        <f>IF($T223=1,COUNTIF($T$2:$T223,1),"")</f>
        <v/>
      </c>
      <c r="V223" s="39" t="str">
        <f>IF($B223="","",IF(COUNTIF($B$2:$B223,$B223)=1,1,0))</f>
        <v/>
      </c>
      <c r="W223" s="39" t="str">
        <f>IF($V223=1,COUNTIF($V$2:$V223,1),"")</f>
        <v/>
      </c>
      <c r="X223" s="39" t="str">
        <f>IF($A223="","",IF(COUNTIF($A$2:$A223,$A223)=1,1,0))</f>
        <v/>
      </c>
      <c r="Y223" s="39" t="str">
        <f>IF($X223=1,COUNTIF($X$2:$X223,1),"")</f>
        <v/>
      </c>
      <c r="Z223" s="39">
        <f>IF(AND($E223="timed",$N223&gt;Settings!$C$8),1,0)</f>
        <v>0</v>
      </c>
      <c r="AA223" s="39">
        <f t="shared" si="58"/>
        <v>0</v>
      </c>
      <c r="AB223" s="39">
        <f t="shared" si="59"/>
        <v>0</v>
      </c>
      <c r="AC223" s="39" t="str">
        <f t="shared" si="60"/>
        <v/>
      </c>
      <c r="AD223" s="39" t="str">
        <f t="shared" si="61"/>
        <v/>
      </c>
      <c r="AE223" s="39" t="str">
        <f t="shared" si="62"/>
        <v/>
      </c>
      <c r="AF223" s="106" t="str">
        <f t="shared" si="63"/>
        <v/>
      </c>
      <c r="AG223" s="39">
        <f t="shared" si="64"/>
        <v>0</v>
      </c>
      <c r="AH223" s="39" t="str">
        <f t="shared" si="65"/>
        <v/>
      </c>
      <c r="AI223" s="39">
        <f>IF(AND($E223="timed",$N223&gt;=Settings!$C$9),1,0)</f>
        <v>0</v>
      </c>
      <c r="AJ223" s="39" t="str">
        <f>IF(OR($S223="",Settings!$C$16=""),"",IF($S223&lt;=Settings!$C$16,1,2))</f>
        <v/>
      </c>
      <c r="AK223" s="39" t="str">
        <f>IF($C223="","",IFERROR(IF(INDEX(Settings!$C$20:$C$59,MATCH($C223,Settings!$B$20:$B$59,0))="",Settings!$C$10,INDEX(Settings!$C$20:$C$59,MATCH($C223,Settings!$B$20:$B$59,0))),Settings!$C$10))</f>
        <v/>
      </c>
      <c r="AL223" s="108">
        <f t="shared" si="66"/>
        <v>0</v>
      </c>
      <c r="AM223" s="39" t="str">
        <f t="shared" si="67"/>
        <v/>
      </c>
      <c r="AN223" s="39" t="str">
        <f t="shared" si="68"/>
        <v/>
      </c>
      <c r="AO223" s="39" t="str">
        <f t="shared" si="69"/>
        <v/>
      </c>
      <c r="AP223" s="39">
        <f t="shared" si="70"/>
        <v>0</v>
      </c>
      <c r="AQ223" s="39">
        <f t="shared" si="71"/>
        <v>0</v>
      </c>
    </row>
    <row r="224" spans="14:43" x14ac:dyDescent="0.25">
      <c r="N224" s="105">
        <f t="shared" si="54"/>
        <v>0</v>
      </c>
      <c r="O224" s="106" t="str">
        <f>IF($F224="","",IF(ISNUMBER($F224),$F224+Settings!$C$7/24,IFERROR(DATEVALUE(LEFT($F224,10))+TIMEVALUE(MID($F224,12,8))+Settings!$C$7/24,"")))</f>
        <v/>
      </c>
      <c r="P224" s="106" t="str">
        <f>IF($G224="","",IF(ISNUMBER($G224),$G224+Settings!$C$7/24,IFERROR(DATEVALUE(LEFT($G224,10))+TIMEVALUE(MID($G224,12,8))+Settings!$C$7/24,"")))</f>
        <v/>
      </c>
      <c r="Q224" s="39" t="str">
        <f t="shared" si="55"/>
        <v/>
      </c>
      <c r="R224" s="39" t="str">
        <f t="shared" si="56"/>
        <v/>
      </c>
      <c r="S224" s="107" t="str">
        <f t="shared" si="57"/>
        <v/>
      </c>
      <c r="T224" s="39" t="str">
        <f>IF($C224="","",IF(COUNTIF($C$2:$C224,$C224)=1,1,0))</f>
        <v/>
      </c>
      <c r="U224" s="39" t="str">
        <f>IF($T224=1,COUNTIF($T$2:$T224,1),"")</f>
        <v/>
      </c>
      <c r="V224" s="39" t="str">
        <f>IF($B224="","",IF(COUNTIF($B$2:$B224,$B224)=1,1,0))</f>
        <v/>
      </c>
      <c r="W224" s="39" t="str">
        <f>IF($V224=1,COUNTIF($V$2:$V224,1),"")</f>
        <v/>
      </c>
      <c r="X224" s="39" t="str">
        <f>IF($A224="","",IF(COUNTIF($A$2:$A224,$A224)=1,1,0))</f>
        <v/>
      </c>
      <c r="Y224" s="39" t="str">
        <f>IF($X224=1,COUNTIF($X$2:$X224,1),"")</f>
        <v/>
      </c>
      <c r="Z224" s="39">
        <f>IF(AND($E224="timed",$N224&gt;Settings!$C$8),1,0)</f>
        <v>0</v>
      </c>
      <c r="AA224" s="39">
        <f t="shared" si="58"/>
        <v>0</v>
      </c>
      <c r="AB224" s="39">
        <f t="shared" si="59"/>
        <v>0</v>
      </c>
      <c r="AC224" s="39" t="str">
        <f t="shared" si="60"/>
        <v/>
      </c>
      <c r="AD224" s="39" t="str">
        <f t="shared" si="61"/>
        <v/>
      </c>
      <c r="AE224" s="39" t="str">
        <f t="shared" si="62"/>
        <v/>
      </c>
      <c r="AF224" s="106" t="str">
        <f t="shared" si="63"/>
        <v/>
      </c>
      <c r="AG224" s="39">
        <f t="shared" si="64"/>
        <v>0</v>
      </c>
      <c r="AH224" s="39" t="str">
        <f t="shared" si="65"/>
        <v/>
      </c>
      <c r="AI224" s="39">
        <f>IF(AND($E224="timed",$N224&gt;=Settings!$C$9),1,0)</f>
        <v>0</v>
      </c>
      <c r="AJ224" s="39" t="str">
        <f>IF(OR($S224="",Settings!$C$16=""),"",IF($S224&lt;=Settings!$C$16,1,2))</f>
        <v/>
      </c>
      <c r="AK224" s="39" t="str">
        <f>IF($C224="","",IFERROR(IF(INDEX(Settings!$C$20:$C$59,MATCH($C224,Settings!$B$20:$B$59,0))="",Settings!$C$10,INDEX(Settings!$C$20:$C$59,MATCH($C224,Settings!$B$20:$B$59,0))),Settings!$C$10))</f>
        <v/>
      </c>
      <c r="AL224" s="108">
        <f t="shared" si="66"/>
        <v>0</v>
      </c>
      <c r="AM224" s="39" t="str">
        <f t="shared" si="67"/>
        <v/>
      </c>
      <c r="AN224" s="39" t="str">
        <f t="shared" si="68"/>
        <v/>
      </c>
      <c r="AO224" s="39" t="str">
        <f t="shared" si="69"/>
        <v/>
      </c>
      <c r="AP224" s="39">
        <f t="shared" si="70"/>
        <v>0</v>
      </c>
      <c r="AQ224" s="39">
        <f t="shared" si="71"/>
        <v>0</v>
      </c>
    </row>
    <row r="225" spans="14:43" x14ac:dyDescent="0.25">
      <c r="N225" s="105">
        <f t="shared" si="54"/>
        <v>0</v>
      </c>
      <c r="O225" s="106" t="str">
        <f>IF($F225="","",IF(ISNUMBER($F225),$F225+Settings!$C$7/24,IFERROR(DATEVALUE(LEFT($F225,10))+TIMEVALUE(MID($F225,12,8))+Settings!$C$7/24,"")))</f>
        <v/>
      </c>
      <c r="P225" s="106" t="str">
        <f>IF($G225="","",IF(ISNUMBER($G225),$G225+Settings!$C$7/24,IFERROR(DATEVALUE(LEFT($G225,10))+TIMEVALUE(MID($G225,12,8))+Settings!$C$7/24,"")))</f>
        <v/>
      </c>
      <c r="Q225" s="39" t="str">
        <f t="shared" si="55"/>
        <v/>
      </c>
      <c r="R225" s="39" t="str">
        <f t="shared" si="56"/>
        <v/>
      </c>
      <c r="S225" s="107" t="str">
        <f t="shared" si="57"/>
        <v/>
      </c>
      <c r="T225" s="39" t="str">
        <f>IF($C225="","",IF(COUNTIF($C$2:$C225,$C225)=1,1,0))</f>
        <v/>
      </c>
      <c r="U225" s="39" t="str">
        <f>IF($T225=1,COUNTIF($T$2:$T225,1),"")</f>
        <v/>
      </c>
      <c r="V225" s="39" t="str">
        <f>IF($B225="","",IF(COUNTIF($B$2:$B225,$B225)=1,1,0))</f>
        <v/>
      </c>
      <c r="W225" s="39" t="str">
        <f>IF($V225=1,COUNTIF($V$2:$V225,1),"")</f>
        <v/>
      </c>
      <c r="X225" s="39" t="str">
        <f>IF($A225="","",IF(COUNTIF($A$2:$A225,$A225)=1,1,0))</f>
        <v/>
      </c>
      <c r="Y225" s="39" t="str">
        <f>IF($X225=1,COUNTIF($X$2:$X225,1),"")</f>
        <v/>
      </c>
      <c r="Z225" s="39">
        <f>IF(AND($E225="timed",$N225&gt;Settings!$C$8),1,0)</f>
        <v>0</v>
      </c>
      <c r="AA225" s="39">
        <f t="shared" si="58"/>
        <v>0</v>
      </c>
      <c r="AB225" s="39">
        <f t="shared" si="59"/>
        <v>0</v>
      </c>
      <c r="AC225" s="39" t="str">
        <f t="shared" si="60"/>
        <v/>
      </c>
      <c r="AD225" s="39" t="str">
        <f t="shared" si="61"/>
        <v/>
      </c>
      <c r="AE225" s="39" t="str">
        <f t="shared" si="62"/>
        <v/>
      </c>
      <c r="AF225" s="106" t="str">
        <f t="shared" si="63"/>
        <v/>
      </c>
      <c r="AG225" s="39">
        <f t="shared" si="64"/>
        <v>0</v>
      </c>
      <c r="AH225" s="39" t="str">
        <f t="shared" si="65"/>
        <v/>
      </c>
      <c r="AI225" s="39">
        <f>IF(AND($E225="timed",$N225&gt;=Settings!$C$9),1,0)</f>
        <v>0</v>
      </c>
      <c r="AJ225" s="39" t="str">
        <f>IF(OR($S225="",Settings!$C$16=""),"",IF($S225&lt;=Settings!$C$16,1,2))</f>
        <v/>
      </c>
      <c r="AK225" s="39" t="str">
        <f>IF($C225="","",IFERROR(IF(INDEX(Settings!$C$20:$C$59,MATCH($C225,Settings!$B$20:$B$59,0))="",Settings!$C$10,INDEX(Settings!$C$20:$C$59,MATCH($C225,Settings!$B$20:$B$59,0))),Settings!$C$10))</f>
        <v/>
      </c>
      <c r="AL225" s="108">
        <f t="shared" si="66"/>
        <v>0</v>
      </c>
      <c r="AM225" s="39" t="str">
        <f t="shared" si="67"/>
        <v/>
      </c>
      <c r="AN225" s="39" t="str">
        <f t="shared" si="68"/>
        <v/>
      </c>
      <c r="AO225" s="39" t="str">
        <f t="shared" si="69"/>
        <v/>
      </c>
      <c r="AP225" s="39">
        <f t="shared" si="70"/>
        <v>0</v>
      </c>
      <c r="AQ225" s="39">
        <f t="shared" si="71"/>
        <v>0</v>
      </c>
    </row>
    <row r="226" spans="14:43" x14ac:dyDescent="0.25">
      <c r="N226" s="105">
        <f t="shared" si="54"/>
        <v>0</v>
      </c>
      <c r="O226" s="106" t="str">
        <f>IF($F226="","",IF(ISNUMBER($F226),$F226+Settings!$C$7/24,IFERROR(DATEVALUE(LEFT($F226,10))+TIMEVALUE(MID($F226,12,8))+Settings!$C$7/24,"")))</f>
        <v/>
      </c>
      <c r="P226" s="106" t="str">
        <f>IF($G226="","",IF(ISNUMBER($G226),$G226+Settings!$C$7/24,IFERROR(DATEVALUE(LEFT($G226,10))+TIMEVALUE(MID($G226,12,8))+Settings!$C$7/24,"")))</f>
        <v/>
      </c>
      <c r="Q226" s="39" t="str">
        <f t="shared" si="55"/>
        <v/>
      </c>
      <c r="R226" s="39" t="str">
        <f t="shared" si="56"/>
        <v/>
      </c>
      <c r="S226" s="107" t="str">
        <f t="shared" si="57"/>
        <v/>
      </c>
      <c r="T226" s="39" t="str">
        <f>IF($C226="","",IF(COUNTIF($C$2:$C226,$C226)=1,1,0))</f>
        <v/>
      </c>
      <c r="U226" s="39" t="str">
        <f>IF($T226=1,COUNTIF($T$2:$T226,1),"")</f>
        <v/>
      </c>
      <c r="V226" s="39" t="str">
        <f>IF($B226="","",IF(COUNTIF($B$2:$B226,$B226)=1,1,0))</f>
        <v/>
      </c>
      <c r="W226" s="39" t="str">
        <f>IF($V226=1,COUNTIF($V$2:$V226,1),"")</f>
        <v/>
      </c>
      <c r="X226" s="39" t="str">
        <f>IF($A226="","",IF(COUNTIF($A$2:$A226,$A226)=1,1,0))</f>
        <v/>
      </c>
      <c r="Y226" s="39" t="str">
        <f>IF($X226=1,COUNTIF($X$2:$X226,1),"")</f>
        <v/>
      </c>
      <c r="Z226" s="39">
        <f>IF(AND($E226="timed",$N226&gt;Settings!$C$8),1,0)</f>
        <v>0</v>
      </c>
      <c r="AA226" s="39">
        <f t="shared" si="58"/>
        <v>0</v>
      </c>
      <c r="AB226" s="39">
        <f t="shared" si="59"/>
        <v>0</v>
      </c>
      <c r="AC226" s="39" t="str">
        <f t="shared" si="60"/>
        <v/>
      </c>
      <c r="AD226" s="39" t="str">
        <f t="shared" si="61"/>
        <v/>
      </c>
      <c r="AE226" s="39" t="str">
        <f t="shared" si="62"/>
        <v/>
      </c>
      <c r="AF226" s="106" t="str">
        <f t="shared" si="63"/>
        <v/>
      </c>
      <c r="AG226" s="39">
        <f t="shared" si="64"/>
        <v>0</v>
      </c>
      <c r="AH226" s="39" t="str">
        <f t="shared" si="65"/>
        <v/>
      </c>
      <c r="AI226" s="39">
        <f>IF(AND($E226="timed",$N226&gt;=Settings!$C$9),1,0)</f>
        <v>0</v>
      </c>
      <c r="AJ226" s="39" t="str">
        <f>IF(OR($S226="",Settings!$C$16=""),"",IF($S226&lt;=Settings!$C$16,1,2))</f>
        <v/>
      </c>
      <c r="AK226" s="39" t="str">
        <f>IF($C226="","",IFERROR(IF(INDEX(Settings!$C$20:$C$59,MATCH($C226,Settings!$B$20:$B$59,0))="",Settings!$C$10,INDEX(Settings!$C$20:$C$59,MATCH($C226,Settings!$B$20:$B$59,0))),Settings!$C$10))</f>
        <v/>
      </c>
      <c r="AL226" s="108">
        <f t="shared" si="66"/>
        <v>0</v>
      </c>
      <c r="AM226" s="39" t="str">
        <f t="shared" si="67"/>
        <v/>
      </c>
      <c r="AN226" s="39" t="str">
        <f t="shared" si="68"/>
        <v/>
      </c>
      <c r="AO226" s="39" t="str">
        <f t="shared" si="69"/>
        <v/>
      </c>
      <c r="AP226" s="39">
        <f t="shared" si="70"/>
        <v>0</v>
      </c>
      <c r="AQ226" s="39">
        <f t="shared" si="71"/>
        <v>0</v>
      </c>
    </row>
    <row r="227" spans="14:43" x14ac:dyDescent="0.25">
      <c r="N227" s="105">
        <f t="shared" si="54"/>
        <v>0</v>
      </c>
      <c r="O227" s="106" t="str">
        <f>IF($F227="","",IF(ISNUMBER($F227),$F227+Settings!$C$7/24,IFERROR(DATEVALUE(LEFT($F227,10))+TIMEVALUE(MID($F227,12,8))+Settings!$C$7/24,"")))</f>
        <v/>
      </c>
      <c r="P227" s="106" t="str">
        <f>IF($G227="","",IF(ISNUMBER($G227),$G227+Settings!$C$7/24,IFERROR(DATEVALUE(LEFT($G227,10))+TIMEVALUE(MID($G227,12,8))+Settings!$C$7/24,"")))</f>
        <v/>
      </c>
      <c r="Q227" s="39" t="str">
        <f t="shared" si="55"/>
        <v/>
      </c>
      <c r="R227" s="39" t="str">
        <f t="shared" si="56"/>
        <v/>
      </c>
      <c r="S227" s="107" t="str">
        <f t="shared" si="57"/>
        <v/>
      </c>
      <c r="T227" s="39" t="str">
        <f>IF($C227="","",IF(COUNTIF($C$2:$C227,$C227)=1,1,0))</f>
        <v/>
      </c>
      <c r="U227" s="39" t="str">
        <f>IF($T227=1,COUNTIF($T$2:$T227,1),"")</f>
        <v/>
      </c>
      <c r="V227" s="39" t="str">
        <f>IF($B227="","",IF(COUNTIF($B$2:$B227,$B227)=1,1,0))</f>
        <v/>
      </c>
      <c r="W227" s="39" t="str">
        <f>IF($V227=1,COUNTIF($V$2:$V227,1),"")</f>
        <v/>
      </c>
      <c r="X227" s="39" t="str">
        <f>IF($A227="","",IF(COUNTIF($A$2:$A227,$A227)=1,1,0))</f>
        <v/>
      </c>
      <c r="Y227" s="39" t="str">
        <f>IF($X227=1,COUNTIF($X$2:$X227,1),"")</f>
        <v/>
      </c>
      <c r="Z227" s="39">
        <f>IF(AND($E227="timed",$N227&gt;Settings!$C$8),1,0)</f>
        <v>0</v>
      </c>
      <c r="AA227" s="39">
        <f t="shared" si="58"/>
        <v>0</v>
      </c>
      <c r="AB227" s="39">
        <f t="shared" si="59"/>
        <v>0</v>
      </c>
      <c r="AC227" s="39" t="str">
        <f t="shared" si="60"/>
        <v/>
      </c>
      <c r="AD227" s="39" t="str">
        <f t="shared" si="61"/>
        <v/>
      </c>
      <c r="AE227" s="39" t="str">
        <f t="shared" si="62"/>
        <v/>
      </c>
      <c r="AF227" s="106" t="str">
        <f t="shared" si="63"/>
        <v/>
      </c>
      <c r="AG227" s="39">
        <f t="shared" si="64"/>
        <v>0</v>
      </c>
      <c r="AH227" s="39" t="str">
        <f t="shared" si="65"/>
        <v/>
      </c>
      <c r="AI227" s="39">
        <f>IF(AND($E227="timed",$N227&gt;=Settings!$C$9),1,0)</f>
        <v>0</v>
      </c>
      <c r="AJ227" s="39" t="str">
        <f>IF(OR($S227="",Settings!$C$16=""),"",IF($S227&lt;=Settings!$C$16,1,2))</f>
        <v/>
      </c>
      <c r="AK227" s="39" t="str">
        <f>IF($C227="","",IFERROR(IF(INDEX(Settings!$C$20:$C$59,MATCH($C227,Settings!$B$20:$B$59,0))="",Settings!$C$10,INDEX(Settings!$C$20:$C$59,MATCH($C227,Settings!$B$20:$B$59,0))),Settings!$C$10))</f>
        <v/>
      </c>
      <c r="AL227" s="108">
        <f t="shared" si="66"/>
        <v>0</v>
      </c>
      <c r="AM227" s="39" t="str">
        <f t="shared" si="67"/>
        <v/>
      </c>
      <c r="AN227" s="39" t="str">
        <f t="shared" si="68"/>
        <v/>
      </c>
      <c r="AO227" s="39" t="str">
        <f t="shared" si="69"/>
        <v/>
      </c>
      <c r="AP227" s="39">
        <f t="shared" si="70"/>
        <v>0</v>
      </c>
      <c r="AQ227" s="39">
        <f t="shared" si="71"/>
        <v>0</v>
      </c>
    </row>
    <row r="228" spans="14:43" x14ac:dyDescent="0.25">
      <c r="N228" s="105">
        <f t="shared" si="54"/>
        <v>0</v>
      </c>
      <c r="O228" s="106" t="str">
        <f>IF($F228="","",IF(ISNUMBER($F228),$F228+Settings!$C$7/24,IFERROR(DATEVALUE(LEFT($F228,10))+TIMEVALUE(MID($F228,12,8))+Settings!$C$7/24,"")))</f>
        <v/>
      </c>
      <c r="P228" s="106" t="str">
        <f>IF($G228="","",IF(ISNUMBER($G228),$G228+Settings!$C$7/24,IFERROR(DATEVALUE(LEFT($G228,10))+TIMEVALUE(MID($G228,12,8))+Settings!$C$7/24,"")))</f>
        <v/>
      </c>
      <c r="Q228" s="39" t="str">
        <f t="shared" si="55"/>
        <v/>
      </c>
      <c r="R228" s="39" t="str">
        <f t="shared" si="56"/>
        <v/>
      </c>
      <c r="S228" s="107" t="str">
        <f t="shared" si="57"/>
        <v/>
      </c>
      <c r="T228" s="39" t="str">
        <f>IF($C228="","",IF(COUNTIF($C$2:$C228,$C228)=1,1,0))</f>
        <v/>
      </c>
      <c r="U228" s="39" t="str">
        <f>IF($T228=1,COUNTIF($T$2:$T228,1),"")</f>
        <v/>
      </c>
      <c r="V228" s="39" t="str">
        <f>IF($B228="","",IF(COUNTIF($B$2:$B228,$B228)=1,1,0))</f>
        <v/>
      </c>
      <c r="W228" s="39" t="str">
        <f>IF($V228=1,COUNTIF($V$2:$V228,1),"")</f>
        <v/>
      </c>
      <c r="X228" s="39" t="str">
        <f>IF($A228="","",IF(COUNTIF($A$2:$A228,$A228)=1,1,0))</f>
        <v/>
      </c>
      <c r="Y228" s="39" t="str">
        <f>IF($X228=1,COUNTIF($X$2:$X228,1),"")</f>
        <v/>
      </c>
      <c r="Z228" s="39">
        <f>IF(AND($E228="timed",$N228&gt;Settings!$C$8),1,0)</f>
        <v>0</v>
      </c>
      <c r="AA228" s="39">
        <f t="shared" si="58"/>
        <v>0</v>
      </c>
      <c r="AB228" s="39">
        <f t="shared" si="59"/>
        <v>0</v>
      </c>
      <c r="AC228" s="39" t="str">
        <f t="shared" si="60"/>
        <v/>
      </c>
      <c r="AD228" s="39" t="str">
        <f t="shared" si="61"/>
        <v/>
      </c>
      <c r="AE228" s="39" t="str">
        <f t="shared" si="62"/>
        <v/>
      </c>
      <c r="AF228" s="106" t="str">
        <f t="shared" si="63"/>
        <v/>
      </c>
      <c r="AG228" s="39">
        <f t="shared" si="64"/>
        <v>0</v>
      </c>
      <c r="AH228" s="39" t="str">
        <f t="shared" si="65"/>
        <v/>
      </c>
      <c r="AI228" s="39">
        <f>IF(AND($E228="timed",$N228&gt;=Settings!$C$9),1,0)</f>
        <v>0</v>
      </c>
      <c r="AJ228" s="39" t="str">
        <f>IF(OR($S228="",Settings!$C$16=""),"",IF($S228&lt;=Settings!$C$16,1,2))</f>
        <v/>
      </c>
      <c r="AK228" s="39" t="str">
        <f>IF($C228="","",IFERROR(IF(INDEX(Settings!$C$20:$C$59,MATCH($C228,Settings!$B$20:$B$59,0))="",Settings!$C$10,INDEX(Settings!$C$20:$C$59,MATCH($C228,Settings!$B$20:$B$59,0))),Settings!$C$10))</f>
        <v/>
      </c>
      <c r="AL228" s="108">
        <f t="shared" si="66"/>
        <v>0</v>
      </c>
      <c r="AM228" s="39" t="str">
        <f t="shared" si="67"/>
        <v/>
      </c>
      <c r="AN228" s="39" t="str">
        <f t="shared" si="68"/>
        <v/>
      </c>
      <c r="AO228" s="39" t="str">
        <f t="shared" si="69"/>
        <v/>
      </c>
      <c r="AP228" s="39">
        <f t="shared" si="70"/>
        <v>0</v>
      </c>
      <c r="AQ228" s="39">
        <f t="shared" si="71"/>
        <v>0</v>
      </c>
    </row>
    <row r="229" spans="14:43" x14ac:dyDescent="0.25">
      <c r="N229" s="105">
        <f t="shared" si="54"/>
        <v>0</v>
      </c>
      <c r="O229" s="106" t="str">
        <f>IF($F229="","",IF(ISNUMBER($F229),$F229+Settings!$C$7/24,IFERROR(DATEVALUE(LEFT($F229,10))+TIMEVALUE(MID($F229,12,8))+Settings!$C$7/24,"")))</f>
        <v/>
      </c>
      <c r="P229" s="106" t="str">
        <f>IF($G229="","",IF(ISNUMBER($G229),$G229+Settings!$C$7/24,IFERROR(DATEVALUE(LEFT($G229,10))+TIMEVALUE(MID($G229,12,8))+Settings!$C$7/24,"")))</f>
        <v/>
      </c>
      <c r="Q229" s="39" t="str">
        <f t="shared" si="55"/>
        <v/>
      </c>
      <c r="R229" s="39" t="str">
        <f t="shared" si="56"/>
        <v/>
      </c>
      <c r="S229" s="107" t="str">
        <f t="shared" si="57"/>
        <v/>
      </c>
      <c r="T229" s="39" t="str">
        <f>IF($C229="","",IF(COUNTIF($C$2:$C229,$C229)=1,1,0))</f>
        <v/>
      </c>
      <c r="U229" s="39" t="str">
        <f>IF($T229=1,COUNTIF($T$2:$T229,1),"")</f>
        <v/>
      </c>
      <c r="V229" s="39" t="str">
        <f>IF($B229="","",IF(COUNTIF($B$2:$B229,$B229)=1,1,0))</f>
        <v/>
      </c>
      <c r="W229" s="39" t="str">
        <f>IF($V229=1,COUNTIF($V$2:$V229,1),"")</f>
        <v/>
      </c>
      <c r="X229" s="39" t="str">
        <f>IF($A229="","",IF(COUNTIF($A$2:$A229,$A229)=1,1,0))</f>
        <v/>
      </c>
      <c r="Y229" s="39" t="str">
        <f>IF($X229=1,COUNTIF($X$2:$X229,1),"")</f>
        <v/>
      </c>
      <c r="Z229" s="39">
        <f>IF(AND($E229="timed",$N229&gt;Settings!$C$8),1,0)</f>
        <v>0</v>
      </c>
      <c r="AA229" s="39">
        <f t="shared" si="58"/>
        <v>0</v>
      </c>
      <c r="AB229" s="39">
        <f t="shared" si="59"/>
        <v>0</v>
      </c>
      <c r="AC229" s="39" t="str">
        <f t="shared" si="60"/>
        <v/>
      </c>
      <c r="AD229" s="39" t="str">
        <f t="shared" si="61"/>
        <v/>
      </c>
      <c r="AE229" s="39" t="str">
        <f t="shared" si="62"/>
        <v/>
      </c>
      <c r="AF229" s="106" t="str">
        <f t="shared" si="63"/>
        <v/>
      </c>
      <c r="AG229" s="39">
        <f t="shared" si="64"/>
        <v>0</v>
      </c>
      <c r="AH229" s="39" t="str">
        <f t="shared" si="65"/>
        <v/>
      </c>
      <c r="AI229" s="39">
        <f>IF(AND($E229="timed",$N229&gt;=Settings!$C$9),1,0)</f>
        <v>0</v>
      </c>
      <c r="AJ229" s="39" t="str">
        <f>IF(OR($S229="",Settings!$C$16=""),"",IF($S229&lt;=Settings!$C$16,1,2))</f>
        <v/>
      </c>
      <c r="AK229" s="39" t="str">
        <f>IF($C229="","",IFERROR(IF(INDEX(Settings!$C$20:$C$59,MATCH($C229,Settings!$B$20:$B$59,0))="",Settings!$C$10,INDEX(Settings!$C$20:$C$59,MATCH($C229,Settings!$B$20:$B$59,0))),Settings!$C$10))</f>
        <v/>
      </c>
      <c r="AL229" s="108">
        <f t="shared" si="66"/>
        <v>0</v>
      </c>
      <c r="AM229" s="39" t="str">
        <f t="shared" si="67"/>
        <v/>
      </c>
      <c r="AN229" s="39" t="str">
        <f t="shared" si="68"/>
        <v/>
      </c>
      <c r="AO229" s="39" t="str">
        <f t="shared" si="69"/>
        <v/>
      </c>
      <c r="AP229" s="39">
        <f t="shared" si="70"/>
        <v>0</v>
      </c>
      <c r="AQ229" s="39">
        <f t="shared" si="71"/>
        <v>0</v>
      </c>
    </row>
    <row r="230" spans="14:43" x14ac:dyDescent="0.25">
      <c r="N230" s="105">
        <f t="shared" si="54"/>
        <v>0</v>
      </c>
      <c r="O230" s="106" t="str">
        <f>IF($F230="","",IF(ISNUMBER($F230),$F230+Settings!$C$7/24,IFERROR(DATEVALUE(LEFT($F230,10))+TIMEVALUE(MID($F230,12,8))+Settings!$C$7/24,"")))</f>
        <v/>
      </c>
      <c r="P230" s="106" t="str">
        <f>IF($G230="","",IF(ISNUMBER($G230),$G230+Settings!$C$7/24,IFERROR(DATEVALUE(LEFT($G230,10))+TIMEVALUE(MID($G230,12,8))+Settings!$C$7/24,"")))</f>
        <v/>
      </c>
      <c r="Q230" s="39" t="str">
        <f t="shared" si="55"/>
        <v/>
      </c>
      <c r="R230" s="39" t="str">
        <f t="shared" si="56"/>
        <v/>
      </c>
      <c r="S230" s="107" t="str">
        <f t="shared" si="57"/>
        <v/>
      </c>
      <c r="T230" s="39" t="str">
        <f>IF($C230="","",IF(COUNTIF($C$2:$C230,$C230)=1,1,0))</f>
        <v/>
      </c>
      <c r="U230" s="39" t="str">
        <f>IF($T230=1,COUNTIF($T$2:$T230,1),"")</f>
        <v/>
      </c>
      <c r="V230" s="39" t="str">
        <f>IF($B230="","",IF(COUNTIF($B$2:$B230,$B230)=1,1,0))</f>
        <v/>
      </c>
      <c r="W230" s="39" t="str">
        <f>IF($V230=1,COUNTIF($V$2:$V230,1),"")</f>
        <v/>
      </c>
      <c r="X230" s="39" t="str">
        <f>IF($A230="","",IF(COUNTIF($A$2:$A230,$A230)=1,1,0))</f>
        <v/>
      </c>
      <c r="Y230" s="39" t="str">
        <f>IF($X230=1,COUNTIF($X$2:$X230,1),"")</f>
        <v/>
      </c>
      <c r="Z230" s="39">
        <f>IF(AND($E230="timed",$N230&gt;Settings!$C$8),1,0)</f>
        <v>0</v>
      </c>
      <c r="AA230" s="39">
        <f t="shared" si="58"/>
        <v>0</v>
      </c>
      <c r="AB230" s="39">
        <f t="shared" si="59"/>
        <v>0</v>
      </c>
      <c r="AC230" s="39" t="str">
        <f t="shared" si="60"/>
        <v/>
      </c>
      <c r="AD230" s="39" t="str">
        <f t="shared" si="61"/>
        <v/>
      </c>
      <c r="AE230" s="39" t="str">
        <f t="shared" si="62"/>
        <v/>
      </c>
      <c r="AF230" s="106" t="str">
        <f t="shared" si="63"/>
        <v/>
      </c>
      <c r="AG230" s="39">
        <f t="shared" si="64"/>
        <v>0</v>
      </c>
      <c r="AH230" s="39" t="str">
        <f t="shared" si="65"/>
        <v/>
      </c>
      <c r="AI230" s="39">
        <f>IF(AND($E230="timed",$N230&gt;=Settings!$C$9),1,0)</f>
        <v>0</v>
      </c>
      <c r="AJ230" s="39" t="str">
        <f>IF(OR($S230="",Settings!$C$16=""),"",IF($S230&lt;=Settings!$C$16,1,2))</f>
        <v/>
      </c>
      <c r="AK230" s="39" t="str">
        <f>IF($C230="","",IFERROR(IF(INDEX(Settings!$C$20:$C$59,MATCH($C230,Settings!$B$20:$B$59,0))="",Settings!$C$10,INDEX(Settings!$C$20:$C$59,MATCH($C230,Settings!$B$20:$B$59,0))),Settings!$C$10))</f>
        <v/>
      </c>
      <c r="AL230" s="108">
        <f t="shared" si="66"/>
        <v>0</v>
      </c>
      <c r="AM230" s="39" t="str">
        <f t="shared" si="67"/>
        <v/>
      </c>
      <c r="AN230" s="39" t="str">
        <f t="shared" si="68"/>
        <v/>
      </c>
      <c r="AO230" s="39" t="str">
        <f t="shared" si="69"/>
        <v/>
      </c>
      <c r="AP230" s="39">
        <f t="shared" si="70"/>
        <v>0</v>
      </c>
      <c r="AQ230" s="39">
        <f t="shared" si="71"/>
        <v>0</v>
      </c>
    </row>
    <row r="231" spans="14:43" x14ac:dyDescent="0.25">
      <c r="N231" s="105">
        <f t="shared" si="54"/>
        <v>0</v>
      </c>
      <c r="O231" s="106" t="str">
        <f>IF($F231="","",IF(ISNUMBER($F231),$F231+Settings!$C$7/24,IFERROR(DATEVALUE(LEFT($F231,10))+TIMEVALUE(MID($F231,12,8))+Settings!$C$7/24,"")))</f>
        <v/>
      </c>
      <c r="P231" s="106" t="str">
        <f>IF($G231="","",IF(ISNUMBER($G231),$G231+Settings!$C$7/24,IFERROR(DATEVALUE(LEFT($G231,10))+TIMEVALUE(MID($G231,12,8))+Settings!$C$7/24,"")))</f>
        <v/>
      </c>
      <c r="Q231" s="39" t="str">
        <f t="shared" si="55"/>
        <v/>
      </c>
      <c r="R231" s="39" t="str">
        <f t="shared" si="56"/>
        <v/>
      </c>
      <c r="S231" s="107" t="str">
        <f t="shared" si="57"/>
        <v/>
      </c>
      <c r="T231" s="39" t="str">
        <f>IF($C231="","",IF(COUNTIF($C$2:$C231,$C231)=1,1,0))</f>
        <v/>
      </c>
      <c r="U231" s="39" t="str">
        <f>IF($T231=1,COUNTIF($T$2:$T231,1),"")</f>
        <v/>
      </c>
      <c r="V231" s="39" t="str">
        <f>IF($B231="","",IF(COUNTIF($B$2:$B231,$B231)=1,1,0))</f>
        <v/>
      </c>
      <c r="W231" s="39" t="str">
        <f>IF($V231=1,COUNTIF($V$2:$V231,1),"")</f>
        <v/>
      </c>
      <c r="X231" s="39" t="str">
        <f>IF($A231="","",IF(COUNTIF($A$2:$A231,$A231)=1,1,0))</f>
        <v/>
      </c>
      <c r="Y231" s="39" t="str">
        <f>IF($X231=1,COUNTIF($X$2:$X231,1),"")</f>
        <v/>
      </c>
      <c r="Z231" s="39">
        <f>IF(AND($E231="timed",$N231&gt;Settings!$C$8),1,0)</f>
        <v>0</v>
      </c>
      <c r="AA231" s="39">
        <f t="shared" si="58"/>
        <v>0</v>
      </c>
      <c r="AB231" s="39">
        <f t="shared" si="59"/>
        <v>0</v>
      </c>
      <c r="AC231" s="39" t="str">
        <f t="shared" si="60"/>
        <v/>
      </c>
      <c r="AD231" s="39" t="str">
        <f t="shared" si="61"/>
        <v/>
      </c>
      <c r="AE231" s="39" t="str">
        <f t="shared" si="62"/>
        <v/>
      </c>
      <c r="AF231" s="106" t="str">
        <f t="shared" si="63"/>
        <v/>
      </c>
      <c r="AG231" s="39">
        <f t="shared" si="64"/>
        <v>0</v>
      </c>
      <c r="AH231" s="39" t="str">
        <f t="shared" si="65"/>
        <v/>
      </c>
      <c r="AI231" s="39">
        <f>IF(AND($E231="timed",$N231&gt;=Settings!$C$9),1,0)</f>
        <v>0</v>
      </c>
      <c r="AJ231" s="39" t="str">
        <f>IF(OR($S231="",Settings!$C$16=""),"",IF($S231&lt;=Settings!$C$16,1,2))</f>
        <v/>
      </c>
      <c r="AK231" s="39" t="str">
        <f>IF($C231="","",IFERROR(IF(INDEX(Settings!$C$20:$C$59,MATCH($C231,Settings!$B$20:$B$59,0))="",Settings!$C$10,INDEX(Settings!$C$20:$C$59,MATCH($C231,Settings!$B$20:$B$59,0))),Settings!$C$10))</f>
        <v/>
      </c>
      <c r="AL231" s="108">
        <f t="shared" si="66"/>
        <v>0</v>
      </c>
      <c r="AM231" s="39" t="str">
        <f t="shared" si="67"/>
        <v/>
      </c>
      <c r="AN231" s="39" t="str">
        <f t="shared" si="68"/>
        <v/>
      </c>
      <c r="AO231" s="39" t="str">
        <f t="shared" si="69"/>
        <v/>
      </c>
      <c r="AP231" s="39">
        <f t="shared" si="70"/>
        <v>0</v>
      </c>
      <c r="AQ231" s="39">
        <f t="shared" si="71"/>
        <v>0</v>
      </c>
    </row>
    <row r="232" spans="14:43" x14ac:dyDescent="0.25">
      <c r="N232" s="105">
        <f t="shared" si="54"/>
        <v>0</v>
      </c>
      <c r="O232" s="106" t="str">
        <f>IF($F232="","",IF(ISNUMBER($F232),$F232+Settings!$C$7/24,IFERROR(DATEVALUE(LEFT($F232,10))+TIMEVALUE(MID($F232,12,8))+Settings!$C$7/24,"")))</f>
        <v/>
      </c>
      <c r="P232" s="106" t="str">
        <f>IF($G232="","",IF(ISNUMBER($G232),$G232+Settings!$C$7/24,IFERROR(DATEVALUE(LEFT($G232,10))+TIMEVALUE(MID($G232,12,8))+Settings!$C$7/24,"")))</f>
        <v/>
      </c>
      <c r="Q232" s="39" t="str">
        <f t="shared" si="55"/>
        <v/>
      </c>
      <c r="R232" s="39" t="str">
        <f t="shared" si="56"/>
        <v/>
      </c>
      <c r="S232" s="107" t="str">
        <f t="shared" si="57"/>
        <v/>
      </c>
      <c r="T232" s="39" t="str">
        <f>IF($C232="","",IF(COUNTIF($C$2:$C232,$C232)=1,1,0))</f>
        <v/>
      </c>
      <c r="U232" s="39" t="str">
        <f>IF($T232=1,COUNTIF($T$2:$T232,1),"")</f>
        <v/>
      </c>
      <c r="V232" s="39" t="str">
        <f>IF($B232="","",IF(COUNTIF($B$2:$B232,$B232)=1,1,0))</f>
        <v/>
      </c>
      <c r="W232" s="39" t="str">
        <f>IF($V232=1,COUNTIF($V$2:$V232,1),"")</f>
        <v/>
      </c>
      <c r="X232" s="39" t="str">
        <f>IF($A232="","",IF(COUNTIF($A$2:$A232,$A232)=1,1,0))</f>
        <v/>
      </c>
      <c r="Y232" s="39" t="str">
        <f>IF($X232=1,COUNTIF($X$2:$X232,1),"")</f>
        <v/>
      </c>
      <c r="Z232" s="39">
        <f>IF(AND($E232="timed",$N232&gt;Settings!$C$8),1,0)</f>
        <v>0</v>
      </c>
      <c r="AA232" s="39">
        <f t="shared" si="58"/>
        <v>0</v>
      </c>
      <c r="AB232" s="39">
        <f t="shared" si="59"/>
        <v>0</v>
      </c>
      <c r="AC232" s="39" t="str">
        <f t="shared" si="60"/>
        <v/>
      </c>
      <c r="AD232" s="39" t="str">
        <f t="shared" si="61"/>
        <v/>
      </c>
      <c r="AE232" s="39" t="str">
        <f t="shared" si="62"/>
        <v/>
      </c>
      <c r="AF232" s="106" t="str">
        <f t="shared" si="63"/>
        <v/>
      </c>
      <c r="AG232" s="39">
        <f t="shared" si="64"/>
        <v>0</v>
      </c>
      <c r="AH232" s="39" t="str">
        <f t="shared" si="65"/>
        <v/>
      </c>
      <c r="AI232" s="39">
        <f>IF(AND($E232="timed",$N232&gt;=Settings!$C$9),1,0)</f>
        <v>0</v>
      </c>
      <c r="AJ232" s="39" t="str">
        <f>IF(OR($S232="",Settings!$C$16=""),"",IF($S232&lt;=Settings!$C$16,1,2))</f>
        <v/>
      </c>
      <c r="AK232" s="39" t="str">
        <f>IF($C232="","",IFERROR(IF(INDEX(Settings!$C$20:$C$59,MATCH($C232,Settings!$B$20:$B$59,0))="",Settings!$C$10,INDEX(Settings!$C$20:$C$59,MATCH($C232,Settings!$B$20:$B$59,0))),Settings!$C$10))</f>
        <v/>
      </c>
      <c r="AL232" s="108">
        <f t="shared" si="66"/>
        <v>0</v>
      </c>
      <c r="AM232" s="39" t="str">
        <f t="shared" si="67"/>
        <v/>
      </c>
      <c r="AN232" s="39" t="str">
        <f t="shared" si="68"/>
        <v/>
      </c>
      <c r="AO232" s="39" t="str">
        <f t="shared" si="69"/>
        <v/>
      </c>
      <c r="AP232" s="39">
        <f t="shared" si="70"/>
        <v>0</v>
      </c>
      <c r="AQ232" s="39">
        <f t="shared" si="71"/>
        <v>0</v>
      </c>
    </row>
    <row r="233" spans="14:43" x14ac:dyDescent="0.25">
      <c r="N233" s="105">
        <f t="shared" si="54"/>
        <v>0</v>
      </c>
      <c r="O233" s="106" t="str">
        <f>IF($F233="","",IF(ISNUMBER($F233),$F233+Settings!$C$7/24,IFERROR(DATEVALUE(LEFT($F233,10))+TIMEVALUE(MID($F233,12,8))+Settings!$C$7/24,"")))</f>
        <v/>
      </c>
      <c r="P233" s="106" t="str">
        <f>IF($G233="","",IF(ISNUMBER($G233),$G233+Settings!$C$7/24,IFERROR(DATEVALUE(LEFT($G233,10))+TIMEVALUE(MID($G233,12,8))+Settings!$C$7/24,"")))</f>
        <v/>
      </c>
      <c r="Q233" s="39" t="str">
        <f t="shared" si="55"/>
        <v/>
      </c>
      <c r="R233" s="39" t="str">
        <f t="shared" si="56"/>
        <v/>
      </c>
      <c r="S233" s="107" t="str">
        <f t="shared" si="57"/>
        <v/>
      </c>
      <c r="T233" s="39" t="str">
        <f>IF($C233="","",IF(COUNTIF($C$2:$C233,$C233)=1,1,0))</f>
        <v/>
      </c>
      <c r="U233" s="39" t="str">
        <f>IF($T233=1,COUNTIF($T$2:$T233,1),"")</f>
        <v/>
      </c>
      <c r="V233" s="39" t="str">
        <f>IF($B233="","",IF(COUNTIF($B$2:$B233,$B233)=1,1,0))</f>
        <v/>
      </c>
      <c r="W233" s="39" t="str">
        <f>IF($V233=1,COUNTIF($V$2:$V233,1),"")</f>
        <v/>
      </c>
      <c r="X233" s="39" t="str">
        <f>IF($A233="","",IF(COUNTIF($A$2:$A233,$A233)=1,1,0))</f>
        <v/>
      </c>
      <c r="Y233" s="39" t="str">
        <f>IF($X233=1,COUNTIF($X$2:$X233,1),"")</f>
        <v/>
      </c>
      <c r="Z233" s="39">
        <f>IF(AND($E233="timed",$N233&gt;Settings!$C$8),1,0)</f>
        <v>0</v>
      </c>
      <c r="AA233" s="39">
        <f t="shared" si="58"/>
        <v>0</v>
      </c>
      <c r="AB233" s="39">
        <f t="shared" si="59"/>
        <v>0</v>
      </c>
      <c r="AC233" s="39" t="str">
        <f t="shared" si="60"/>
        <v/>
      </c>
      <c r="AD233" s="39" t="str">
        <f t="shared" si="61"/>
        <v/>
      </c>
      <c r="AE233" s="39" t="str">
        <f t="shared" si="62"/>
        <v/>
      </c>
      <c r="AF233" s="106" t="str">
        <f t="shared" si="63"/>
        <v/>
      </c>
      <c r="AG233" s="39">
        <f t="shared" si="64"/>
        <v>0</v>
      </c>
      <c r="AH233" s="39" t="str">
        <f t="shared" si="65"/>
        <v/>
      </c>
      <c r="AI233" s="39">
        <f>IF(AND($E233="timed",$N233&gt;=Settings!$C$9),1,0)</f>
        <v>0</v>
      </c>
      <c r="AJ233" s="39" t="str">
        <f>IF(OR($S233="",Settings!$C$16=""),"",IF($S233&lt;=Settings!$C$16,1,2))</f>
        <v/>
      </c>
      <c r="AK233" s="39" t="str">
        <f>IF($C233="","",IFERROR(IF(INDEX(Settings!$C$20:$C$59,MATCH($C233,Settings!$B$20:$B$59,0))="",Settings!$C$10,INDEX(Settings!$C$20:$C$59,MATCH($C233,Settings!$B$20:$B$59,0))),Settings!$C$10))</f>
        <v/>
      </c>
      <c r="AL233" s="108">
        <f t="shared" si="66"/>
        <v>0</v>
      </c>
      <c r="AM233" s="39" t="str">
        <f t="shared" si="67"/>
        <v/>
      </c>
      <c r="AN233" s="39" t="str">
        <f t="shared" si="68"/>
        <v/>
      </c>
      <c r="AO233" s="39" t="str">
        <f t="shared" si="69"/>
        <v/>
      </c>
      <c r="AP233" s="39">
        <f t="shared" si="70"/>
        <v>0</v>
      </c>
      <c r="AQ233" s="39">
        <f t="shared" si="71"/>
        <v>0</v>
      </c>
    </row>
    <row r="234" spans="14:43" x14ac:dyDescent="0.25">
      <c r="N234" s="105">
        <f t="shared" si="54"/>
        <v>0</v>
      </c>
      <c r="O234" s="106" t="str">
        <f>IF($F234="","",IF(ISNUMBER($F234),$F234+Settings!$C$7/24,IFERROR(DATEVALUE(LEFT($F234,10))+TIMEVALUE(MID($F234,12,8))+Settings!$C$7/24,"")))</f>
        <v/>
      </c>
      <c r="P234" s="106" t="str">
        <f>IF($G234="","",IF(ISNUMBER($G234),$G234+Settings!$C$7/24,IFERROR(DATEVALUE(LEFT($G234,10))+TIMEVALUE(MID($G234,12,8))+Settings!$C$7/24,"")))</f>
        <v/>
      </c>
      <c r="Q234" s="39" t="str">
        <f t="shared" si="55"/>
        <v/>
      </c>
      <c r="R234" s="39" t="str">
        <f t="shared" si="56"/>
        <v/>
      </c>
      <c r="S234" s="107" t="str">
        <f t="shared" si="57"/>
        <v/>
      </c>
      <c r="T234" s="39" t="str">
        <f>IF($C234="","",IF(COUNTIF($C$2:$C234,$C234)=1,1,0))</f>
        <v/>
      </c>
      <c r="U234" s="39" t="str">
        <f>IF($T234=1,COUNTIF($T$2:$T234,1),"")</f>
        <v/>
      </c>
      <c r="V234" s="39" t="str">
        <f>IF($B234="","",IF(COUNTIF($B$2:$B234,$B234)=1,1,0))</f>
        <v/>
      </c>
      <c r="W234" s="39" t="str">
        <f>IF($V234=1,COUNTIF($V$2:$V234,1),"")</f>
        <v/>
      </c>
      <c r="X234" s="39" t="str">
        <f>IF($A234="","",IF(COUNTIF($A$2:$A234,$A234)=1,1,0))</f>
        <v/>
      </c>
      <c r="Y234" s="39" t="str">
        <f>IF($X234=1,COUNTIF($X$2:$X234,1),"")</f>
        <v/>
      </c>
      <c r="Z234" s="39">
        <f>IF(AND($E234="timed",$N234&gt;Settings!$C$8),1,0)</f>
        <v>0</v>
      </c>
      <c r="AA234" s="39">
        <f t="shared" si="58"/>
        <v>0</v>
      </c>
      <c r="AB234" s="39">
        <f t="shared" si="59"/>
        <v>0</v>
      </c>
      <c r="AC234" s="39" t="str">
        <f t="shared" si="60"/>
        <v/>
      </c>
      <c r="AD234" s="39" t="str">
        <f t="shared" si="61"/>
        <v/>
      </c>
      <c r="AE234" s="39" t="str">
        <f t="shared" si="62"/>
        <v/>
      </c>
      <c r="AF234" s="106" t="str">
        <f t="shared" si="63"/>
        <v/>
      </c>
      <c r="AG234" s="39">
        <f t="shared" si="64"/>
        <v>0</v>
      </c>
      <c r="AH234" s="39" t="str">
        <f t="shared" si="65"/>
        <v/>
      </c>
      <c r="AI234" s="39">
        <f>IF(AND($E234="timed",$N234&gt;=Settings!$C$9),1,0)</f>
        <v>0</v>
      </c>
      <c r="AJ234" s="39" t="str">
        <f>IF(OR($S234="",Settings!$C$16=""),"",IF($S234&lt;=Settings!$C$16,1,2))</f>
        <v/>
      </c>
      <c r="AK234" s="39" t="str">
        <f>IF($C234="","",IFERROR(IF(INDEX(Settings!$C$20:$C$59,MATCH($C234,Settings!$B$20:$B$59,0))="",Settings!$C$10,INDEX(Settings!$C$20:$C$59,MATCH($C234,Settings!$B$20:$B$59,0))),Settings!$C$10))</f>
        <v/>
      </c>
      <c r="AL234" s="108">
        <f t="shared" si="66"/>
        <v>0</v>
      </c>
      <c r="AM234" s="39" t="str">
        <f t="shared" si="67"/>
        <v/>
      </c>
      <c r="AN234" s="39" t="str">
        <f t="shared" si="68"/>
        <v/>
      </c>
      <c r="AO234" s="39" t="str">
        <f t="shared" si="69"/>
        <v/>
      </c>
      <c r="AP234" s="39">
        <f t="shared" si="70"/>
        <v>0</v>
      </c>
      <c r="AQ234" s="39">
        <f t="shared" si="71"/>
        <v>0</v>
      </c>
    </row>
    <row r="235" spans="14:43" x14ac:dyDescent="0.25">
      <c r="N235" s="105">
        <f t="shared" si="54"/>
        <v>0</v>
      </c>
      <c r="O235" s="106" t="str">
        <f>IF($F235="","",IF(ISNUMBER($F235),$F235+Settings!$C$7/24,IFERROR(DATEVALUE(LEFT($F235,10))+TIMEVALUE(MID($F235,12,8))+Settings!$C$7/24,"")))</f>
        <v/>
      </c>
      <c r="P235" s="106" t="str">
        <f>IF($G235="","",IF(ISNUMBER($G235),$G235+Settings!$C$7/24,IFERROR(DATEVALUE(LEFT($G235,10))+TIMEVALUE(MID($G235,12,8))+Settings!$C$7/24,"")))</f>
        <v/>
      </c>
      <c r="Q235" s="39" t="str">
        <f t="shared" si="55"/>
        <v/>
      </c>
      <c r="R235" s="39" t="str">
        <f t="shared" si="56"/>
        <v/>
      </c>
      <c r="S235" s="107" t="str">
        <f t="shared" si="57"/>
        <v/>
      </c>
      <c r="T235" s="39" t="str">
        <f>IF($C235="","",IF(COUNTIF($C$2:$C235,$C235)=1,1,0))</f>
        <v/>
      </c>
      <c r="U235" s="39" t="str">
        <f>IF($T235=1,COUNTIF($T$2:$T235,1),"")</f>
        <v/>
      </c>
      <c r="V235" s="39" t="str">
        <f>IF($B235="","",IF(COUNTIF($B$2:$B235,$B235)=1,1,0))</f>
        <v/>
      </c>
      <c r="W235" s="39" t="str">
        <f>IF($V235=1,COUNTIF($V$2:$V235,1),"")</f>
        <v/>
      </c>
      <c r="X235" s="39" t="str">
        <f>IF($A235="","",IF(COUNTIF($A$2:$A235,$A235)=1,1,0))</f>
        <v/>
      </c>
      <c r="Y235" s="39" t="str">
        <f>IF($X235=1,COUNTIF($X$2:$X235,1),"")</f>
        <v/>
      </c>
      <c r="Z235" s="39">
        <f>IF(AND($E235="timed",$N235&gt;Settings!$C$8),1,0)</f>
        <v>0</v>
      </c>
      <c r="AA235" s="39">
        <f t="shared" si="58"/>
        <v>0</v>
      </c>
      <c r="AB235" s="39">
        <f t="shared" si="59"/>
        <v>0</v>
      </c>
      <c r="AC235" s="39" t="str">
        <f t="shared" si="60"/>
        <v/>
      </c>
      <c r="AD235" s="39" t="str">
        <f t="shared" si="61"/>
        <v/>
      </c>
      <c r="AE235" s="39" t="str">
        <f t="shared" si="62"/>
        <v/>
      </c>
      <c r="AF235" s="106" t="str">
        <f t="shared" si="63"/>
        <v/>
      </c>
      <c r="AG235" s="39">
        <f t="shared" si="64"/>
        <v>0</v>
      </c>
      <c r="AH235" s="39" t="str">
        <f t="shared" si="65"/>
        <v/>
      </c>
      <c r="AI235" s="39">
        <f>IF(AND($E235="timed",$N235&gt;=Settings!$C$9),1,0)</f>
        <v>0</v>
      </c>
      <c r="AJ235" s="39" t="str">
        <f>IF(OR($S235="",Settings!$C$16=""),"",IF($S235&lt;=Settings!$C$16,1,2))</f>
        <v/>
      </c>
      <c r="AK235" s="39" t="str">
        <f>IF($C235="","",IFERROR(IF(INDEX(Settings!$C$20:$C$59,MATCH($C235,Settings!$B$20:$B$59,0))="",Settings!$C$10,INDEX(Settings!$C$20:$C$59,MATCH($C235,Settings!$B$20:$B$59,0))),Settings!$C$10))</f>
        <v/>
      </c>
      <c r="AL235" s="108">
        <f t="shared" si="66"/>
        <v>0</v>
      </c>
      <c r="AM235" s="39" t="str">
        <f t="shared" si="67"/>
        <v/>
      </c>
      <c r="AN235" s="39" t="str">
        <f t="shared" si="68"/>
        <v/>
      </c>
      <c r="AO235" s="39" t="str">
        <f t="shared" si="69"/>
        <v/>
      </c>
      <c r="AP235" s="39">
        <f t="shared" si="70"/>
        <v>0</v>
      </c>
      <c r="AQ235" s="39">
        <f t="shared" si="71"/>
        <v>0</v>
      </c>
    </row>
    <row r="236" spans="14:43" x14ac:dyDescent="0.25">
      <c r="N236" s="105">
        <f t="shared" si="54"/>
        <v>0</v>
      </c>
      <c r="O236" s="106" t="str">
        <f>IF($F236="","",IF(ISNUMBER($F236),$F236+Settings!$C$7/24,IFERROR(DATEVALUE(LEFT($F236,10))+TIMEVALUE(MID($F236,12,8))+Settings!$C$7/24,"")))</f>
        <v/>
      </c>
      <c r="P236" s="106" t="str">
        <f>IF($G236="","",IF(ISNUMBER($G236),$G236+Settings!$C$7/24,IFERROR(DATEVALUE(LEFT($G236,10))+TIMEVALUE(MID($G236,12,8))+Settings!$C$7/24,"")))</f>
        <v/>
      </c>
      <c r="Q236" s="39" t="str">
        <f t="shared" si="55"/>
        <v/>
      </c>
      <c r="R236" s="39" t="str">
        <f t="shared" si="56"/>
        <v/>
      </c>
      <c r="S236" s="107" t="str">
        <f t="shared" si="57"/>
        <v/>
      </c>
      <c r="T236" s="39" t="str">
        <f>IF($C236="","",IF(COUNTIF($C$2:$C236,$C236)=1,1,0))</f>
        <v/>
      </c>
      <c r="U236" s="39" t="str">
        <f>IF($T236=1,COUNTIF($T$2:$T236,1),"")</f>
        <v/>
      </c>
      <c r="V236" s="39" t="str">
        <f>IF($B236="","",IF(COUNTIF($B$2:$B236,$B236)=1,1,0))</f>
        <v/>
      </c>
      <c r="W236" s="39" t="str">
        <f>IF($V236=1,COUNTIF($V$2:$V236,1),"")</f>
        <v/>
      </c>
      <c r="X236" s="39" t="str">
        <f>IF($A236="","",IF(COUNTIF($A$2:$A236,$A236)=1,1,0))</f>
        <v/>
      </c>
      <c r="Y236" s="39" t="str">
        <f>IF($X236=1,COUNTIF($X$2:$X236,1),"")</f>
        <v/>
      </c>
      <c r="Z236" s="39">
        <f>IF(AND($E236="timed",$N236&gt;Settings!$C$8),1,0)</f>
        <v>0</v>
      </c>
      <c r="AA236" s="39">
        <f t="shared" si="58"/>
        <v>0</v>
      </c>
      <c r="AB236" s="39">
        <f t="shared" si="59"/>
        <v>0</v>
      </c>
      <c r="AC236" s="39" t="str">
        <f t="shared" si="60"/>
        <v/>
      </c>
      <c r="AD236" s="39" t="str">
        <f t="shared" si="61"/>
        <v/>
      </c>
      <c r="AE236" s="39" t="str">
        <f t="shared" si="62"/>
        <v/>
      </c>
      <c r="AF236" s="106" t="str">
        <f t="shared" si="63"/>
        <v/>
      </c>
      <c r="AG236" s="39">
        <f t="shared" si="64"/>
        <v>0</v>
      </c>
      <c r="AH236" s="39" t="str">
        <f t="shared" si="65"/>
        <v/>
      </c>
      <c r="AI236" s="39">
        <f>IF(AND($E236="timed",$N236&gt;=Settings!$C$9),1,0)</f>
        <v>0</v>
      </c>
      <c r="AJ236" s="39" t="str">
        <f>IF(OR($S236="",Settings!$C$16=""),"",IF($S236&lt;=Settings!$C$16,1,2))</f>
        <v/>
      </c>
      <c r="AK236" s="39" t="str">
        <f>IF($C236="","",IFERROR(IF(INDEX(Settings!$C$20:$C$59,MATCH($C236,Settings!$B$20:$B$59,0))="",Settings!$C$10,INDEX(Settings!$C$20:$C$59,MATCH($C236,Settings!$B$20:$B$59,0))),Settings!$C$10))</f>
        <v/>
      </c>
      <c r="AL236" s="108">
        <f t="shared" si="66"/>
        <v>0</v>
      </c>
      <c r="AM236" s="39" t="str">
        <f t="shared" si="67"/>
        <v/>
      </c>
      <c r="AN236" s="39" t="str">
        <f t="shared" si="68"/>
        <v/>
      </c>
      <c r="AO236" s="39" t="str">
        <f t="shared" si="69"/>
        <v/>
      </c>
      <c r="AP236" s="39">
        <f t="shared" si="70"/>
        <v>0</v>
      </c>
      <c r="AQ236" s="39">
        <f t="shared" si="71"/>
        <v>0</v>
      </c>
    </row>
    <row r="237" spans="14:43" x14ac:dyDescent="0.25">
      <c r="N237" s="105">
        <f t="shared" si="54"/>
        <v>0</v>
      </c>
      <c r="O237" s="106" t="str">
        <f>IF($F237="","",IF(ISNUMBER($F237),$F237+Settings!$C$7/24,IFERROR(DATEVALUE(LEFT($F237,10))+TIMEVALUE(MID($F237,12,8))+Settings!$C$7/24,"")))</f>
        <v/>
      </c>
      <c r="P237" s="106" t="str">
        <f>IF($G237="","",IF(ISNUMBER($G237),$G237+Settings!$C$7/24,IFERROR(DATEVALUE(LEFT($G237,10))+TIMEVALUE(MID($G237,12,8))+Settings!$C$7/24,"")))</f>
        <v/>
      </c>
      <c r="Q237" s="39" t="str">
        <f t="shared" si="55"/>
        <v/>
      </c>
      <c r="R237" s="39" t="str">
        <f t="shared" si="56"/>
        <v/>
      </c>
      <c r="S237" s="107" t="str">
        <f t="shared" si="57"/>
        <v/>
      </c>
      <c r="T237" s="39" t="str">
        <f>IF($C237="","",IF(COUNTIF($C$2:$C237,$C237)=1,1,0))</f>
        <v/>
      </c>
      <c r="U237" s="39" t="str">
        <f>IF($T237=1,COUNTIF($T$2:$T237,1),"")</f>
        <v/>
      </c>
      <c r="V237" s="39" t="str">
        <f>IF($B237="","",IF(COUNTIF($B$2:$B237,$B237)=1,1,0))</f>
        <v/>
      </c>
      <c r="W237" s="39" t="str">
        <f>IF($V237=1,COUNTIF($V$2:$V237,1),"")</f>
        <v/>
      </c>
      <c r="X237" s="39" t="str">
        <f>IF($A237="","",IF(COUNTIF($A$2:$A237,$A237)=1,1,0))</f>
        <v/>
      </c>
      <c r="Y237" s="39" t="str">
        <f>IF($X237=1,COUNTIF($X$2:$X237,1),"")</f>
        <v/>
      </c>
      <c r="Z237" s="39">
        <f>IF(AND($E237="timed",$N237&gt;Settings!$C$8),1,0)</f>
        <v>0</v>
      </c>
      <c r="AA237" s="39">
        <f t="shared" si="58"/>
        <v>0</v>
      </c>
      <c r="AB237" s="39">
        <f t="shared" si="59"/>
        <v>0</v>
      </c>
      <c r="AC237" s="39" t="str">
        <f t="shared" si="60"/>
        <v/>
      </c>
      <c r="AD237" s="39" t="str">
        <f t="shared" si="61"/>
        <v/>
      </c>
      <c r="AE237" s="39" t="str">
        <f t="shared" si="62"/>
        <v/>
      </c>
      <c r="AF237" s="106" t="str">
        <f t="shared" si="63"/>
        <v/>
      </c>
      <c r="AG237" s="39">
        <f t="shared" si="64"/>
        <v>0</v>
      </c>
      <c r="AH237" s="39" t="str">
        <f t="shared" si="65"/>
        <v/>
      </c>
      <c r="AI237" s="39">
        <f>IF(AND($E237="timed",$N237&gt;=Settings!$C$9),1,0)</f>
        <v>0</v>
      </c>
      <c r="AJ237" s="39" t="str">
        <f>IF(OR($S237="",Settings!$C$16=""),"",IF($S237&lt;=Settings!$C$16,1,2))</f>
        <v/>
      </c>
      <c r="AK237" s="39" t="str">
        <f>IF($C237="","",IFERROR(IF(INDEX(Settings!$C$20:$C$59,MATCH($C237,Settings!$B$20:$B$59,0))="",Settings!$C$10,INDEX(Settings!$C$20:$C$59,MATCH($C237,Settings!$B$20:$B$59,0))),Settings!$C$10))</f>
        <v/>
      </c>
      <c r="AL237" s="108">
        <f t="shared" si="66"/>
        <v>0</v>
      </c>
      <c r="AM237" s="39" t="str">
        <f t="shared" si="67"/>
        <v/>
      </c>
      <c r="AN237" s="39" t="str">
        <f t="shared" si="68"/>
        <v/>
      </c>
      <c r="AO237" s="39" t="str">
        <f t="shared" si="69"/>
        <v/>
      </c>
      <c r="AP237" s="39">
        <f t="shared" si="70"/>
        <v>0</v>
      </c>
      <c r="AQ237" s="39">
        <f t="shared" si="71"/>
        <v>0</v>
      </c>
    </row>
    <row r="238" spans="14:43" x14ac:dyDescent="0.25">
      <c r="N238" s="105">
        <f t="shared" si="54"/>
        <v>0</v>
      </c>
      <c r="O238" s="106" t="str">
        <f>IF($F238="","",IF(ISNUMBER($F238),$F238+Settings!$C$7/24,IFERROR(DATEVALUE(LEFT($F238,10))+TIMEVALUE(MID($F238,12,8))+Settings!$C$7/24,"")))</f>
        <v/>
      </c>
      <c r="P238" s="106" t="str">
        <f>IF($G238="","",IF(ISNUMBER($G238),$G238+Settings!$C$7/24,IFERROR(DATEVALUE(LEFT($G238,10))+TIMEVALUE(MID($G238,12,8))+Settings!$C$7/24,"")))</f>
        <v/>
      </c>
      <c r="Q238" s="39" t="str">
        <f t="shared" si="55"/>
        <v/>
      </c>
      <c r="R238" s="39" t="str">
        <f t="shared" si="56"/>
        <v/>
      </c>
      <c r="S238" s="107" t="str">
        <f t="shared" si="57"/>
        <v/>
      </c>
      <c r="T238" s="39" t="str">
        <f>IF($C238="","",IF(COUNTIF($C$2:$C238,$C238)=1,1,0))</f>
        <v/>
      </c>
      <c r="U238" s="39" t="str">
        <f>IF($T238=1,COUNTIF($T$2:$T238,1),"")</f>
        <v/>
      </c>
      <c r="V238" s="39" t="str">
        <f>IF($B238="","",IF(COUNTIF($B$2:$B238,$B238)=1,1,0))</f>
        <v/>
      </c>
      <c r="W238" s="39" t="str">
        <f>IF($V238=1,COUNTIF($V$2:$V238,1),"")</f>
        <v/>
      </c>
      <c r="X238" s="39" t="str">
        <f>IF($A238="","",IF(COUNTIF($A$2:$A238,$A238)=1,1,0))</f>
        <v/>
      </c>
      <c r="Y238" s="39" t="str">
        <f>IF($X238=1,COUNTIF($X$2:$X238,1),"")</f>
        <v/>
      </c>
      <c r="Z238" s="39">
        <f>IF(AND($E238="timed",$N238&gt;Settings!$C$8),1,0)</f>
        <v>0</v>
      </c>
      <c r="AA238" s="39">
        <f t="shared" si="58"/>
        <v>0</v>
      </c>
      <c r="AB238" s="39">
        <f t="shared" si="59"/>
        <v>0</v>
      </c>
      <c r="AC238" s="39" t="str">
        <f t="shared" si="60"/>
        <v/>
      </c>
      <c r="AD238" s="39" t="str">
        <f t="shared" si="61"/>
        <v/>
      </c>
      <c r="AE238" s="39" t="str">
        <f t="shared" si="62"/>
        <v/>
      </c>
      <c r="AF238" s="106" t="str">
        <f t="shared" si="63"/>
        <v/>
      </c>
      <c r="AG238" s="39">
        <f t="shared" si="64"/>
        <v>0</v>
      </c>
      <c r="AH238" s="39" t="str">
        <f t="shared" si="65"/>
        <v/>
      </c>
      <c r="AI238" s="39">
        <f>IF(AND($E238="timed",$N238&gt;=Settings!$C$9),1,0)</f>
        <v>0</v>
      </c>
      <c r="AJ238" s="39" t="str">
        <f>IF(OR($S238="",Settings!$C$16=""),"",IF($S238&lt;=Settings!$C$16,1,2))</f>
        <v/>
      </c>
      <c r="AK238" s="39" t="str">
        <f>IF($C238="","",IFERROR(IF(INDEX(Settings!$C$20:$C$59,MATCH($C238,Settings!$B$20:$B$59,0))="",Settings!$C$10,INDEX(Settings!$C$20:$C$59,MATCH($C238,Settings!$B$20:$B$59,0))),Settings!$C$10))</f>
        <v/>
      </c>
      <c r="AL238" s="108">
        <f t="shared" si="66"/>
        <v>0</v>
      </c>
      <c r="AM238" s="39" t="str">
        <f t="shared" si="67"/>
        <v/>
      </c>
      <c r="AN238" s="39" t="str">
        <f t="shared" si="68"/>
        <v/>
      </c>
      <c r="AO238" s="39" t="str">
        <f t="shared" si="69"/>
        <v/>
      </c>
      <c r="AP238" s="39">
        <f t="shared" si="70"/>
        <v>0</v>
      </c>
      <c r="AQ238" s="39">
        <f t="shared" si="71"/>
        <v>0</v>
      </c>
    </row>
    <row r="239" spans="14:43" x14ac:dyDescent="0.25">
      <c r="N239" s="105">
        <f t="shared" si="54"/>
        <v>0</v>
      </c>
      <c r="O239" s="106" t="str">
        <f>IF($F239="","",IF(ISNUMBER($F239),$F239+Settings!$C$7/24,IFERROR(DATEVALUE(LEFT($F239,10))+TIMEVALUE(MID($F239,12,8))+Settings!$C$7/24,"")))</f>
        <v/>
      </c>
      <c r="P239" s="106" t="str">
        <f>IF($G239="","",IF(ISNUMBER($G239),$G239+Settings!$C$7/24,IFERROR(DATEVALUE(LEFT($G239,10))+TIMEVALUE(MID($G239,12,8))+Settings!$C$7/24,"")))</f>
        <v/>
      </c>
      <c r="Q239" s="39" t="str">
        <f t="shared" si="55"/>
        <v/>
      </c>
      <c r="R239" s="39" t="str">
        <f t="shared" si="56"/>
        <v/>
      </c>
      <c r="S239" s="107" t="str">
        <f t="shared" si="57"/>
        <v/>
      </c>
      <c r="T239" s="39" t="str">
        <f>IF($C239="","",IF(COUNTIF($C$2:$C239,$C239)=1,1,0))</f>
        <v/>
      </c>
      <c r="U239" s="39" t="str">
        <f>IF($T239=1,COUNTIF($T$2:$T239,1),"")</f>
        <v/>
      </c>
      <c r="V239" s="39" t="str">
        <f>IF($B239="","",IF(COUNTIF($B$2:$B239,$B239)=1,1,0))</f>
        <v/>
      </c>
      <c r="W239" s="39" t="str">
        <f>IF($V239=1,COUNTIF($V$2:$V239,1),"")</f>
        <v/>
      </c>
      <c r="X239" s="39" t="str">
        <f>IF($A239="","",IF(COUNTIF($A$2:$A239,$A239)=1,1,0))</f>
        <v/>
      </c>
      <c r="Y239" s="39" t="str">
        <f>IF($X239=1,COUNTIF($X$2:$X239,1),"")</f>
        <v/>
      </c>
      <c r="Z239" s="39">
        <f>IF(AND($E239="timed",$N239&gt;Settings!$C$8),1,0)</f>
        <v>0</v>
      </c>
      <c r="AA239" s="39">
        <f t="shared" si="58"/>
        <v>0</v>
      </c>
      <c r="AB239" s="39">
        <f t="shared" si="59"/>
        <v>0</v>
      </c>
      <c r="AC239" s="39" t="str">
        <f t="shared" si="60"/>
        <v/>
      </c>
      <c r="AD239" s="39" t="str">
        <f t="shared" si="61"/>
        <v/>
      </c>
      <c r="AE239" s="39" t="str">
        <f t="shared" si="62"/>
        <v/>
      </c>
      <c r="AF239" s="106" t="str">
        <f t="shared" si="63"/>
        <v/>
      </c>
      <c r="AG239" s="39">
        <f t="shared" si="64"/>
        <v>0</v>
      </c>
      <c r="AH239" s="39" t="str">
        <f t="shared" si="65"/>
        <v/>
      </c>
      <c r="AI239" s="39">
        <f>IF(AND($E239="timed",$N239&gt;=Settings!$C$9),1,0)</f>
        <v>0</v>
      </c>
      <c r="AJ239" s="39" t="str">
        <f>IF(OR($S239="",Settings!$C$16=""),"",IF($S239&lt;=Settings!$C$16,1,2))</f>
        <v/>
      </c>
      <c r="AK239" s="39" t="str">
        <f>IF($C239="","",IFERROR(IF(INDEX(Settings!$C$20:$C$59,MATCH($C239,Settings!$B$20:$B$59,0))="",Settings!$C$10,INDEX(Settings!$C$20:$C$59,MATCH($C239,Settings!$B$20:$B$59,0))),Settings!$C$10))</f>
        <v/>
      </c>
      <c r="AL239" s="108">
        <f t="shared" si="66"/>
        <v>0</v>
      </c>
      <c r="AM239" s="39" t="str">
        <f t="shared" si="67"/>
        <v/>
      </c>
      <c r="AN239" s="39" t="str">
        <f t="shared" si="68"/>
        <v/>
      </c>
      <c r="AO239" s="39" t="str">
        <f t="shared" si="69"/>
        <v/>
      </c>
      <c r="AP239" s="39">
        <f t="shared" si="70"/>
        <v>0</v>
      </c>
      <c r="AQ239" s="39">
        <f t="shared" si="71"/>
        <v>0</v>
      </c>
    </row>
    <row r="240" spans="14:43" x14ac:dyDescent="0.25">
      <c r="N240" s="105">
        <f t="shared" si="54"/>
        <v>0</v>
      </c>
      <c r="O240" s="106" t="str">
        <f>IF($F240="","",IF(ISNUMBER($F240),$F240+Settings!$C$7/24,IFERROR(DATEVALUE(LEFT($F240,10))+TIMEVALUE(MID($F240,12,8))+Settings!$C$7/24,"")))</f>
        <v/>
      </c>
      <c r="P240" s="106" t="str">
        <f>IF($G240="","",IF(ISNUMBER($G240),$G240+Settings!$C$7/24,IFERROR(DATEVALUE(LEFT($G240,10))+TIMEVALUE(MID($G240,12,8))+Settings!$C$7/24,"")))</f>
        <v/>
      </c>
      <c r="Q240" s="39" t="str">
        <f t="shared" si="55"/>
        <v/>
      </c>
      <c r="R240" s="39" t="str">
        <f t="shared" si="56"/>
        <v/>
      </c>
      <c r="S240" s="107" t="str">
        <f t="shared" si="57"/>
        <v/>
      </c>
      <c r="T240" s="39" t="str">
        <f>IF($C240="","",IF(COUNTIF($C$2:$C240,$C240)=1,1,0))</f>
        <v/>
      </c>
      <c r="U240" s="39" t="str">
        <f>IF($T240=1,COUNTIF($T$2:$T240,1),"")</f>
        <v/>
      </c>
      <c r="V240" s="39" t="str">
        <f>IF($B240="","",IF(COUNTIF($B$2:$B240,$B240)=1,1,0))</f>
        <v/>
      </c>
      <c r="W240" s="39" t="str">
        <f>IF($V240=1,COUNTIF($V$2:$V240,1),"")</f>
        <v/>
      </c>
      <c r="X240" s="39" t="str">
        <f>IF($A240="","",IF(COUNTIF($A$2:$A240,$A240)=1,1,0))</f>
        <v/>
      </c>
      <c r="Y240" s="39" t="str">
        <f>IF($X240=1,COUNTIF($X$2:$X240,1),"")</f>
        <v/>
      </c>
      <c r="Z240" s="39">
        <f>IF(AND($E240="timed",$N240&gt;Settings!$C$8),1,0)</f>
        <v>0</v>
      </c>
      <c r="AA240" s="39">
        <f t="shared" si="58"/>
        <v>0</v>
      </c>
      <c r="AB240" s="39">
        <f t="shared" si="59"/>
        <v>0</v>
      </c>
      <c r="AC240" s="39" t="str">
        <f t="shared" si="60"/>
        <v/>
      </c>
      <c r="AD240" s="39" t="str">
        <f t="shared" si="61"/>
        <v/>
      </c>
      <c r="AE240" s="39" t="str">
        <f t="shared" si="62"/>
        <v/>
      </c>
      <c r="AF240" s="106" t="str">
        <f t="shared" si="63"/>
        <v/>
      </c>
      <c r="AG240" s="39">
        <f t="shared" si="64"/>
        <v>0</v>
      </c>
      <c r="AH240" s="39" t="str">
        <f t="shared" si="65"/>
        <v/>
      </c>
      <c r="AI240" s="39">
        <f>IF(AND($E240="timed",$N240&gt;=Settings!$C$9),1,0)</f>
        <v>0</v>
      </c>
      <c r="AJ240" s="39" t="str">
        <f>IF(OR($S240="",Settings!$C$16=""),"",IF($S240&lt;=Settings!$C$16,1,2))</f>
        <v/>
      </c>
      <c r="AK240" s="39" t="str">
        <f>IF($C240="","",IFERROR(IF(INDEX(Settings!$C$20:$C$59,MATCH($C240,Settings!$B$20:$B$59,0))="",Settings!$C$10,INDEX(Settings!$C$20:$C$59,MATCH($C240,Settings!$B$20:$B$59,0))),Settings!$C$10))</f>
        <v/>
      </c>
      <c r="AL240" s="108">
        <f t="shared" si="66"/>
        <v>0</v>
      </c>
      <c r="AM240" s="39" t="str">
        <f t="shared" si="67"/>
        <v/>
      </c>
      <c r="AN240" s="39" t="str">
        <f t="shared" si="68"/>
        <v/>
      </c>
      <c r="AO240" s="39" t="str">
        <f t="shared" si="69"/>
        <v/>
      </c>
      <c r="AP240" s="39">
        <f t="shared" si="70"/>
        <v>0</v>
      </c>
      <c r="AQ240" s="39">
        <f t="shared" si="71"/>
        <v>0</v>
      </c>
    </row>
    <row r="241" spans="14:43" x14ac:dyDescent="0.25">
      <c r="N241" s="105">
        <f t="shared" si="54"/>
        <v>0</v>
      </c>
      <c r="O241" s="106" t="str">
        <f>IF($F241="","",IF(ISNUMBER($F241),$F241+Settings!$C$7/24,IFERROR(DATEVALUE(LEFT($F241,10))+TIMEVALUE(MID($F241,12,8))+Settings!$C$7/24,"")))</f>
        <v/>
      </c>
      <c r="P241" s="106" t="str">
        <f>IF($G241="","",IF(ISNUMBER($G241),$G241+Settings!$C$7/24,IFERROR(DATEVALUE(LEFT($G241,10))+TIMEVALUE(MID($G241,12,8))+Settings!$C$7/24,"")))</f>
        <v/>
      </c>
      <c r="Q241" s="39" t="str">
        <f t="shared" si="55"/>
        <v/>
      </c>
      <c r="R241" s="39" t="str">
        <f t="shared" si="56"/>
        <v/>
      </c>
      <c r="S241" s="107" t="str">
        <f t="shared" si="57"/>
        <v/>
      </c>
      <c r="T241" s="39" t="str">
        <f>IF($C241="","",IF(COUNTIF($C$2:$C241,$C241)=1,1,0))</f>
        <v/>
      </c>
      <c r="U241" s="39" t="str">
        <f>IF($T241=1,COUNTIF($T$2:$T241,1),"")</f>
        <v/>
      </c>
      <c r="V241" s="39" t="str">
        <f>IF($B241="","",IF(COUNTIF($B$2:$B241,$B241)=1,1,0))</f>
        <v/>
      </c>
      <c r="W241" s="39" t="str">
        <f>IF($V241=1,COUNTIF($V$2:$V241,1),"")</f>
        <v/>
      </c>
      <c r="X241" s="39" t="str">
        <f>IF($A241="","",IF(COUNTIF($A$2:$A241,$A241)=1,1,0))</f>
        <v/>
      </c>
      <c r="Y241" s="39" t="str">
        <f>IF($X241=1,COUNTIF($X$2:$X241,1),"")</f>
        <v/>
      </c>
      <c r="Z241" s="39">
        <f>IF(AND($E241="timed",$N241&gt;Settings!$C$8),1,0)</f>
        <v>0</v>
      </c>
      <c r="AA241" s="39">
        <f t="shared" si="58"/>
        <v>0</v>
      </c>
      <c r="AB241" s="39">
        <f t="shared" si="59"/>
        <v>0</v>
      </c>
      <c r="AC241" s="39" t="str">
        <f t="shared" si="60"/>
        <v/>
      </c>
      <c r="AD241" s="39" t="str">
        <f t="shared" si="61"/>
        <v/>
      </c>
      <c r="AE241" s="39" t="str">
        <f t="shared" si="62"/>
        <v/>
      </c>
      <c r="AF241" s="106" t="str">
        <f t="shared" si="63"/>
        <v/>
      </c>
      <c r="AG241" s="39">
        <f t="shared" si="64"/>
        <v>0</v>
      </c>
      <c r="AH241" s="39" t="str">
        <f t="shared" si="65"/>
        <v/>
      </c>
      <c r="AI241" s="39">
        <f>IF(AND($E241="timed",$N241&gt;=Settings!$C$9),1,0)</f>
        <v>0</v>
      </c>
      <c r="AJ241" s="39" t="str">
        <f>IF(OR($S241="",Settings!$C$16=""),"",IF($S241&lt;=Settings!$C$16,1,2))</f>
        <v/>
      </c>
      <c r="AK241" s="39" t="str">
        <f>IF($C241="","",IFERROR(IF(INDEX(Settings!$C$20:$C$59,MATCH($C241,Settings!$B$20:$B$59,0))="",Settings!$C$10,INDEX(Settings!$C$20:$C$59,MATCH($C241,Settings!$B$20:$B$59,0))),Settings!$C$10))</f>
        <v/>
      </c>
      <c r="AL241" s="108">
        <f t="shared" si="66"/>
        <v>0</v>
      </c>
      <c r="AM241" s="39" t="str">
        <f t="shared" si="67"/>
        <v/>
      </c>
      <c r="AN241" s="39" t="str">
        <f t="shared" si="68"/>
        <v/>
      </c>
      <c r="AO241" s="39" t="str">
        <f t="shared" si="69"/>
        <v/>
      </c>
      <c r="AP241" s="39">
        <f t="shared" si="70"/>
        <v>0</v>
      </c>
      <c r="AQ241" s="39">
        <f t="shared" si="71"/>
        <v>0</v>
      </c>
    </row>
    <row r="242" spans="14:43" x14ac:dyDescent="0.25">
      <c r="N242" s="105">
        <f t="shared" si="54"/>
        <v>0</v>
      </c>
      <c r="O242" s="106" t="str">
        <f>IF($F242="","",IF(ISNUMBER($F242),$F242+Settings!$C$7/24,IFERROR(DATEVALUE(LEFT($F242,10))+TIMEVALUE(MID($F242,12,8))+Settings!$C$7/24,"")))</f>
        <v/>
      </c>
      <c r="P242" s="106" t="str">
        <f>IF($G242="","",IF(ISNUMBER($G242),$G242+Settings!$C$7/24,IFERROR(DATEVALUE(LEFT($G242,10))+TIMEVALUE(MID($G242,12,8))+Settings!$C$7/24,"")))</f>
        <v/>
      </c>
      <c r="Q242" s="39" t="str">
        <f t="shared" si="55"/>
        <v/>
      </c>
      <c r="R242" s="39" t="str">
        <f t="shared" si="56"/>
        <v/>
      </c>
      <c r="S242" s="107" t="str">
        <f t="shared" si="57"/>
        <v/>
      </c>
      <c r="T242" s="39" t="str">
        <f>IF($C242="","",IF(COUNTIF($C$2:$C242,$C242)=1,1,0))</f>
        <v/>
      </c>
      <c r="U242" s="39" t="str">
        <f>IF($T242=1,COUNTIF($T$2:$T242,1),"")</f>
        <v/>
      </c>
      <c r="V242" s="39" t="str">
        <f>IF($B242="","",IF(COUNTIF($B$2:$B242,$B242)=1,1,0))</f>
        <v/>
      </c>
      <c r="W242" s="39" t="str">
        <f>IF($V242=1,COUNTIF($V$2:$V242,1),"")</f>
        <v/>
      </c>
      <c r="X242" s="39" t="str">
        <f>IF($A242="","",IF(COUNTIF($A$2:$A242,$A242)=1,1,0))</f>
        <v/>
      </c>
      <c r="Y242" s="39" t="str">
        <f>IF($X242=1,COUNTIF($X$2:$X242,1),"")</f>
        <v/>
      </c>
      <c r="Z242" s="39">
        <f>IF(AND($E242="timed",$N242&gt;Settings!$C$8),1,0)</f>
        <v>0</v>
      </c>
      <c r="AA242" s="39">
        <f t="shared" si="58"/>
        <v>0</v>
      </c>
      <c r="AB242" s="39">
        <f t="shared" si="59"/>
        <v>0</v>
      </c>
      <c r="AC242" s="39" t="str">
        <f t="shared" si="60"/>
        <v/>
      </c>
      <c r="AD242" s="39" t="str">
        <f t="shared" si="61"/>
        <v/>
      </c>
      <c r="AE242" s="39" t="str">
        <f t="shared" si="62"/>
        <v/>
      </c>
      <c r="AF242" s="106" t="str">
        <f t="shared" si="63"/>
        <v/>
      </c>
      <c r="AG242" s="39">
        <f t="shared" si="64"/>
        <v>0</v>
      </c>
      <c r="AH242" s="39" t="str">
        <f t="shared" si="65"/>
        <v/>
      </c>
      <c r="AI242" s="39">
        <f>IF(AND($E242="timed",$N242&gt;=Settings!$C$9),1,0)</f>
        <v>0</v>
      </c>
      <c r="AJ242" s="39" t="str">
        <f>IF(OR($S242="",Settings!$C$16=""),"",IF($S242&lt;=Settings!$C$16,1,2))</f>
        <v/>
      </c>
      <c r="AK242" s="39" t="str">
        <f>IF($C242="","",IFERROR(IF(INDEX(Settings!$C$20:$C$59,MATCH($C242,Settings!$B$20:$B$59,0))="",Settings!$C$10,INDEX(Settings!$C$20:$C$59,MATCH($C242,Settings!$B$20:$B$59,0))),Settings!$C$10))</f>
        <v/>
      </c>
      <c r="AL242" s="108">
        <f t="shared" si="66"/>
        <v>0</v>
      </c>
      <c r="AM242" s="39" t="str">
        <f t="shared" si="67"/>
        <v/>
      </c>
      <c r="AN242" s="39" t="str">
        <f t="shared" si="68"/>
        <v/>
      </c>
      <c r="AO242" s="39" t="str">
        <f t="shared" si="69"/>
        <v/>
      </c>
      <c r="AP242" s="39">
        <f t="shared" si="70"/>
        <v>0</v>
      </c>
      <c r="AQ242" s="39">
        <f t="shared" si="71"/>
        <v>0</v>
      </c>
    </row>
    <row r="243" spans="14:43" x14ac:dyDescent="0.25">
      <c r="N243" s="105">
        <f t="shared" si="54"/>
        <v>0</v>
      </c>
      <c r="O243" s="106" t="str">
        <f>IF($F243="","",IF(ISNUMBER($F243),$F243+Settings!$C$7/24,IFERROR(DATEVALUE(LEFT($F243,10))+TIMEVALUE(MID($F243,12,8))+Settings!$C$7/24,"")))</f>
        <v/>
      </c>
      <c r="P243" s="106" t="str">
        <f>IF($G243="","",IF(ISNUMBER($G243),$G243+Settings!$C$7/24,IFERROR(DATEVALUE(LEFT($G243,10))+TIMEVALUE(MID($G243,12,8))+Settings!$C$7/24,"")))</f>
        <v/>
      </c>
      <c r="Q243" s="39" t="str">
        <f t="shared" si="55"/>
        <v/>
      </c>
      <c r="R243" s="39" t="str">
        <f t="shared" si="56"/>
        <v/>
      </c>
      <c r="S243" s="107" t="str">
        <f t="shared" si="57"/>
        <v/>
      </c>
      <c r="T243" s="39" t="str">
        <f>IF($C243="","",IF(COUNTIF($C$2:$C243,$C243)=1,1,0))</f>
        <v/>
      </c>
      <c r="U243" s="39" t="str">
        <f>IF($T243=1,COUNTIF($T$2:$T243,1),"")</f>
        <v/>
      </c>
      <c r="V243" s="39" t="str">
        <f>IF($B243="","",IF(COUNTIF($B$2:$B243,$B243)=1,1,0))</f>
        <v/>
      </c>
      <c r="W243" s="39" t="str">
        <f>IF($V243=1,COUNTIF($V$2:$V243,1),"")</f>
        <v/>
      </c>
      <c r="X243" s="39" t="str">
        <f>IF($A243="","",IF(COUNTIF($A$2:$A243,$A243)=1,1,0))</f>
        <v/>
      </c>
      <c r="Y243" s="39" t="str">
        <f>IF($X243=1,COUNTIF($X$2:$X243,1),"")</f>
        <v/>
      </c>
      <c r="Z243" s="39">
        <f>IF(AND($E243="timed",$N243&gt;Settings!$C$8),1,0)</f>
        <v>0</v>
      </c>
      <c r="AA243" s="39">
        <f t="shared" si="58"/>
        <v>0</v>
      </c>
      <c r="AB243" s="39">
        <f t="shared" si="59"/>
        <v>0</v>
      </c>
      <c r="AC243" s="39" t="str">
        <f t="shared" si="60"/>
        <v/>
      </c>
      <c r="AD243" s="39" t="str">
        <f t="shared" si="61"/>
        <v/>
      </c>
      <c r="AE243" s="39" t="str">
        <f t="shared" si="62"/>
        <v/>
      </c>
      <c r="AF243" s="106" t="str">
        <f t="shared" si="63"/>
        <v/>
      </c>
      <c r="AG243" s="39">
        <f t="shared" si="64"/>
        <v>0</v>
      </c>
      <c r="AH243" s="39" t="str">
        <f t="shared" si="65"/>
        <v/>
      </c>
      <c r="AI243" s="39">
        <f>IF(AND($E243="timed",$N243&gt;=Settings!$C$9),1,0)</f>
        <v>0</v>
      </c>
      <c r="AJ243" s="39" t="str">
        <f>IF(OR($S243="",Settings!$C$16=""),"",IF($S243&lt;=Settings!$C$16,1,2))</f>
        <v/>
      </c>
      <c r="AK243" s="39" t="str">
        <f>IF($C243="","",IFERROR(IF(INDEX(Settings!$C$20:$C$59,MATCH($C243,Settings!$B$20:$B$59,0))="",Settings!$C$10,INDEX(Settings!$C$20:$C$59,MATCH($C243,Settings!$B$20:$B$59,0))),Settings!$C$10))</f>
        <v/>
      </c>
      <c r="AL243" s="108">
        <f t="shared" si="66"/>
        <v>0</v>
      </c>
      <c r="AM243" s="39" t="str">
        <f t="shared" si="67"/>
        <v/>
      </c>
      <c r="AN243" s="39" t="str">
        <f t="shared" si="68"/>
        <v/>
      </c>
      <c r="AO243" s="39" t="str">
        <f t="shared" si="69"/>
        <v/>
      </c>
      <c r="AP243" s="39">
        <f t="shared" si="70"/>
        <v>0</v>
      </c>
      <c r="AQ243" s="39">
        <f t="shared" si="71"/>
        <v>0</v>
      </c>
    </row>
    <row r="244" spans="14:43" x14ac:dyDescent="0.25">
      <c r="N244" s="105">
        <f t="shared" si="54"/>
        <v>0</v>
      </c>
      <c r="O244" s="106" t="str">
        <f>IF($F244="","",IF(ISNUMBER($F244),$F244+Settings!$C$7/24,IFERROR(DATEVALUE(LEFT($F244,10))+TIMEVALUE(MID($F244,12,8))+Settings!$C$7/24,"")))</f>
        <v/>
      </c>
      <c r="P244" s="106" t="str">
        <f>IF($G244="","",IF(ISNUMBER($G244),$G244+Settings!$C$7/24,IFERROR(DATEVALUE(LEFT($G244,10))+TIMEVALUE(MID($G244,12,8))+Settings!$C$7/24,"")))</f>
        <v/>
      </c>
      <c r="Q244" s="39" t="str">
        <f t="shared" si="55"/>
        <v/>
      </c>
      <c r="R244" s="39" t="str">
        <f t="shared" si="56"/>
        <v/>
      </c>
      <c r="S244" s="107" t="str">
        <f t="shared" si="57"/>
        <v/>
      </c>
      <c r="T244" s="39" t="str">
        <f>IF($C244="","",IF(COUNTIF($C$2:$C244,$C244)=1,1,0))</f>
        <v/>
      </c>
      <c r="U244" s="39" t="str">
        <f>IF($T244=1,COUNTIF($T$2:$T244,1),"")</f>
        <v/>
      </c>
      <c r="V244" s="39" t="str">
        <f>IF($B244="","",IF(COUNTIF($B$2:$B244,$B244)=1,1,0))</f>
        <v/>
      </c>
      <c r="W244" s="39" t="str">
        <f>IF($V244=1,COUNTIF($V$2:$V244,1),"")</f>
        <v/>
      </c>
      <c r="X244" s="39" t="str">
        <f>IF($A244="","",IF(COUNTIF($A$2:$A244,$A244)=1,1,0))</f>
        <v/>
      </c>
      <c r="Y244" s="39" t="str">
        <f>IF($X244=1,COUNTIF($X$2:$X244,1),"")</f>
        <v/>
      </c>
      <c r="Z244" s="39">
        <f>IF(AND($E244="timed",$N244&gt;Settings!$C$8),1,0)</f>
        <v>0</v>
      </c>
      <c r="AA244" s="39">
        <f t="shared" si="58"/>
        <v>0</v>
      </c>
      <c r="AB244" s="39">
        <f t="shared" si="59"/>
        <v>0</v>
      </c>
      <c r="AC244" s="39" t="str">
        <f t="shared" si="60"/>
        <v/>
      </c>
      <c r="AD244" s="39" t="str">
        <f t="shared" si="61"/>
        <v/>
      </c>
      <c r="AE244" s="39" t="str">
        <f t="shared" si="62"/>
        <v/>
      </c>
      <c r="AF244" s="106" t="str">
        <f t="shared" si="63"/>
        <v/>
      </c>
      <c r="AG244" s="39">
        <f t="shared" si="64"/>
        <v>0</v>
      </c>
      <c r="AH244" s="39" t="str">
        <f t="shared" si="65"/>
        <v/>
      </c>
      <c r="AI244" s="39">
        <f>IF(AND($E244="timed",$N244&gt;=Settings!$C$9),1,0)</f>
        <v>0</v>
      </c>
      <c r="AJ244" s="39" t="str">
        <f>IF(OR($S244="",Settings!$C$16=""),"",IF($S244&lt;=Settings!$C$16,1,2))</f>
        <v/>
      </c>
      <c r="AK244" s="39" t="str">
        <f>IF($C244="","",IFERROR(IF(INDEX(Settings!$C$20:$C$59,MATCH($C244,Settings!$B$20:$B$59,0))="",Settings!$C$10,INDEX(Settings!$C$20:$C$59,MATCH($C244,Settings!$B$20:$B$59,0))),Settings!$C$10))</f>
        <v/>
      </c>
      <c r="AL244" s="108">
        <f t="shared" si="66"/>
        <v>0</v>
      </c>
      <c r="AM244" s="39" t="str">
        <f t="shared" si="67"/>
        <v/>
      </c>
      <c r="AN244" s="39" t="str">
        <f t="shared" si="68"/>
        <v/>
      </c>
      <c r="AO244" s="39" t="str">
        <f t="shared" si="69"/>
        <v/>
      </c>
      <c r="AP244" s="39">
        <f t="shared" si="70"/>
        <v>0</v>
      </c>
      <c r="AQ244" s="39">
        <f t="shared" si="71"/>
        <v>0</v>
      </c>
    </row>
    <row r="245" spans="14:43" x14ac:dyDescent="0.25">
      <c r="N245" s="105">
        <f t="shared" si="54"/>
        <v>0</v>
      </c>
      <c r="O245" s="106" t="str">
        <f>IF($F245="","",IF(ISNUMBER($F245),$F245+Settings!$C$7/24,IFERROR(DATEVALUE(LEFT($F245,10))+TIMEVALUE(MID($F245,12,8))+Settings!$C$7/24,"")))</f>
        <v/>
      </c>
      <c r="P245" s="106" t="str">
        <f>IF($G245="","",IF(ISNUMBER($G245),$G245+Settings!$C$7/24,IFERROR(DATEVALUE(LEFT($G245,10))+TIMEVALUE(MID($G245,12,8))+Settings!$C$7/24,"")))</f>
        <v/>
      </c>
      <c r="Q245" s="39" t="str">
        <f t="shared" si="55"/>
        <v/>
      </c>
      <c r="R245" s="39" t="str">
        <f t="shared" si="56"/>
        <v/>
      </c>
      <c r="S245" s="107" t="str">
        <f t="shared" si="57"/>
        <v/>
      </c>
      <c r="T245" s="39" t="str">
        <f>IF($C245="","",IF(COUNTIF($C$2:$C245,$C245)=1,1,0))</f>
        <v/>
      </c>
      <c r="U245" s="39" t="str">
        <f>IF($T245=1,COUNTIF($T$2:$T245,1),"")</f>
        <v/>
      </c>
      <c r="V245" s="39" t="str">
        <f>IF($B245="","",IF(COUNTIF($B$2:$B245,$B245)=1,1,0))</f>
        <v/>
      </c>
      <c r="W245" s="39" t="str">
        <f>IF($V245=1,COUNTIF($V$2:$V245,1),"")</f>
        <v/>
      </c>
      <c r="X245" s="39" t="str">
        <f>IF($A245="","",IF(COUNTIF($A$2:$A245,$A245)=1,1,0))</f>
        <v/>
      </c>
      <c r="Y245" s="39" t="str">
        <f>IF($X245=1,COUNTIF($X$2:$X245,1),"")</f>
        <v/>
      </c>
      <c r="Z245" s="39">
        <f>IF(AND($E245="timed",$N245&gt;Settings!$C$8),1,0)</f>
        <v>0</v>
      </c>
      <c r="AA245" s="39">
        <f t="shared" si="58"/>
        <v>0</v>
      </c>
      <c r="AB245" s="39">
        <f t="shared" si="59"/>
        <v>0</v>
      </c>
      <c r="AC245" s="39" t="str">
        <f t="shared" si="60"/>
        <v/>
      </c>
      <c r="AD245" s="39" t="str">
        <f t="shared" si="61"/>
        <v/>
      </c>
      <c r="AE245" s="39" t="str">
        <f t="shared" si="62"/>
        <v/>
      </c>
      <c r="AF245" s="106" t="str">
        <f t="shared" si="63"/>
        <v/>
      </c>
      <c r="AG245" s="39">
        <f t="shared" si="64"/>
        <v>0</v>
      </c>
      <c r="AH245" s="39" t="str">
        <f t="shared" si="65"/>
        <v/>
      </c>
      <c r="AI245" s="39">
        <f>IF(AND($E245="timed",$N245&gt;=Settings!$C$9),1,0)</f>
        <v>0</v>
      </c>
      <c r="AJ245" s="39" t="str">
        <f>IF(OR($S245="",Settings!$C$16=""),"",IF($S245&lt;=Settings!$C$16,1,2))</f>
        <v/>
      </c>
      <c r="AK245" s="39" t="str">
        <f>IF($C245="","",IFERROR(IF(INDEX(Settings!$C$20:$C$59,MATCH($C245,Settings!$B$20:$B$59,0))="",Settings!$C$10,INDEX(Settings!$C$20:$C$59,MATCH($C245,Settings!$B$20:$B$59,0))),Settings!$C$10))</f>
        <v/>
      </c>
      <c r="AL245" s="108">
        <f t="shared" si="66"/>
        <v>0</v>
      </c>
      <c r="AM245" s="39" t="str">
        <f t="shared" si="67"/>
        <v/>
      </c>
      <c r="AN245" s="39" t="str">
        <f t="shared" si="68"/>
        <v/>
      </c>
      <c r="AO245" s="39" t="str">
        <f t="shared" si="69"/>
        <v/>
      </c>
      <c r="AP245" s="39">
        <f t="shared" si="70"/>
        <v>0</v>
      </c>
      <c r="AQ245" s="39">
        <f t="shared" si="71"/>
        <v>0</v>
      </c>
    </row>
    <row r="246" spans="14:43" x14ac:dyDescent="0.25">
      <c r="N246" s="105">
        <f t="shared" si="54"/>
        <v>0</v>
      </c>
      <c r="O246" s="106" t="str">
        <f>IF($F246="","",IF(ISNUMBER($F246),$F246+Settings!$C$7/24,IFERROR(DATEVALUE(LEFT($F246,10))+TIMEVALUE(MID($F246,12,8))+Settings!$C$7/24,"")))</f>
        <v/>
      </c>
      <c r="P246" s="106" t="str">
        <f>IF($G246="","",IF(ISNUMBER($G246),$G246+Settings!$C$7/24,IFERROR(DATEVALUE(LEFT($G246,10))+TIMEVALUE(MID($G246,12,8))+Settings!$C$7/24,"")))</f>
        <v/>
      </c>
      <c r="Q246" s="39" t="str">
        <f t="shared" si="55"/>
        <v/>
      </c>
      <c r="R246" s="39" t="str">
        <f t="shared" si="56"/>
        <v/>
      </c>
      <c r="S246" s="107" t="str">
        <f t="shared" si="57"/>
        <v/>
      </c>
      <c r="T246" s="39" t="str">
        <f>IF($C246="","",IF(COUNTIF($C$2:$C246,$C246)=1,1,0))</f>
        <v/>
      </c>
      <c r="U246" s="39" t="str">
        <f>IF($T246=1,COUNTIF($T$2:$T246,1),"")</f>
        <v/>
      </c>
      <c r="V246" s="39" t="str">
        <f>IF($B246="","",IF(COUNTIF($B$2:$B246,$B246)=1,1,0))</f>
        <v/>
      </c>
      <c r="W246" s="39" t="str">
        <f>IF($V246=1,COUNTIF($V$2:$V246,1),"")</f>
        <v/>
      </c>
      <c r="X246" s="39" t="str">
        <f>IF($A246="","",IF(COUNTIF($A$2:$A246,$A246)=1,1,0))</f>
        <v/>
      </c>
      <c r="Y246" s="39" t="str">
        <f>IF($X246=1,COUNTIF($X$2:$X246,1),"")</f>
        <v/>
      </c>
      <c r="Z246" s="39">
        <f>IF(AND($E246="timed",$N246&gt;Settings!$C$8),1,0)</f>
        <v>0</v>
      </c>
      <c r="AA246" s="39">
        <f t="shared" si="58"/>
        <v>0</v>
      </c>
      <c r="AB246" s="39">
        <f t="shared" si="59"/>
        <v>0</v>
      </c>
      <c r="AC246" s="39" t="str">
        <f t="shared" si="60"/>
        <v/>
      </c>
      <c r="AD246" s="39" t="str">
        <f t="shared" si="61"/>
        <v/>
      </c>
      <c r="AE246" s="39" t="str">
        <f t="shared" si="62"/>
        <v/>
      </c>
      <c r="AF246" s="106" t="str">
        <f t="shared" si="63"/>
        <v/>
      </c>
      <c r="AG246" s="39">
        <f t="shared" si="64"/>
        <v>0</v>
      </c>
      <c r="AH246" s="39" t="str">
        <f t="shared" si="65"/>
        <v/>
      </c>
      <c r="AI246" s="39">
        <f>IF(AND($E246="timed",$N246&gt;=Settings!$C$9),1,0)</f>
        <v>0</v>
      </c>
      <c r="AJ246" s="39" t="str">
        <f>IF(OR($S246="",Settings!$C$16=""),"",IF($S246&lt;=Settings!$C$16,1,2))</f>
        <v/>
      </c>
      <c r="AK246" s="39" t="str">
        <f>IF($C246="","",IFERROR(IF(INDEX(Settings!$C$20:$C$59,MATCH($C246,Settings!$B$20:$B$59,0))="",Settings!$C$10,INDEX(Settings!$C$20:$C$59,MATCH($C246,Settings!$B$20:$B$59,0))),Settings!$C$10))</f>
        <v/>
      </c>
      <c r="AL246" s="108">
        <f t="shared" si="66"/>
        <v>0</v>
      </c>
      <c r="AM246" s="39" t="str">
        <f t="shared" si="67"/>
        <v/>
      </c>
      <c r="AN246" s="39" t="str">
        <f t="shared" si="68"/>
        <v/>
      </c>
      <c r="AO246" s="39" t="str">
        <f t="shared" si="69"/>
        <v/>
      </c>
      <c r="AP246" s="39">
        <f t="shared" si="70"/>
        <v>0</v>
      </c>
      <c r="AQ246" s="39">
        <f t="shared" si="71"/>
        <v>0</v>
      </c>
    </row>
    <row r="247" spans="14:43" x14ac:dyDescent="0.25">
      <c r="N247" s="105">
        <f t="shared" si="54"/>
        <v>0</v>
      </c>
      <c r="O247" s="106" t="str">
        <f>IF($F247="","",IF(ISNUMBER($F247),$F247+Settings!$C$7/24,IFERROR(DATEVALUE(LEFT($F247,10))+TIMEVALUE(MID($F247,12,8))+Settings!$C$7/24,"")))</f>
        <v/>
      </c>
      <c r="P247" s="106" t="str">
        <f>IF($G247="","",IF(ISNUMBER($G247),$G247+Settings!$C$7/24,IFERROR(DATEVALUE(LEFT($G247,10))+TIMEVALUE(MID($G247,12,8))+Settings!$C$7/24,"")))</f>
        <v/>
      </c>
      <c r="Q247" s="39" t="str">
        <f t="shared" si="55"/>
        <v/>
      </c>
      <c r="R247" s="39" t="str">
        <f t="shared" si="56"/>
        <v/>
      </c>
      <c r="S247" s="107" t="str">
        <f t="shared" si="57"/>
        <v/>
      </c>
      <c r="T247" s="39" t="str">
        <f>IF($C247="","",IF(COUNTIF($C$2:$C247,$C247)=1,1,0))</f>
        <v/>
      </c>
      <c r="U247" s="39" t="str">
        <f>IF($T247=1,COUNTIF($T$2:$T247,1),"")</f>
        <v/>
      </c>
      <c r="V247" s="39" t="str">
        <f>IF($B247="","",IF(COUNTIF($B$2:$B247,$B247)=1,1,0))</f>
        <v/>
      </c>
      <c r="W247" s="39" t="str">
        <f>IF($V247=1,COUNTIF($V$2:$V247,1),"")</f>
        <v/>
      </c>
      <c r="X247" s="39" t="str">
        <f>IF($A247="","",IF(COUNTIF($A$2:$A247,$A247)=1,1,0))</f>
        <v/>
      </c>
      <c r="Y247" s="39" t="str">
        <f>IF($X247=1,COUNTIF($X$2:$X247,1),"")</f>
        <v/>
      </c>
      <c r="Z247" s="39">
        <f>IF(AND($E247="timed",$N247&gt;Settings!$C$8),1,0)</f>
        <v>0</v>
      </c>
      <c r="AA247" s="39">
        <f t="shared" si="58"/>
        <v>0</v>
      </c>
      <c r="AB247" s="39">
        <f t="shared" si="59"/>
        <v>0</v>
      </c>
      <c r="AC247" s="39" t="str">
        <f t="shared" si="60"/>
        <v/>
      </c>
      <c r="AD247" s="39" t="str">
        <f t="shared" si="61"/>
        <v/>
      </c>
      <c r="AE247" s="39" t="str">
        <f t="shared" si="62"/>
        <v/>
      </c>
      <c r="AF247" s="106" t="str">
        <f t="shared" si="63"/>
        <v/>
      </c>
      <c r="AG247" s="39">
        <f t="shared" si="64"/>
        <v>0</v>
      </c>
      <c r="AH247" s="39" t="str">
        <f t="shared" si="65"/>
        <v/>
      </c>
      <c r="AI247" s="39">
        <f>IF(AND($E247="timed",$N247&gt;=Settings!$C$9),1,0)</f>
        <v>0</v>
      </c>
      <c r="AJ247" s="39" t="str">
        <f>IF(OR($S247="",Settings!$C$16=""),"",IF($S247&lt;=Settings!$C$16,1,2))</f>
        <v/>
      </c>
      <c r="AK247" s="39" t="str">
        <f>IF($C247="","",IFERROR(IF(INDEX(Settings!$C$20:$C$59,MATCH($C247,Settings!$B$20:$B$59,0))="",Settings!$C$10,INDEX(Settings!$C$20:$C$59,MATCH($C247,Settings!$B$20:$B$59,0))),Settings!$C$10))</f>
        <v/>
      </c>
      <c r="AL247" s="108">
        <f t="shared" si="66"/>
        <v>0</v>
      </c>
      <c r="AM247" s="39" t="str">
        <f t="shared" si="67"/>
        <v/>
      </c>
      <c r="AN247" s="39" t="str">
        <f t="shared" si="68"/>
        <v/>
      </c>
      <c r="AO247" s="39" t="str">
        <f t="shared" si="69"/>
        <v/>
      </c>
      <c r="AP247" s="39">
        <f t="shared" si="70"/>
        <v>0</v>
      </c>
      <c r="AQ247" s="39">
        <f t="shared" si="71"/>
        <v>0</v>
      </c>
    </row>
    <row r="248" spans="14:43" x14ac:dyDescent="0.25">
      <c r="N248" s="105">
        <f t="shared" si="54"/>
        <v>0</v>
      </c>
      <c r="O248" s="106" t="str">
        <f>IF($F248="","",IF(ISNUMBER($F248),$F248+Settings!$C$7/24,IFERROR(DATEVALUE(LEFT($F248,10))+TIMEVALUE(MID($F248,12,8))+Settings!$C$7/24,"")))</f>
        <v/>
      </c>
      <c r="P248" s="106" t="str">
        <f>IF($G248="","",IF(ISNUMBER($G248),$G248+Settings!$C$7/24,IFERROR(DATEVALUE(LEFT($G248,10))+TIMEVALUE(MID($G248,12,8))+Settings!$C$7/24,"")))</f>
        <v/>
      </c>
      <c r="Q248" s="39" t="str">
        <f t="shared" si="55"/>
        <v/>
      </c>
      <c r="R248" s="39" t="str">
        <f t="shared" si="56"/>
        <v/>
      </c>
      <c r="S248" s="107" t="str">
        <f t="shared" si="57"/>
        <v/>
      </c>
      <c r="T248" s="39" t="str">
        <f>IF($C248="","",IF(COUNTIF($C$2:$C248,$C248)=1,1,0))</f>
        <v/>
      </c>
      <c r="U248" s="39" t="str">
        <f>IF($T248=1,COUNTIF($T$2:$T248,1),"")</f>
        <v/>
      </c>
      <c r="V248" s="39" t="str">
        <f>IF($B248="","",IF(COUNTIF($B$2:$B248,$B248)=1,1,0))</f>
        <v/>
      </c>
      <c r="W248" s="39" t="str">
        <f>IF($V248=1,COUNTIF($V$2:$V248,1),"")</f>
        <v/>
      </c>
      <c r="X248" s="39" t="str">
        <f>IF($A248="","",IF(COUNTIF($A$2:$A248,$A248)=1,1,0))</f>
        <v/>
      </c>
      <c r="Y248" s="39" t="str">
        <f>IF($X248=1,COUNTIF($X$2:$X248,1),"")</f>
        <v/>
      </c>
      <c r="Z248" s="39">
        <f>IF(AND($E248="timed",$N248&gt;Settings!$C$8),1,0)</f>
        <v>0</v>
      </c>
      <c r="AA248" s="39">
        <f t="shared" si="58"/>
        <v>0</v>
      </c>
      <c r="AB248" s="39">
        <f t="shared" si="59"/>
        <v>0</v>
      </c>
      <c r="AC248" s="39" t="str">
        <f t="shared" si="60"/>
        <v/>
      </c>
      <c r="AD248" s="39" t="str">
        <f t="shared" si="61"/>
        <v/>
      </c>
      <c r="AE248" s="39" t="str">
        <f t="shared" si="62"/>
        <v/>
      </c>
      <c r="AF248" s="106" t="str">
        <f t="shared" si="63"/>
        <v/>
      </c>
      <c r="AG248" s="39">
        <f t="shared" si="64"/>
        <v>0</v>
      </c>
      <c r="AH248" s="39" t="str">
        <f t="shared" si="65"/>
        <v/>
      </c>
      <c r="AI248" s="39">
        <f>IF(AND($E248="timed",$N248&gt;=Settings!$C$9),1,0)</f>
        <v>0</v>
      </c>
      <c r="AJ248" s="39" t="str">
        <f>IF(OR($S248="",Settings!$C$16=""),"",IF($S248&lt;=Settings!$C$16,1,2))</f>
        <v/>
      </c>
      <c r="AK248" s="39" t="str">
        <f>IF($C248="","",IFERROR(IF(INDEX(Settings!$C$20:$C$59,MATCH($C248,Settings!$B$20:$B$59,0))="",Settings!$C$10,INDEX(Settings!$C$20:$C$59,MATCH($C248,Settings!$B$20:$B$59,0))),Settings!$C$10))</f>
        <v/>
      </c>
      <c r="AL248" s="108">
        <f t="shared" si="66"/>
        <v>0</v>
      </c>
      <c r="AM248" s="39" t="str">
        <f t="shared" si="67"/>
        <v/>
      </c>
      <c r="AN248" s="39" t="str">
        <f t="shared" si="68"/>
        <v/>
      </c>
      <c r="AO248" s="39" t="str">
        <f t="shared" si="69"/>
        <v/>
      </c>
      <c r="AP248" s="39">
        <f t="shared" si="70"/>
        <v>0</v>
      </c>
      <c r="AQ248" s="39">
        <f t="shared" si="71"/>
        <v>0</v>
      </c>
    </row>
    <row r="249" spans="14:43" x14ac:dyDescent="0.25">
      <c r="N249" s="105">
        <f t="shared" si="54"/>
        <v>0</v>
      </c>
      <c r="O249" s="106" t="str">
        <f>IF($F249="","",IF(ISNUMBER($F249),$F249+Settings!$C$7/24,IFERROR(DATEVALUE(LEFT($F249,10))+TIMEVALUE(MID($F249,12,8))+Settings!$C$7/24,"")))</f>
        <v/>
      </c>
      <c r="P249" s="106" t="str">
        <f>IF($G249="","",IF(ISNUMBER($G249),$G249+Settings!$C$7/24,IFERROR(DATEVALUE(LEFT($G249,10))+TIMEVALUE(MID($G249,12,8))+Settings!$C$7/24,"")))</f>
        <v/>
      </c>
      <c r="Q249" s="39" t="str">
        <f t="shared" si="55"/>
        <v/>
      </c>
      <c r="R249" s="39" t="str">
        <f t="shared" si="56"/>
        <v/>
      </c>
      <c r="S249" s="107" t="str">
        <f t="shared" si="57"/>
        <v/>
      </c>
      <c r="T249" s="39" t="str">
        <f>IF($C249="","",IF(COUNTIF($C$2:$C249,$C249)=1,1,0))</f>
        <v/>
      </c>
      <c r="U249" s="39" t="str">
        <f>IF($T249=1,COUNTIF($T$2:$T249,1),"")</f>
        <v/>
      </c>
      <c r="V249" s="39" t="str">
        <f>IF($B249="","",IF(COUNTIF($B$2:$B249,$B249)=1,1,0))</f>
        <v/>
      </c>
      <c r="W249" s="39" t="str">
        <f>IF($V249=1,COUNTIF($V$2:$V249,1),"")</f>
        <v/>
      </c>
      <c r="X249" s="39" t="str">
        <f>IF($A249="","",IF(COUNTIF($A$2:$A249,$A249)=1,1,0))</f>
        <v/>
      </c>
      <c r="Y249" s="39" t="str">
        <f>IF($X249=1,COUNTIF($X$2:$X249,1),"")</f>
        <v/>
      </c>
      <c r="Z249" s="39">
        <f>IF(AND($E249="timed",$N249&gt;Settings!$C$8),1,0)</f>
        <v>0</v>
      </c>
      <c r="AA249" s="39">
        <f t="shared" si="58"/>
        <v>0</v>
      </c>
      <c r="AB249" s="39">
        <f t="shared" si="59"/>
        <v>0</v>
      </c>
      <c r="AC249" s="39" t="str">
        <f t="shared" si="60"/>
        <v/>
      </c>
      <c r="AD249" s="39" t="str">
        <f t="shared" si="61"/>
        <v/>
      </c>
      <c r="AE249" s="39" t="str">
        <f t="shared" si="62"/>
        <v/>
      </c>
      <c r="AF249" s="106" t="str">
        <f t="shared" si="63"/>
        <v/>
      </c>
      <c r="AG249" s="39">
        <f t="shared" si="64"/>
        <v>0</v>
      </c>
      <c r="AH249" s="39" t="str">
        <f t="shared" si="65"/>
        <v/>
      </c>
      <c r="AI249" s="39">
        <f>IF(AND($E249="timed",$N249&gt;=Settings!$C$9),1,0)</f>
        <v>0</v>
      </c>
      <c r="AJ249" s="39" t="str">
        <f>IF(OR($S249="",Settings!$C$16=""),"",IF($S249&lt;=Settings!$C$16,1,2))</f>
        <v/>
      </c>
      <c r="AK249" s="39" t="str">
        <f>IF($C249="","",IFERROR(IF(INDEX(Settings!$C$20:$C$59,MATCH($C249,Settings!$B$20:$B$59,0))="",Settings!$C$10,INDEX(Settings!$C$20:$C$59,MATCH($C249,Settings!$B$20:$B$59,0))),Settings!$C$10))</f>
        <v/>
      </c>
      <c r="AL249" s="108">
        <f t="shared" si="66"/>
        <v>0</v>
      </c>
      <c r="AM249" s="39" t="str">
        <f t="shared" si="67"/>
        <v/>
      </c>
      <c r="AN249" s="39" t="str">
        <f t="shared" si="68"/>
        <v/>
      </c>
      <c r="AO249" s="39" t="str">
        <f t="shared" si="69"/>
        <v/>
      </c>
      <c r="AP249" s="39">
        <f t="shared" si="70"/>
        <v>0</v>
      </c>
      <c r="AQ249" s="39">
        <f t="shared" si="71"/>
        <v>0</v>
      </c>
    </row>
    <row r="250" spans="14:43" x14ac:dyDescent="0.25">
      <c r="N250" s="105">
        <f t="shared" si="54"/>
        <v>0</v>
      </c>
      <c r="O250" s="106" t="str">
        <f>IF($F250="","",IF(ISNUMBER($F250),$F250+Settings!$C$7/24,IFERROR(DATEVALUE(LEFT($F250,10))+TIMEVALUE(MID($F250,12,8))+Settings!$C$7/24,"")))</f>
        <v/>
      </c>
      <c r="P250" s="106" t="str">
        <f>IF($G250="","",IF(ISNUMBER($G250),$G250+Settings!$C$7/24,IFERROR(DATEVALUE(LEFT($G250,10))+TIMEVALUE(MID($G250,12,8))+Settings!$C$7/24,"")))</f>
        <v/>
      </c>
      <c r="Q250" s="39" t="str">
        <f t="shared" si="55"/>
        <v/>
      </c>
      <c r="R250" s="39" t="str">
        <f t="shared" si="56"/>
        <v/>
      </c>
      <c r="S250" s="107" t="str">
        <f t="shared" si="57"/>
        <v/>
      </c>
      <c r="T250" s="39" t="str">
        <f>IF($C250="","",IF(COUNTIF($C$2:$C250,$C250)=1,1,0))</f>
        <v/>
      </c>
      <c r="U250" s="39" t="str">
        <f>IF($T250=1,COUNTIF($T$2:$T250,1),"")</f>
        <v/>
      </c>
      <c r="V250" s="39" t="str">
        <f>IF($B250="","",IF(COUNTIF($B$2:$B250,$B250)=1,1,0))</f>
        <v/>
      </c>
      <c r="W250" s="39" t="str">
        <f>IF($V250=1,COUNTIF($V$2:$V250,1),"")</f>
        <v/>
      </c>
      <c r="X250" s="39" t="str">
        <f>IF($A250="","",IF(COUNTIF($A$2:$A250,$A250)=1,1,0))</f>
        <v/>
      </c>
      <c r="Y250" s="39" t="str">
        <f>IF($X250=1,COUNTIF($X$2:$X250,1),"")</f>
        <v/>
      </c>
      <c r="Z250" s="39">
        <f>IF(AND($E250="timed",$N250&gt;Settings!$C$8),1,0)</f>
        <v>0</v>
      </c>
      <c r="AA250" s="39">
        <f t="shared" si="58"/>
        <v>0</v>
      </c>
      <c r="AB250" s="39">
        <f t="shared" si="59"/>
        <v>0</v>
      </c>
      <c r="AC250" s="39" t="str">
        <f t="shared" si="60"/>
        <v/>
      </c>
      <c r="AD250" s="39" t="str">
        <f t="shared" si="61"/>
        <v/>
      </c>
      <c r="AE250" s="39" t="str">
        <f t="shared" si="62"/>
        <v/>
      </c>
      <c r="AF250" s="106" t="str">
        <f t="shared" si="63"/>
        <v/>
      </c>
      <c r="AG250" s="39">
        <f t="shared" si="64"/>
        <v>0</v>
      </c>
      <c r="AH250" s="39" t="str">
        <f t="shared" si="65"/>
        <v/>
      </c>
      <c r="AI250" s="39">
        <f>IF(AND($E250="timed",$N250&gt;=Settings!$C$9),1,0)</f>
        <v>0</v>
      </c>
      <c r="AJ250" s="39" t="str">
        <f>IF(OR($S250="",Settings!$C$16=""),"",IF($S250&lt;=Settings!$C$16,1,2))</f>
        <v/>
      </c>
      <c r="AK250" s="39" t="str">
        <f>IF($C250="","",IFERROR(IF(INDEX(Settings!$C$20:$C$59,MATCH($C250,Settings!$B$20:$B$59,0))="",Settings!$C$10,INDEX(Settings!$C$20:$C$59,MATCH($C250,Settings!$B$20:$B$59,0))),Settings!$C$10))</f>
        <v/>
      </c>
      <c r="AL250" s="108">
        <f t="shared" si="66"/>
        <v>0</v>
      </c>
      <c r="AM250" s="39" t="str">
        <f t="shared" si="67"/>
        <v/>
      </c>
      <c r="AN250" s="39" t="str">
        <f t="shared" si="68"/>
        <v/>
      </c>
      <c r="AO250" s="39" t="str">
        <f t="shared" si="69"/>
        <v/>
      </c>
      <c r="AP250" s="39">
        <f t="shared" si="70"/>
        <v>0</v>
      </c>
      <c r="AQ250" s="39">
        <f t="shared" si="71"/>
        <v>0</v>
      </c>
    </row>
    <row r="251" spans="14:43" x14ac:dyDescent="0.25">
      <c r="N251" s="105">
        <f t="shared" si="54"/>
        <v>0</v>
      </c>
      <c r="O251" s="106" t="str">
        <f>IF($F251="","",IF(ISNUMBER($F251),$F251+Settings!$C$7/24,IFERROR(DATEVALUE(LEFT($F251,10))+TIMEVALUE(MID($F251,12,8))+Settings!$C$7/24,"")))</f>
        <v/>
      </c>
      <c r="P251" s="106" t="str">
        <f>IF($G251="","",IF(ISNUMBER($G251),$G251+Settings!$C$7/24,IFERROR(DATEVALUE(LEFT($G251,10))+TIMEVALUE(MID($G251,12,8))+Settings!$C$7/24,"")))</f>
        <v/>
      </c>
      <c r="Q251" s="39" t="str">
        <f t="shared" si="55"/>
        <v/>
      </c>
      <c r="R251" s="39" t="str">
        <f t="shared" si="56"/>
        <v/>
      </c>
      <c r="S251" s="107" t="str">
        <f t="shared" si="57"/>
        <v/>
      </c>
      <c r="T251" s="39" t="str">
        <f>IF($C251="","",IF(COUNTIF($C$2:$C251,$C251)=1,1,0))</f>
        <v/>
      </c>
      <c r="U251" s="39" t="str">
        <f>IF($T251=1,COUNTIF($T$2:$T251,1),"")</f>
        <v/>
      </c>
      <c r="V251" s="39" t="str">
        <f>IF($B251="","",IF(COUNTIF($B$2:$B251,$B251)=1,1,0))</f>
        <v/>
      </c>
      <c r="W251" s="39" t="str">
        <f>IF($V251=1,COUNTIF($V$2:$V251,1),"")</f>
        <v/>
      </c>
      <c r="X251" s="39" t="str">
        <f>IF($A251="","",IF(COUNTIF($A$2:$A251,$A251)=1,1,0))</f>
        <v/>
      </c>
      <c r="Y251" s="39" t="str">
        <f>IF($X251=1,COUNTIF($X$2:$X251,1),"")</f>
        <v/>
      </c>
      <c r="Z251" s="39">
        <f>IF(AND($E251="timed",$N251&gt;Settings!$C$8),1,0)</f>
        <v>0</v>
      </c>
      <c r="AA251" s="39">
        <f t="shared" si="58"/>
        <v>0</v>
      </c>
      <c r="AB251" s="39">
        <f t="shared" si="59"/>
        <v>0</v>
      </c>
      <c r="AC251" s="39" t="str">
        <f t="shared" si="60"/>
        <v/>
      </c>
      <c r="AD251" s="39" t="str">
        <f t="shared" si="61"/>
        <v/>
      </c>
      <c r="AE251" s="39" t="str">
        <f t="shared" si="62"/>
        <v/>
      </c>
      <c r="AF251" s="106" t="str">
        <f t="shared" si="63"/>
        <v/>
      </c>
      <c r="AG251" s="39">
        <f t="shared" si="64"/>
        <v>0</v>
      </c>
      <c r="AH251" s="39" t="str">
        <f t="shared" si="65"/>
        <v/>
      </c>
      <c r="AI251" s="39">
        <f>IF(AND($E251="timed",$N251&gt;=Settings!$C$9),1,0)</f>
        <v>0</v>
      </c>
      <c r="AJ251" s="39" t="str">
        <f>IF(OR($S251="",Settings!$C$16=""),"",IF($S251&lt;=Settings!$C$16,1,2))</f>
        <v/>
      </c>
      <c r="AK251" s="39" t="str">
        <f>IF($C251="","",IFERROR(IF(INDEX(Settings!$C$20:$C$59,MATCH($C251,Settings!$B$20:$B$59,0))="",Settings!$C$10,INDEX(Settings!$C$20:$C$59,MATCH($C251,Settings!$B$20:$B$59,0))),Settings!$C$10))</f>
        <v/>
      </c>
      <c r="AL251" s="108">
        <f t="shared" si="66"/>
        <v>0</v>
      </c>
      <c r="AM251" s="39" t="str">
        <f t="shared" si="67"/>
        <v/>
      </c>
      <c r="AN251" s="39" t="str">
        <f t="shared" si="68"/>
        <v/>
      </c>
      <c r="AO251" s="39" t="str">
        <f t="shared" si="69"/>
        <v/>
      </c>
      <c r="AP251" s="39">
        <f t="shared" si="70"/>
        <v>0</v>
      </c>
      <c r="AQ251" s="39">
        <f t="shared" si="71"/>
        <v>0</v>
      </c>
    </row>
    <row r="252" spans="14:43" x14ac:dyDescent="0.25">
      <c r="N252" s="105">
        <f t="shared" si="54"/>
        <v>0</v>
      </c>
      <c r="O252" s="106" t="str">
        <f>IF($F252="","",IF(ISNUMBER($F252),$F252+Settings!$C$7/24,IFERROR(DATEVALUE(LEFT($F252,10))+TIMEVALUE(MID($F252,12,8))+Settings!$C$7/24,"")))</f>
        <v/>
      </c>
      <c r="P252" s="106" t="str">
        <f>IF($G252="","",IF(ISNUMBER($G252),$G252+Settings!$C$7/24,IFERROR(DATEVALUE(LEFT($G252,10))+TIMEVALUE(MID($G252,12,8))+Settings!$C$7/24,"")))</f>
        <v/>
      </c>
      <c r="Q252" s="39" t="str">
        <f t="shared" si="55"/>
        <v/>
      </c>
      <c r="R252" s="39" t="str">
        <f t="shared" si="56"/>
        <v/>
      </c>
      <c r="S252" s="107" t="str">
        <f t="shared" si="57"/>
        <v/>
      </c>
      <c r="T252" s="39" t="str">
        <f>IF($C252="","",IF(COUNTIF($C$2:$C252,$C252)=1,1,0))</f>
        <v/>
      </c>
      <c r="U252" s="39" t="str">
        <f>IF($T252=1,COUNTIF($T$2:$T252,1),"")</f>
        <v/>
      </c>
      <c r="V252" s="39" t="str">
        <f>IF($B252="","",IF(COUNTIF($B$2:$B252,$B252)=1,1,0))</f>
        <v/>
      </c>
      <c r="W252" s="39" t="str">
        <f>IF($V252=1,COUNTIF($V$2:$V252,1),"")</f>
        <v/>
      </c>
      <c r="X252" s="39" t="str">
        <f>IF($A252="","",IF(COUNTIF($A$2:$A252,$A252)=1,1,0))</f>
        <v/>
      </c>
      <c r="Y252" s="39" t="str">
        <f>IF($X252=1,COUNTIF($X$2:$X252,1),"")</f>
        <v/>
      </c>
      <c r="Z252" s="39">
        <f>IF(AND($E252="timed",$N252&gt;Settings!$C$8),1,0)</f>
        <v>0</v>
      </c>
      <c r="AA252" s="39">
        <f t="shared" si="58"/>
        <v>0</v>
      </c>
      <c r="AB252" s="39">
        <f t="shared" si="59"/>
        <v>0</v>
      </c>
      <c r="AC252" s="39" t="str">
        <f t="shared" si="60"/>
        <v/>
      </c>
      <c r="AD252" s="39" t="str">
        <f t="shared" si="61"/>
        <v/>
      </c>
      <c r="AE252" s="39" t="str">
        <f t="shared" si="62"/>
        <v/>
      </c>
      <c r="AF252" s="106" t="str">
        <f t="shared" si="63"/>
        <v/>
      </c>
      <c r="AG252" s="39">
        <f t="shared" si="64"/>
        <v>0</v>
      </c>
      <c r="AH252" s="39" t="str">
        <f t="shared" si="65"/>
        <v/>
      </c>
      <c r="AI252" s="39">
        <f>IF(AND($E252="timed",$N252&gt;=Settings!$C$9),1,0)</f>
        <v>0</v>
      </c>
      <c r="AJ252" s="39" t="str">
        <f>IF(OR($S252="",Settings!$C$16=""),"",IF($S252&lt;=Settings!$C$16,1,2))</f>
        <v/>
      </c>
      <c r="AK252" s="39" t="str">
        <f>IF($C252="","",IFERROR(IF(INDEX(Settings!$C$20:$C$59,MATCH($C252,Settings!$B$20:$B$59,0))="",Settings!$C$10,INDEX(Settings!$C$20:$C$59,MATCH($C252,Settings!$B$20:$B$59,0))),Settings!$C$10))</f>
        <v/>
      </c>
      <c r="AL252" s="108">
        <f t="shared" si="66"/>
        <v>0</v>
      </c>
      <c r="AM252" s="39" t="str">
        <f t="shared" si="67"/>
        <v/>
      </c>
      <c r="AN252" s="39" t="str">
        <f t="shared" si="68"/>
        <v/>
      </c>
      <c r="AO252" s="39" t="str">
        <f t="shared" si="69"/>
        <v/>
      </c>
      <c r="AP252" s="39">
        <f t="shared" si="70"/>
        <v>0</v>
      </c>
      <c r="AQ252" s="39">
        <f t="shared" si="71"/>
        <v>0</v>
      </c>
    </row>
    <row r="253" spans="14:43" x14ac:dyDescent="0.25">
      <c r="N253" s="105">
        <f t="shared" si="54"/>
        <v>0</v>
      </c>
      <c r="O253" s="106" t="str">
        <f>IF($F253="","",IF(ISNUMBER($F253),$F253+Settings!$C$7/24,IFERROR(DATEVALUE(LEFT($F253,10))+TIMEVALUE(MID($F253,12,8))+Settings!$C$7/24,"")))</f>
        <v/>
      </c>
      <c r="P253" s="106" t="str">
        <f>IF($G253="","",IF(ISNUMBER($G253),$G253+Settings!$C$7/24,IFERROR(DATEVALUE(LEFT($G253,10))+TIMEVALUE(MID($G253,12,8))+Settings!$C$7/24,"")))</f>
        <v/>
      </c>
      <c r="Q253" s="39" t="str">
        <f t="shared" si="55"/>
        <v/>
      </c>
      <c r="R253" s="39" t="str">
        <f t="shared" si="56"/>
        <v/>
      </c>
      <c r="S253" s="107" t="str">
        <f t="shared" si="57"/>
        <v/>
      </c>
      <c r="T253" s="39" t="str">
        <f>IF($C253="","",IF(COUNTIF($C$2:$C253,$C253)=1,1,0))</f>
        <v/>
      </c>
      <c r="U253" s="39" t="str">
        <f>IF($T253=1,COUNTIF($T$2:$T253,1),"")</f>
        <v/>
      </c>
      <c r="V253" s="39" t="str">
        <f>IF($B253="","",IF(COUNTIF($B$2:$B253,$B253)=1,1,0))</f>
        <v/>
      </c>
      <c r="W253" s="39" t="str">
        <f>IF($V253=1,COUNTIF($V$2:$V253,1),"")</f>
        <v/>
      </c>
      <c r="X253" s="39" t="str">
        <f>IF($A253="","",IF(COUNTIF($A$2:$A253,$A253)=1,1,0))</f>
        <v/>
      </c>
      <c r="Y253" s="39" t="str">
        <f>IF($X253=1,COUNTIF($X$2:$X253,1),"")</f>
        <v/>
      </c>
      <c r="Z253" s="39">
        <f>IF(AND($E253="timed",$N253&gt;Settings!$C$8),1,0)</f>
        <v>0</v>
      </c>
      <c r="AA253" s="39">
        <f t="shared" si="58"/>
        <v>0</v>
      </c>
      <c r="AB253" s="39">
        <f t="shared" si="59"/>
        <v>0</v>
      </c>
      <c r="AC253" s="39" t="str">
        <f t="shared" si="60"/>
        <v/>
      </c>
      <c r="AD253" s="39" t="str">
        <f t="shared" si="61"/>
        <v/>
      </c>
      <c r="AE253" s="39" t="str">
        <f t="shared" si="62"/>
        <v/>
      </c>
      <c r="AF253" s="106" t="str">
        <f t="shared" si="63"/>
        <v/>
      </c>
      <c r="AG253" s="39">
        <f t="shared" si="64"/>
        <v>0</v>
      </c>
      <c r="AH253" s="39" t="str">
        <f t="shared" si="65"/>
        <v/>
      </c>
      <c r="AI253" s="39">
        <f>IF(AND($E253="timed",$N253&gt;=Settings!$C$9),1,0)</f>
        <v>0</v>
      </c>
      <c r="AJ253" s="39" t="str">
        <f>IF(OR($S253="",Settings!$C$16=""),"",IF($S253&lt;=Settings!$C$16,1,2))</f>
        <v/>
      </c>
      <c r="AK253" s="39" t="str">
        <f>IF($C253="","",IFERROR(IF(INDEX(Settings!$C$20:$C$59,MATCH($C253,Settings!$B$20:$B$59,0))="",Settings!$C$10,INDEX(Settings!$C$20:$C$59,MATCH($C253,Settings!$B$20:$B$59,0))),Settings!$C$10))</f>
        <v/>
      </c>
      <c r="AL253" s="108">
        <f t="shared" si="66"/>
        <v>0</v>
      </c>
      <c r="AM253" s="39" t="str">
        <f t="shared" si="67"/>
        <v/>
      </c>
      <c r="AN253" s="39" t="str">
        <f t="shared" si="68"/>
        <v/>
      </c>
      <c r="AO253" s="39" t="str">
        <f t="shared" si="69"/>
        <v/>
      </c>
      <c r="AP253" s="39">
        <f t="shared" si="70"/>
        <v>0</v>
      </c>
      <c r="AQ253" s="39">
        <f t="shared" si="71"/>
        <v>0</v>
      </c>
    </row>
    <row r="254" spans="14:43" x14ac:dyDescent="0.25">
      <c r="N254" s="105">
        <f t="shared" si="54"/>
        <v>0</v>
      </c>
      <c r="O254" s="106" t="str">
        <f>IF($F254="","",IF(ISNUMBER($F254),$F254+Settings!$C$7/24,IFERROR(DATEVALUE(LEFT($F254,10))+TIMEVALUE(MID($F254,12,8))+Settings!$C$7/24,"")))</f>
        <v/>
      </c>
      <c r="P254" s="106" t="str">
        <f>IF($G254="","",IF(ISNUMBER($G254),$G254+Settings!$C$7/24,IFERROR(DATEVALUE(LEFT($G254,10))+TIMEVALUE(MID($G254,12,8))+Settings!$C$7/24,"")))</f>
        <v/>
      </c>
      <c r="Q254" s="39" t="str">
        <f t="shared" si="55"/>
        <v/>
      </c>
      <c r="R254" s="39" t="str">
        <f t="shared" si="56"/>
        <v/>
      </c>
      <c r="S254" s="107" t="str">
        <f t="shared" si="57"/>
        <v/>
      </c>
      <c r="T254" s="39" t="str">
        <f>IF($C254="","",IF(COUNTIF($C$2:$C254,$C254)=1,1,0))</f>
        <v/>
      </c>
      <c r="U254" s="39" t="str">
        <f>IF($T254=1,COUNTIF($T$2:$T254,1),"")</f>
        <v/>
      </c>
      <c r="V254" s="39" t="str">
        <f>IF($B254="","",IF(COUNTIF($B$2:$B254,$B254)=1,1,0))</f>
        <v/>
      </c>
      <c r="W254" s="39" t="str">
        <f>IF($V254=1,COUNTIF($V$2:$V254,1),"")</f>
        <v/>
      </c>
      <c r="X254" s="39" t="str">
        <f>IF($A254="","",IF(COUNTIF($A$2:$A254,$A254)=1,1,0))</f>
        <v/>
      </c>
      <c r="Y254" s="39" t="str">
        <f>IF($X254=1,COUNTIF($X$2:$X254,1),"")</f>
        <v/>
      </c>
      <c r="Z254" s="39">
        <f>IF(AND($E254="timed",$N254&gt;Settings!$C$8),1,0)</f>
        <v>0</v>
      </c>
      <c r="AA254" s="39">
        <f t="shared" si="58"/>
        <v>0</v>
      </c>
      <c r="AB254" s="39">
        <f t="shared" si="59"/>
        <v>0</v>
      </c>
      <c r="AC254" s="39" t="str">
        <f t="shared" si="60"/>
        <v/>
      </c>
      <c r="AD254" s="39" t="str">
        <f t="shared" si="61"/>
        <v/>
      </c>
      <c r="AE254" s="39" t="str">
        <f t="shared" si="62"/>
        <v/>
      </c>
      <c r="AF254" s="106" t="str">
        <f t="shared" si="63"/>
        <v/>
      </c>
      <c r="AG254" s="39">
        <f t="shared" si="64"/>
        <v>0</v>
      </c>
      <c r="AH254" s="39" t="str">
        <f t="shared" si="65"/>
        <v/>
      </c>
      <c r="AI254" s="39">
        <f>IF(AND($E254="timed",$N254&gt;=Settings!$C$9),1,0)</f>
        <v>0</v>
      </c>
      <c r="AJ254" s="39" t="str">
        <f>IF(OR($S254="",Settings!$C$16=""),"",IF($S254&lt;=Settings!$C$16,1,2))</f>
        <v/>
      </c>
      <c r="AK254" s="39" t="str">
        <f>IF($C254="","",IFERROR(IF(INDEX(Settings!$C$20:$C$59,MATCH($C254,Settings!$B$20:$B$59,0))="",Settings!$C$10,INDEX(Settings!$C$20:$C$59,MATCH($C254,Settings!$B$20:$B$59,0))),Settings!$C$10))</f>
        <v/>
      </c>
      <c r="AL254" s="108">
        <f t="shared" si="66"/>
        <v>0</v>
      </c>
      <c r="AM254" s="39" t="str">
        <f t="shared" si="67"/>
        <v/>
      </c>
      <c r="AN254" s="39" t="str">
        <f t="shared" si="68"/>
        <v/>
      </c>
      <c r="AO254" s="39" t="str">
        <f t="shared" si="69"/>
        <v/>
      </c>
      <c r="AP254" s="39">
        <f t="shared" si="70"/>
        <v>0</v>
      </c>
      <c r="AQ254" s="39">
        <f t="shared" si="71"/>
        <v>0</v>
      </c>
    </row>
    <row r="255" spans="14:43" x14ac:dyDescent="0.25">
      <c r="N255" s="105">
        <f t="shared" si="54"/>
        <v>0</v>
      </c>
      <c r="O255" s="106" t="str">
        <f>IF($F255="","",IF(ISNUMBER($F255),$F255+Settings!$C$7/24,IFERROR(DATEVALUE(LEFT($F255,10))+TIMEVALUE(MID($F255,12,8))+Settings!$C$7/24,"")))</f>
        <v/>
      </c>
      <c r="P255" s="106" t="str">
        <f>IF($G255="","",IF(ISNUMBER($G255),$G255+Settings!$C$7/24,IFERROR(DATEVALUE(LEFT($G255,10))+TIMEVALUE(MID($G255,12,8))+Settings!$C$7/24,"")))</f>
        <v/>
      </c>
      <c r="Q255" s="39" t="str">
        <f t="shared" si="55"/>
        <v/>
      </c>
      <c r="R255" s="39" t="str">
        <f t="shared" si="56"/>
        <v/>
      </c>
      <c r="S255" s="107" t="str">
        <f t="shared" si="57"/>
        <v/>
      </c>
      <c r="T255" s="39" t="str">
        <f>IF($C255="","",IF(COUNTIF($C$2:$C255,$C255)=1,1,0))</f>
        <v/>
      </c>
      <c r="U255" s="39" t="str">
        <f>IF($T255=1,COUNTIF($T$2:$T255,1),"")</f>
        <v/>
      </c>
      <c r="V255" s="39" t="str">
        <f>IF($B255="","",IF(COUNTIF($B$2:$B255,$B255)=1,1,0))</f>
        <v/>
      </c>
      <c r="W255" s="39" t="str">
        <f>IF($V255=1,COUNTIF($V$2:$V255,1),"")</f>
        <v/>
      </c>
      <c r="X255" s="39" t="str">
        <f>IF($A255="","",IF(COUNTIF($A$2:$A255,$A255)=1,1,0))</f>
        <v/>
      </c>
      <c r="Y255" s="39" t="str">
        <f>IF($X255=1,COUNTIF($X$2:$X255,1),"")</f>
        <v/>
      </c>
      <c r="Z255" s="39">
        <f>IF(AND($E255="timed",$N255&gt;Settings!$C$8),1,0)</f>
        <v>0</v>
      </c>
      <c r="AA255" s="39">
        <f t="shared" si="58"/>
        <v>0</v>
      </c>
      <c r="AB255" s="39">
        <f t="shared" si="59"/>
        <v>0</v>
      </c>
      <c r="AC255" s="39" t="str">
        <f t="shared" si="60"/>
        <v/>
      </c>
      <c r="AD255" s="39" t="str">
        <f t="shared" si="61"/>
        <v/>
      </c>
      <c r="AE255" s="39" t="str">
        <f t="shared" si="62"/>
        <v/>
      </c>
      <c r="AF255" s="106" t="str">
        <f t="shared" si="63"/>
        <v/>
      </c>
      <c r="AG255" s="39">
        <f t="shared" si="64"/>
        <v>0</v>
      </c>
      <c r="AH255" s="39" t="str">
        <f t="shared" si="65"/>
        <v/>
      </c>
      <c r="AI255" s="39">
        <f>IF(AND($E255="timed",$N255&gt;=Settings!$C$9),1,0)</f>
        <v>0</v>
      </c>
      <c r="AJ255" s="39" t="str">
        <f>IF(OR($S255="",Settings!$C$16=""),"",IF($S255&lt;=Settings!$C$16,1,2))</f>
        <v/>
      </c>
      <c r="AK255" s="39" t="str">
        <f>IF($C255="","",IFERROR(IF(INDEX(Settings!$C$20:$C$59,MATCH($C255,Settings!$B$20:$B$59,0))="",Settings!$C$10,INDEX(Settings!$C$20:$C$59,MATCH($C255,Settings!$B$20:$B$59,0))),Settings!$C$10))</f>
        <v/>
      </c>
      <c r="AL255" s="108">
        <f t="shared" si="66"/>
        <v>0</v>
      </c>
      <c r="AM255" s="39" t="str">
        <f t="shared" si="67"/>
        <v/>
      </c>
      <c r="AN255" s="39" t="str">
        <f t="shared" si="68"/>
        <v/>
      </c>
      <c r="AO255" s="39" t="str">
        <f t="shared" si="69"/>
        <v/>
      </c>
      <c r="AP255" s="39">
        <f t="shared" si="70"/>
        <v>0</v>
      </c>
      <c r="AQ255" s="39">
        <f t="shared" si="71"/>
        <v>0</v>
      </c>
    </row>
    <row r="256" spans="14:43" x14ac:dyDescent="0.25">
      <c r="N256" s="105">
        <f t="shared" si="54"/>
        <v>0</v>
      </c>
      <c r="O256" s="106" t="str">
        <f>IF($F256="","",IF(ISNUMBER($F256),$F256+Settings!$C$7/24,IFERROR(DATEVALUE(LEFT($F256,10))+TIMEVALUE(MID($F256,12,8))+Settings!$C$7/24,"")))</f>
        <v/>
      </c>
      <c r="P256" s="106" t="str">
        <f>IF($G256="","",IF(ISNUMBER($G256),$G256+Settings!$C$7/24,IFERROR(DATEVALUE(LEFT($G256,10))+TIMEVALUE(MID($G256,12,8))+Settings!$C$7/24,"")))</f>
        <v/>
      </c>
      <c r="Q256" s="39" t="str">
        <f t="shared" si="55"/>
        <v/>
      </c>
      <c r="R256" s="39" t="str">
        <f t="shared" si="56"/>
        <v/>
      </c>
      <c r="S256" s="107" t="str">
        <f t="shared" si="57"/>
        <v/>
      </c>
      <c r="T256" s="39" t="str">
        <f>IF($C256="","",IF(COUNTIF($C$2:$C256,$C256)=1,1,0))</f>
        <v/>
      </c>
      <c r="U256" s="39" t="str">
        <f>IF($T256=1,COUNTIF($T$2:$T256,1),"")</f>
        <v/>
      </c>
      <c r="V256" s="39" t="str">
        <f>IF($B256="","",IF(COUNTIF($B$2:$B256,$B256)=1,1,0))</f>
        <v/>
      </c>
      <c r="W256" s="39" t="str">
        <f>IF($V256=1,COUNTIF($V$2:$V256,1),"")</f>
        <v/>
      </c>
      <c r="X256" s="39" t="str">
        <f>IF($A256="","",IF(COUNTIF($A$2:$A256,$A256)=1,1,0))</f>
        <v/>
      </c>
      <c r="Y256" s="39" t="str">
        <f>IF($X256=1,COUNTIF($X$2:$X256,1),"")</f>
        <v/>
      </c>
      <c r="Z256" s="39">
        <f>IF(AND($E256="timed",$N256&gt;Settings!$C$8),1,0)</f>
        <v>0</v>
      </c>
      <c r="AA256" s="39">
        <f t="shared" si="58"/>
        <v>0</v>
      </c>
      <c r="AB256" s="39">
        <f t="shared" si="59"/>
        <v>0</v>
      </c>
      <c r="AC256" s="39" t="str">
        <f t="shared" si="60"/>
        <v/>
      </c>
      <c r="AD256" s="39" t="str">
        <f t="shared" si="61"/>
        <v/>
      </c>
      <c r="AE256" s="39" t="str">
        <f t="shared" si="62"/>
        <v/>
      </c>
      <c r="AF256" s="106" t="str">
        <f t="shared" si="63"/>
        <v/>
      </c>
      <c r="AG256" s="39">
        <f t="shared" si="64"/>
        <v>0</v>
      </c>
      <c r="AH256" s="39" t="str">
        <f t="shared" si="65"/>
        <v/>
      </c>
      <c r="AI256" s="39">
        <f>IF(AND($E256="timed",$N256&gt;=Settings!$C$9),1,0)</f>
        <v>0</v>
      </c>
      <c r="AJ256" s="39" t="str">
        <f>IF(OR($S256="",Settings!$C$16=""),"",IF($S256&lt;=Settings!$C$16,1,2))</f>
        <v/>
      </c>
      <c r="AK256" s="39" t="str">
        <f>IF($C256="","",IFERROR(IF(INDEX(Settings!$C$20:$C$59,MATCH($C256,Settings!$B$20:$B$59,0))="",Settings!$C$10,INDEX(Settings!$C$20:$C$59,MATCH($C256,Settings!$B$20:$B$59,0))),Settings!$C$10))</f>
        <v/>
      </c>
      <c r="AL256" s="108">
        <f t="shared" si="66"/>
        <v>0</v>
      </c>
      <c r="AM256" s="39" t="str">
        <f t="shared" si="67"/>
        <v/>
      </c>
      <c r="AN256" s="39" t="str">
        <f t="shared" si="68"/>
        <v/>
      </c>
      <c r="AO256" s="39" t="str">
        <f t="shared" si="69"/>
        <v/>
      </c>
      <c r="AP256" s="39">
        <f t="shared" si="70"/>
        <v>0</v>
      </c>
      <c r="AQ256" s="39">
        <f t="shared" si="71"/>
        <v>0</v>
      </c>
    </row>
    <row r="257" spans="14:43" x14ac:dyDescent="0.25">
      <c r="N257" s="105">
        <f t="shared" si="54"/>
        <v>0</v>
      </c>
      <c r="O257" s="106" t="str">
        <f>IF($F257="","",IF(ISNUMBER($F257),$F257+Settings!$C$7/24,IFERROR(DATEVALUE(LEFT($F257,10))+TIMEVALUE(MID($F257,12,8))+Settings!$C$7/24,"")))</f>
        <v/>
      </c>
      <c r="P257" s="106" t="str">
        <f>IF($G257="","",IF(ISNUMBER($G257),$G257+Settings!$C$7/24,IFERROR(DATEVALUE(LEFT($G257,10))+TIMEVALUE(MID($G257,12,8))+Settings!$C$7/24,"")))</f>
        <v/>
      </c>
      <c r="Q257" s="39" t="str">
        <f t="shared" si="55"/>
        <v/>
      </c>
      <c r="R257" s="39" t="str">
        <f t="shared" si="56"/>
        <v/>
      </c>
      <c r="S257" s="107" t="str">
        <f t="shared" si="57"/>
        <v/>
      </c>
      <c r="T257" s="39" t="str">
        <f>IF($C257="","",IF(COUNTIF($C$2:$C257,$C257)=1,1,0))</f>
        <v/>
      </c>
      <c r="U257" s="39" t="str">
        <f>IF($T257=1,COUNTIF($T$2:$T257,1),"")</f>
        <v/>
      </c>
      <c r="V257" s="39" t="str">
        <f>IF($B257="","",IF(COUNTIF($B$2:$B257,$B257)=1,1,0))</f>
        <v/>
      </c>
      <c r="W257" s="39" t="str">
        <f>IF($V257=1,COUNTIF($V$2:$V257,1),"")</f>
        <v/>
      </c>
      <c r="X257" s="39" t="str">
        <f>IF($A257="","",IF(COUNTIF($A$2:$A257,$A257)=1,1,0))</f>
        <v/>
      </c>
      <c r="Y257" s="39" t="str">
        <f>IF($X257=1,COUNTIF($X$2:$X257,1),"")</f>
        <v/>
      </c>
      <c r="Z257" s="39">
        <f>IF(AND($E257="timed",$N257&gt;Settings!$C$8),1,0)</f>
        <v>0</v>
      </c>
      <c r="AA257" s="39">
        <f t="shared" si="58"/>
        <v>0</v>
      </c>
      <c r="AB257" s="39">
        <f t="shared" si="59"/>
        <v>0</v>
      </c>
      <c r="AC257" s="39" t="str">
        <f t="shared" si="60"/>
        <v/>
      </c>
      <c r="AD257" s="39" t="str">
        <f t="shared" si="61"/>
        <v/>
      </c>
      <c r="AE257" s="39" t="str">
        <f t="shared" si="62"/>
        <v/>
      </c>
      <c r="AF257" s="106" t="str">
        <f t="shared" si="63"/>
        <v/>
      </c>
      <c r="AG257" s="39">
        <f t="shared" si="64"/>
        <v>0</v>
      </c>
      <c r="AH257" s="39" t="str">
        <f t="shared" si="65"/>
        <v/>
      </c>
      <c r="AI257" s="39">
        <f>IF(AND($E257="timed",$N257&gt;=Settings!$C$9),1,0)</f>
        <v>0</v>
      </c>
      <c r="AJ257" s="39" t="str">
        <f>IF(OR($S257="",Settings!$C$16=""),"",IF($S257&lt;=Settings!$C$16,1,2))</f>
        <v/>
      </c>
      <c r="AK257" s="39" t="str">
        <f>IF($C257="","",IFERROR(IF(INDEX(Settings!$C$20:$C$59,MATCH($C257,Settings!$B$20:$B$59,0))="",Settings!$C$10,INDEX(Settings!$C$20:$C$59,MATCH($C257,Settings!$B$20:$B$59,0))),Settings!$C$10))</f>
        <v/>
      </c>
      <c r="AL257" s="108">
        <f t="shared" si="66"/>
        <v>0</v>
      </c>
      <c r="AM257" s="39" t="str">
        <f t="shared" si="67"/>
        <v/>
      </c>
      <c r="AN257" s="39" t="str">
        <f t="shared" si="68"/>
        <v/>
      </c>
      <c r="AO257" s="39" t="str">
        <f t="shared" si="69"/>
        <v/>
      </c>
      <c r="AP257" s="39">
        <f t="shared" si="70"/>
        <v>0</v>
      </c>
      <c r="AQ257" s="39">
        <f t="shared" si="71"/>
        <v>0</v>
      </c>
    </row>
    <row r="258" spans="14:43" x14ac:dyDescent="0.25">
      <c r="N258" s="105">
        <f t="shared" ref="N258:N321" si="72">IF($E258&lt;&gt;"timed",0,IF(ISNUMBER($H258),$H258,IFERROR(VALUE($H258),0)))</f>
        <v>0</v>
      </c>
      <c r="O258" s="106" t="str">
        <f>IF($F258="","",IF(ISNUMBER($F258),$F258+Settings!$C$7/24,IFERROR(DATEVALUE(LEFT($F258,10))+TIMEVALUE(MID($F258,12,8))+Settings!$C$7/24,"")))</f>
        <v/>
      </c>
      <c r="P258" s="106" t="str">
        <f>IF($G258="","",IF(ISNUMBER($G258),$G258+Settings!$C$7/24,IFERROR(DATEVALUE(LEFT($G258,10))+TIMEVALUE(MID($G258,12,8))+Settings!$C$7/24,"")))</f>
        <v/>
      </c>
      <c r="Q258" s="39" t="str">
        <f t="shared" ref="Q258:Q321" si="73">IF($O258="","",HOUR($O258))</f>
        <v/>
      </c>
      <c r="R258" s="39" t="str">
        <f t="shared" ref="R258:R321" si="74">IF($O258="","",WEEKDAY($O258,2))</f>
        <v/>
      </c>
      <c r="S258" s="107" t="str">
        <f t="shared" ref="S258:S321" si="75">IF($A258="","",IF(ISNUMBER($A258),INT($A258),IFERROR(DATEVALUE($A258),"")))</f>
        <v/>
      </c>
      <c r="T258" s="39" t="str">
        <f>IF($C258="","",IF(COUNTIF($C$2:$C258,$C258)=1,1,0))</f>
        <v/>
      </c>
      <c r="U258" s="39" t="str">
        <f>IF($T258=1,COUNTIF($T$2:$T258,1),"")</f>
        <v/>
      </c>
      <c r="V258" s="39" t="str">
        <f>IF($B258="","",IF(COUNTIF($B$2:$B258,$B258)=1,1,0))</f>
        <v/>
      </c>
      <c r="W258" s="39" t="str">
        <f>IF($V258=1,COUNTIF($V$2:$V258,1),"")</f>
        <v/>
      </c>
      <c r="X258" s="39" t="str">
        <f>IF($A258="","",IF(COUNTIF($A$2:$A258,$A258)=1,1,0))</f>
        <v/>
      </c>
      <c r="Y258" s="39" t="str">
        <f>IF($X258=1,COUNTIF($X$2:$X258,1),"")</f>
        <v/>
      </c>
      <c r="Z258" s="39">
        <f>IF(AND($E258="timed",$N258&gt;Settings!$C$8),1,0)</f>
        <v>0</v>
      </c>
      <c r="AA258" s="39">
        <f t="shared" ref="AA258:AA321" si="76">IF(AND($E258="timed",$G258=""),1,0)</f>
        <v>0</v>
      </c>
      <c r="AB258" s="39">
        <f t="shared" ref="AB258:AB321" si="77">IF($E258&lt;&gt;"timed",0,IF(ISNUMBER($I258),$I258,IFERROR(VALUE($I258),0)))</f>
        <v>0</v>
      </c>
      <c r="AC258" s="39" t="str">
        <f t="shared" ref="AC258:AC321" si="78">IF(OR($E258&lt;&gt;"timed",$O258=""),"",ROUND($O258*86400,0)*10000+ROW())</f>
        <v/>
      </c>
      <c r="AD258" s="39" t="str">
        <f t="shared" ref="AD258:AD321" si="79">IF($AC258="","",COUNTIF($AC$2:$AC$1201,"&lt;"&amp;$AC258)+1)</f>
        <v/>
      </c>
      <c r="AE258" s="39" t="str">
        <f t="shared" ref="AE258:AE321" si="80">IF($AD258="","",IFERROR(IF(INDEX($S$2:$S$1201,MATCH($AD258-1,$AD$2:$AD$1201,0))=$S258,INDEX($C$2:$C$1201,MATCH($AD258-1,$AD$2:$AD$1201,0)),""),""))</f>
        <v/>
      </c>
      <c r="AF258" s="106" t="str">
        <f t="shared" ref="AF258:AF321" si="81">IF($AD258="","",IFERROR(IF(INDEX($S$2:$S$1201,MATCH($AD258-1,$AD$2:$AD$1201,0))=$S258,INDEX($P$2:$P$1201,MATCH($AD258-1,$AD$2:$AD$1201,0)),""),""))</f>
        <v/>
      </c>
      <c r="AG258" s="39">
        <f t="shared" ref="AG258:AG321" si="82">IF(OR($E258&lt;&gt;"timed",$AE258=""),0,IF($AE258=$C258,0,1))</f>
        <v>0</v>
      </c>
      <c r="AH258" s="39" t="str">
        <f t="shared" ref="AH258:AH321" si="83">IF(OR($AF258="",$O258=""),"",MAX(0,ROUND(($O258-$AF258)*1440,0)))</f>
        <v/>
      </c>
      <c r="AI258" s="39">
        <f>IF(AND($E258="timed",$N258&gt;=Settings!$C$9),1,0)</f>
        <v>0</v>
      </c>
      <c r="AJ258" s="39" t="str">
        <f>IF(OR($S258="",Settings!$C$16=""),"",IF($S258&lt;=Settings!$C$16,1,2))</f>
        <v/>
      </c>
      <c r="AK258" s="39" t="str">
        <f>IF($C258="","",IFERROR(IF(INDEX(Settings!$C$20:$C$59,MATCH($C258,Settings!$B$20:$B$59,0))="",Settings!$C$10,INDEX(Settings!$C$20:$C$59,MATCH($C258,Settings!$B$20:$B$59,0))),Settings!$C$10))</f>
        <v/>
      </c>
      <c r="AL258" s="108">
        <f t="shared" ref="AL258:AL321" si="84">IF(OR($N258=0,$AK258=""),0,ROUND($N258/60*$AK258,2))</f>
        <v>0</v>
      </c>
      <c r="AM258" s="39" t="str">
        <f t="shared" ref="AM258:AM321" si="85">IF($AD258="","",IFERROR(INDEX($S$2:$S$1201,MATCH($AD258-1,$AD$2:$AD$1201,0)),""))</f>
        <v/>
      </c>
      <c r="AN258" s="39" t="str">
        <f t="shared" ref="AN258:AN321" si="86">IF($Z258=1,$N258+ROW()/1000000,"")</f>
        <v/>
      </c>
      <c r="AO258" s="39" t="str">
        <f t="shared" ref="AO258:AO321" si="87">IF(OR($E258&lt;&gt;"timed",$P258=""),"",ROUND($P258*86400,0)*10000+ROW())</f>
        <v/>
      </c>
      <c r="AP258" s="39">
        <f t="shared" ref="AP258:AP321" si="88">IF($AC258="",0,IF(COUNTIFS($S$2:$S$1201,$S258,$AC$2:$AC$1201,"&lt;"&amp;$AC258)=0,1,0))</f>
        <v>0</v>
      </c>
      <c r="AQ258" s="39">
        <f t="shared" ref="AQ258:AQ321" si="89">IF($AO258="",0,IF(COUNTIFS($S$2:$S$1201,$S258,$AO$2:$AO$1201,"&gt;"&amp;$AO258)=0,1,0))</f>
        <v>0</v>
      </c>
    </row>
    <row r="259" spans="14:43" x14ac:dyDescent="0.25">
      <c r="N259" s="105">
        <f t="shared" si="72"/>
        <v>0</v>
      </c>
      <c r="O259" s="106" t="str">
        <f>IF($F259="","",IF(ISNUMBER($F259),$F259+Settings!$C$7/24,IFERROR(DATEVALUE(LEFT($F259,10))+TIMEVALUE(MID($F259,12,8))+Settings!$C$7/24,"")))</f>
        <v/>
      </c>
      <c r="P259" s="106" t="str">
        <f>IF($G259="","",IF(ISNUMBER($G259),$G259+Settings!$C$7/24,IFERROR(DATEVALUE(LEFT($G259,10))+TIMEVALUE(MID($G259,12,8))+Settings!$C$7/24,"")))</f>
        <v/>
      </c>
      <c r="Q259" s="39" t="str">
        <f t="shared" si="73"/>
        <v/>
      </c>
      <c r="R259" s="39" t="str">
        <f t="shared" si="74"/>
        <v/>
      </c>
      <c r="S259" s="107" t="str">
        <f t="shared" si="75"/>
        <v/>
      </c>
      <c r="T259" s="39" t="str">
        <f>IF($C259="","",IF(COUNTIF($C$2:$C259,$C259)=1,1,0))</f>
        <v/>
      </c>
      <c r="U259" s="39" t="str">
        <f>IF($T259=1,COUNTIF($T$2:$T259,1),"")</f>
        <v/>
      </c>
      <c r="V259" s="39" t="str">
        <f>IF($B259="","",IF(COUNTIF($B$2:$B259,$B259)=1,1,0))</f>
        <v/>
      </c>
      <c r="W259" s="39" t="str">
        <f>IF($V259=1,COUNTIF($V$2:$V259,1),"")</f>
        <v/>
      </c>
      <c r="X259" s="39" t="str">
        <f>IF($A259="","",IF(COUNTIF($A$2:$A259,$A259)=1,1,0))</f>
        <v/>
      </c>
      <c r="Y259" s="39" t="str">
        <f>IF($X259=1,COUNTIF($X$2:$X259,1),"")</f>
        <v/>
      </c>
      <c r="Z259" s="39">
        <f>IF(AND($E259="timed",$N259&gt;Settings!$C$8),1,0)</f>
        <v>0</v>
      </c>
      <c r="AA259" s="39">
        <f t="shared" si="76"/>
        <v>0</v>
      </c>
      <c r="AB259" s="39">
        <f t="shared" si="77"/>
        <v>0</v>
      </c>
      <c r="AC259" s="39" t="str">
        <f t="shared" si="78"/>
        <v/>
      </c>
      <c r="AD259" s="39" t="str">
        <f t="shared" si="79"/>
        <v/>
      </c>
      <c r="AE259" s="39" t="str">
        <f t="shared" si="80"/>
        <v/>
      </c>
      <c r="AF259" s="106" t="str">
        <f t="shared" si="81"/>
        <v/>
      </c>
      <c r="AG259" s="39">
        <f t="shared" si="82"/>
        <v>0</v>
      </c>
      <c r="AH259" s="39" t="str">
        <f t="shared" si="83"/>
        <v/>
      </c>
      <c r="AI259" s="39">
        <f>IF(AND($E259="timed",$N259&gt;=Settings!$C$9),1,0)</f>
        <v>0</v>
      </c>
      <c r="AJ259" s="39" t="str">
        <f>IF(OR($S259="",Settings!$C$16=""),"",IF($S259&lt;=Settings!$C$16,1,2))</f>
        <v/>
      </c>
      <c r="AK259" s="39" t="str">
        <f>IF($C259="","",IFERROR(IF(INDEX(Settings!$C$20:$C$59,MATCH($C259,Settings!$B$20:$B$59,0))="",Settings!$C$10,INDEX(Settings!$C$20:$C$59,MATCH($C259,Settings!$B$20:$B$59,0))),Settings!$C$10))</f>
        <v/>
      </c>
      <c r="AL259" s="108">
        <f t="shared" si="84"/>
        <v>0</v>
      </c>
      <c r="AM259" s="39" t="str">
        <f t="shared" si="85"/>
        <v/>
      </c>
      <c r="AN259" s="39" t="str">
        <f t="shared" si="86"/>
        <v/>
      </c>
      <c r="AO259" s="39" t="str">
        <f t="shared" si="87"/>
        <v/>
      </c>
      <c r="AP259" s="39">
        <f t="shared" si="88"/>
        <v>0</v>
      </c>
      <c r="AQ259" s="39">
        <f t="shared" si="89"/>
        <v>0</v>
      </c>
    </row>
    <row r="260" spans="14:43" x14ac:dyDescent="0.25">
      <c r="N260" s="105">
        <f t="shared" si="72"/>
        <v>0</v>
      </c>
      <c r="O260" s="106" t="str">
        <f>IF($F260="","",IF(ISNUMBER($F260),$F260+Settings!$C$7/24,IFERROR(DATEVALUE(LEFT($F260,10))+TIMEVALUE(MID($F260,12,8))+Settings!$C$7/24,"")))</f>
        <v/>
      </c>
      <c r="P260" s="106" t="str">
        <f>IF($G260="","",IF(ISNUMBER($G260),$G260+Settings!$C$7/24,IFERROR(DATEVALUE(LEFT($G260,10))+TIMEVALUE(MID($G260,12,8))+Settings!$C$7/24,"")))</f>
        <v/>
      </c>
      <c r="Q260" s="39" t="str">
        <f t="shared" si="73"/>
        <v/>
      </c>
      <c r="R260" s="39" t="str">
        <f t="shared" si="74"/>
        <v/>
      </c>
      <c r="S260" s="107" t="str">
        <f t="shared" si="75"/>
        <v/>
      </c>
      <c r="T260" s="39" t="str">
        <f>IF($C260="","",IF(COUNTIF($C$2:$C260,$C260)=1,1,0))</f>
        <v/>
      </c>
      <c r="U260" s="39" t="str">
        <f>IF($T260=1,COUNTIF($T$2:$T260,1),"")</f>
        <v/>
      </c>
      <c r="V260" s="39" t="str">
        <f>IF($B260="","",IF(COUNTIF($B$2:$B260,$B260)=1,1,0))</f>
        <v/>
      </c>
      <c r="W260" s="39" t="str">
        <f>IF($V260=1,COUNTIF($V$2:$V260,1),"")</f>
        <v/>
      </c>
      <c r="X260" s="39" t="str">
        <f>IF($A260="","",IF(COUNTIF($A$2:$A260,$A260)=1,1,0))</f>
        <v/>
      </c>
      <c r="Y260" s="39" t="str">
        <f>IF($X260=1,COUNTIF($X$2:$X260,1),"")</f>
        <v/>
      </c>
      <c r="Z260" s="39">
        <f>IF(AND($E260="timed",$N260&gt;Settings!$C$8),1,0)</f>
        <v>0</v>
      </c>
      <c r="AA260" s="39">
        <f t="shared" si="76"/>
        <v>0</v>
      </c>
      <c r="AB260" s="39">
        <f t="shared" si="77"/>
        <v>0</v>
      </c>
      <c r="AC260" s="39" t="str">
        <f t="shared" si="78"/>
        <v/>
      </c>
      <c r="AD260" s="39" t="str">
        <f t="shared" si="79"/>
        <v/>
      </c>
      <c r="AE260" s="39" t="str">
        <f t="shared" si="80"/>
        <v/>
      </c>
      <c r="AF260" s="106" t="str">
        <f t="shared" si="81"/>
        <v/>
      </c>
      <c r="AG260" s="39">
        <f t="shared" si="82"/>
        <v>0</v>
      </c>
      <c r="AH260" s="39" t="str">
        <f t="shared" si="83"/>
        <v/>
      </c>
      <c r="AI260" s="39">
        <f>IF(AND($E260="timed",$N260&gt;=Settings!$C$9),1,0)</f>
        <v>0</v>
      </c>
      <c r="AJ260" s="39" t="str">
        <f>IF(OR($S260="",Settings!$C$16=""),"",IF($S260&lt;=Settings!$C$16,1,2))</f>
        <v/>
      </c>
      <c r="AK260" s="39" t="str">
        <f>IF($C260="","",IFERROR(IF(INDEX(Settings!$C$20:$C$59,MATCH($C260,Settings!$B$20:$B$59,0))="",Settings!$C$10,INDEX(Settings!$C$20:$C$59,MATCH($C260,Settings!$B$20:$B$59,0))),Settings!$C$10))</f>
        <v/>
      </c>
      <c r="AL260" s="108">
        <f t="shared" si="84"/>
        <v>0</v>
      </c>
      <c r="AM260" s="39" t="str">
        <f t="shared" si="85"/>
        <v/>
      </c>
      <c r="AN260" s="39" t="str">
        <f t="shared" si="86"/>
        <v/>
      </c>
      <c r="AO260" s="39" t="str">
        <f t="shared" si="87"/>
        <v/>
      </c>
      <c r="AP260" s="39">
        <f t="shared" si="88"/>
        <v>0</v>
      </c>
      <c r="AQ260" s="39">
        <f t="shared" si="89"/>
        <v>0</v>
      </c>
    </row>
    <row r="261" spans="14:43" x14ac:dyDescent="0.25">
      <c r="N261" s="105">
        <f t="shared" si="72"/>
        <v>0</v>
      </c>
      <c r="O261" s="106" t="str">
        <f>IF($F261="","",IF(ISNUMBER($F261),$F261+Settings!$C$7/24,IFERROR(DATEVALUE(LEFT($F261,10))+TIMEVALUE(MID($F261,12,8))+Settings!$C$7/24,"")))</f>
        <v/>
      </c>
      <c r="P261" s="106" t="str">
        <f>IF($G261="","",IF(ISNUMBER($G261),$G261+Settings!$C$7/24,IFERROR(DATEVALUE(LEFT($G261,10))+TIMEVALUE(MID($G261,12,8))+Settings!$C$7/24,"")))</f>
        <v/>
      </c>
      <c r="Q261" s="39" t="str">
        <f t="shared" si="73"/>
        <v/>
      </c>
      <c r="R261" s="39" t="str">
        <f t="shared" si="74"/>
        <v/>
      </c>
      <c r="S261" s="107" t="str">
        <f t="shared" si="75"/>
        <v/>
      </c>
      <c r="T261" s="39" t="str">
        <f>IF($C261="","",IF(COUNTIF($C$2:$C261,$C261)=1,1,0))</f>
        <v/>
      </c>
      <c r="U261" s="39" t="str">
        <f>IF($T261=1,COUNTIF($T$2:$T261,1),"")</f>
        <v/>
      </c>
      <c r="V261" s="39" t="str">
        <f>IF($B261="","",IF(COUNTIF($B$2:$B261,$B261)=1,1,0))</f>
        <v/>
      </c>
      <c r="W261" s="39" t="str">
        <f>IF($V261=1,COUNTIF($V$2:$V261,1),"")</f>
        <v/>
      </c>
      <c r="X261" s="39" t="str">
        <f>IF($A261="","",IF(COUNTIF($A$2:$A261,$A261)=1,1,0))</f>
        <v/>
      </c>
      <c r="Y261" s="39" t="str">
        <f>IF($X261=1,COUNTIF($X$2:$X261,1),"")</f>
        <v/>
      </c>
      <c r="Z261" s="39">
        <f>IF(AND($E261="timed",$N261&gt;Settings!$C$8),1,0)</f>
        <v>0</v>
      </c>
      <c r="AA261" s="39">
        <f t="shared" si="76"/>
        <v>0</v>
      </c>
      <c r="AB261" s="39">
        <f t="shared" si="77"/>
        <v>0</v>
      </c>
      <c r="AC261" s="39" t="str">
        <f t="shared" si="78"/>
        <v/>
      </c>
      <c r="AD261" s="39" t="str">
        <f t="shared" si="79"/>
        <v/>
      </c>
      <c r="AE261" s="39" t="str">
        <f t="shared" si="80"/>
        <v/>
      </c>
      <c r="AF261" s="106" t="str">
        <f t="shared" si="81"/>
        <v/>
      </c>
      <c r="AG261" s="39">
        <f t="shared" si="82"/>
        <v>0</v>
      </c>
      <c r="AH261" s="39" t="str">
        <f t="shared" si="83"/>
        <v/>
      </c>
      <c r="AI261" s="39">
        <f>IF(AND($E261="timed",$N261&gt;=Settings!$C$9),1,0)</f>
        <v>0</v>
      </c>
      <c r="AJ261" s="39" t="str">
        <f>IF(OR($S261="",Settings!$C$16=""),"",IF($S261&lt;=Settings!$C$16,1,2))</f>
        <v/>
      </c>
      <c r="AK261" s="39" t="str">
        <f>IF($C261="","",IFERROR(IF(INDEX(Settings!$C$20:$C$59,MATCH($C261,Settings!$B$20:$B$59,0))="",Settings!$C$10,INDEX(Settings!$C$20:$C$59,MATCH($C261,Settings!$B$20:$B$59,0))),Settings!$C$10))</f>
        <v/>
      </c>
      <c r="AL261" s="108">
        <f t="shared" si="84"/>
        <v>0</v>
      </c>
      <c r="AM261" s="39" t="str">
        <f t="shared" si="85"/>
        <v/>
      </c>
      <c r="AN261" s="39" t="str">
        <f t="shared" si="86"/>
        <v/>
      </c>
      <c r="AO261" s="39" t="str">
        <f t="shared" si="87"/>
        <v/>
      </c>
      <c r="AP261" s="39">
        <f t="shared" si="88"/>
        <v>0</v>
      </c>
      <c r="AQ261" s="39">
        <f t="shared" si="89"/>
        <v>0</v>
      </c>
    </row>
    <row r="262" spans="14:43" x14ac:dyDescent="0.25">
      <c r="N262" s="105">
        <f t="shared" si="72"/>
        <v>0</v>
      </c>
      <c r="O262" s="106" t="str">
        <f>IF($F262="","",IF(ISNUMBER($F262),$F262+Settings!$C$7/24,IFERROR(DATEVALUE(LEFT($F262,10))+TIMEVALUE(MID($F262,12,8))+Settings!$C$7/24,"")))</f>
        <v/>
      </c>
      <c r="P262" s="106" t="str">
        <f>IF($G262="","",IF(ISNUMBER($G262),$G262+Settings!$C$7/24,IFERROR(DATEVALUE(LEFT($G262,10))+TIMEVALUE(MID($G262,12,8))+Settings!$C$7/24,"")))</f>
        <v/>
      </c>
      <c r="Q262" s="39" t="str">
        <f t="shared" si="73"/>
        <v/>
      </c>
      <c r="R262" s="39" t="str">
        <f t="shared" si="74"/>
        <v/>
      </c>
      <c r="S262" s="107" t="str">
        <f t="shared" si="75"/>
        <v/>
      </c>
      <c r="T262" s="39" t="str">
        <f>IF($C262="","",IF(COUNTIF($C$2:$C262,$C262)=1,1,0))</f>
        <v/>
      </c>
      <c r="U262" s="39" t="str">
        <f>IF($T262=1,COUNTIF($T$2:$T262,1),"")</f>
        <v/>
      </c>
      <c r="V262" s="39" t="str">
        <f>IF($B262="","",IF(COUNTIF($B$2:$B262,$B262)=1,1,0))</f>
        <v/>
      </c>
      <c r="W262" s="39" t="str">
        <f>IF($V262=1,COUNTIF($V$2:$V262,1),"")</f>
        <v/>
      </c>
      <c r="X262" s="39" t="str">
        <f>IF($A262="","",IF(COUNTIF($A$2:$A262,$A262)=1,1,0))</f>
        <v/>
      </c>
      <c r="Y262" s="39" t="str">
        <f>IF($X262=1,COUNTIF($X$2:$X262,1),"")</f>
        <v/>
      </c>
      <c r="Z262" s="39">
        <f>IF(AND($E262="timed",$N262&gt;Settings!$C$8),1,0)</f>
        <v>0</v>
      </c>
      <c r="AA262" s="39">
        <f t="shared" si="76"/>
        <v>0</v>
      </c>
      <c r="AB262" s="39">
        <f t="shared" si="77"/>
        <v>0</v>
      </c>
      <c r="AC262" s="39" t="str">
        <f t="shared" si="78"/>
        <v/>
      </c>
      <c r="AD262" s="39" t="str">
        <f t="shared" si="79"/>
        <v/>
      </c>
      <c r="AE262" s="39" t="str">
        <f t="shared" si="80"/>
        <v/>
      </c>
      <c r="AF262" s="106" t="str">
        <f t="shared" si="81"/>
        <v/>
      </c>
      <c r="AG262" s="39">
        <f t="shared" si="82"/>
        <v>0</v>
      </c>
      <c r="AH262" s="39" t="str">
        <f t="shared" si="83"/>
        <v/>
      </c>
      <c r="AI262" s="39">
        <f>IF(AND($E262="timed",$N262&gt;=Settings!$C$9),1,0)</f>
        <v>0</v>
      </c>
      <c r="AJ262" s="39" t="str">
        <f>IF(OR($S262="",Settings!$C$16=""),"",IF($S262&lt;=Settings!$C$16,1,2))</f>
        <v/>
      </c>
      <c r="AK262" s="39" t="str">
        <f>IF($C262="","",IFERROR(IF(INDEX(Settings!$C$20:$C$59,MATCH($C262,Settings!$B$20:$B$59,0))="",Settings!$C$10,INDEX(Settings!$C$20:$C$59,MATCH($C262,Settings!$B$20:$B$59,0))),Settings!$C$10))</f>
        <v/>
      </c>
      <c r="AL262" s="108">
        <f t="shared" si="84"/>
        <v>0</v>
      </c>
      <c r="AM262" s="39" t="str">
        <f t="shared" si="85"/>
        <v/>
      </c>
      <c r="AN262" s="39" t="str">
        <f t="shared" si="86"/>
        <v/>
      </c>
      <c r="AO262" s="39" t="str">
        <f t="shared" si="87"/>
        <v/>
      </c>
      <c r="AP262" s="39">
        <f t="shared" si="88"/>
        <v>0</v>
      </c>
      <c r="AQ262" s="39">
        <f t="shared" si="89"/>
        <v>0</v>
      </c>
    </row>
    <row r="263" spans="14:43" x14ac:dyDescent="0.25">
      <c r="N263" s="105">
        <f t="shared" si="72"/>
        <v>0</v>
      </c>
      <c r="O263" s="106" t="str">
        <f>IF($F263="","",IF(ISNUMBER($F263),$F263+Settings!$C$7/24,IFERROR(DATEVALUE(LEFT($F263,10))+TIMEVALUE(MID($F263,12,8))+Settings!$C$7/24,"")))</f>
        <v/>
      </c>
      <c r="P263" s="106" t="str">
        <f>IF($G263="","",IF(ISNUMBER($G263),$G263+Settings!$C$7/24,IFERROR(DATEVALUE(LEFT($G263,10))+TIMEVALUE(MID($G263,12,8))+Settings!$C$7/24,"")))</f>
        <v/>
      </c>
      <c r="Q263" s="39" t="str">
        <f t="shared" si="73"/>
        <v/>
      </c>
      <c r="R263" s="39" t="str">
        <f t="shared" si="74"/>
        <v/>
      </c>
      <c r="S263" s="107" t="str">
        <f t="shared" si="75"/>
        <v/>
      </c>
      <c r="T263" s="39" t="str">
        <f>IF($C263="","",IF(COUNTIF($C$2:$C263,$C263)=1,1,0))</f>
        <v/>
      </c>
      <c r="U263" s="39" t="str">
        <f>IF($T263=1,COUNTIF($T$2:$T263,1),"")</f>
        <v/>
      </c>
      <c r="V263" s="39" t="str">
        <f>IF($B263="","",IF(COUNTIF($B$2:$B263,$B263)=1,1,0))</f>
        <v/>
      </c>
      <c r="W263" s="39" t="str">
        <f>IF($V263=1,COUNTIF($V$2:$V263,1),"")</f>
        <v/>
      </c>
      <c r="X263" s="39" t="str">
        <f>IF($A263="","",IF(COUNTIF($A$2:$A263,$A263)=1,1,0))</f>
        <v/>
      </c>
      <c r="Y263" s="39" t="str">
        <f>IF($X263=1,COUNTIF($X$2:$X263,1),"")</f>
        <v/>
      </c>
      <c r="Z263" s="39">
        <f>IF(AND($E263="timed",$N263&gt;Settings!$C$8),1,0)</f>
        <v>0</v>
      </c>
      <c r="AA263" s="39">
        <f t="shared" si="76"/>
        <v>0</v>
      </c>
      <c r="AB263" s="39">
        <f t="shared" si="77"/>
        <v>0</v>
      </c>
      <c r="AC263" s="39" t="str">
        <f t="shared" si="78"/>
        <v/>
      </c>
      <c r="AD263" s="39" t="str">
        <f t="shared" si="79"/>
        <v/>
      </c>
      <c r="AE263" s="39" t="str">
        <f t="shared" si="80"/>
        <v/>
      </c>
      <c r="AF263" s="106" t="str">
        <f t="shared" si="81"/>
        <v/>
      </c>
      <c r="AG263" s="39">
        <f t="shared" si="82"/>
        <v>0</v>
      </c>
      <c r="AH263" s="39" t="str">
        <f t="shared" si="83"/>
        <v/>
      </c>
      <c r="AI263" s="39">
        <f>IF(AND($E263="timed",$N263&gt;=Settings!$C$9),1,0)</f>
        <v>0</v>
      </c>
      <c r="AJ263" s="39" t="str">
        <f>IF(OR($S263="",Settings!$C$16=""),"",IF($S263&lt;=Settings!$C$16,1,2))</f>
        <v/>
      </c>
      <c r="AK263" s="39" t="str">
        <f>IF($C263="","",IFERROR(IF(INDEX(Settings!$C$20:$C$59,MATCH($C263,Settings!$B$20:$B$59,0))="",Settings!$C$10,INDEX(Settings!$C$20:$C$59,MATCH($C263,Settings!$B$20:$B$59,0))),Settings!$C$10))</f>
        <v/>
      </c>
      <c r="AL263" s="108">
        <f t="shared" si="84"/>
        <v>0</v>
      </c>
      <c r="AM263" s="39" t="str">
        <f t="shared" si="85"/>
        <v/>
      </c>
      <c r="AN263" s="39" t="str">
        <f t="shared" si="86"/>
        <v/>
      </c>
      <c r="AO263" s="39" t="str">
        <f t="shared" si="87"/>
        <v/>
      </c>
      <c r="AP263" s="39">
        <f t="shared" si="88"/>
        <v>0</v>
      </c>
      <c r="AQ263" s="39">
        <f t="shared" si="89"/>
        <v>0</v>
      </c>
    </row>
    <row r="264" spans="14:43" x14ac:dyDescent="0.25">
      <c r="N264" s="105">
        <f t="shared" si="72"/>
        <v>0</v>
      </c>
      <c r="O264" s="106" t="str">
        <f>IF($F264="","",IF(ISNUMBER($F264),$F264+Settings!$C$7/24,IFERROR(DATEVALUE(LEFT($F264,10))+TIMEVALUE(MID($F264,12,8))+Settings!$C$7/24,"")))</f>
        <v/>
      </c>
      <c r="P264" s="106" t="str">
        <f>IF($G264="","",IF(ISNUMBER($G264),$G264+Settings!$C$7/24,IFERROR(DATEVALUE(LEFT($G264,10))+TIMEVALUE(MID($G264,12,8))+Settings!$C$7/24,"")))</f>
        <v/>
      </c>
      <c r="Q264" s="39" t="str">
        <f t="shared" si="73"/>
        <v/>
      </c>
      <c r="R264" s="39" t="str">
        <f t="shared" si="74"/>
        <v/>
      </c>
      <c r="S264" s="107" t="str">
        <f t="shared" si="75"/>
        <v/>
      </c>
      <c r="T264" s="39" t="str">
        <f>IF($C264="","",IF(COUNTIF($C$2:$C264,$C264)=1,1,0))</f>
        <v/>
      </c>
      <c r="U264" s="39" t="str">
        <f>IF($T264=1,COUNTIF($T$2:$T264,1),"")</f>
        <v/>
      </c>
      <c r="V264" s="39" t="str">
        <f>IF($B264="","",IF(COUNTIF($B$2:$B264,$B264)=1,1,0))</f>
        <v/>
      </c>
      <c r="W264" s="39" t="str">
        <f>IF($V264=1,COUNTIF($V$2:$V264,1),"")</f>
        <v/>
      </c>
      <c r="X264" s="39" t="str">
        <f>IF($A264="","",IF(COUNTIF($A$2:$A264,$A264)=1,1,0))</f>
        <v/>
      </c>
      <c r="Y264" s="39" t="str">
        <f>IF($X264=1,COUNTIF($X$2:$X264,1),"")</f>
        <v/>
      </c>
      <c r="Z264" s="39">
        <f>IF(AND($E264="timed",$N264&gt;Settings!$C$8),1,0)</f>
        <v>0</v>
      </c>
      <c r="AA264" s="39">
        <f t="shared" si="76"/>
        <v>0</v>
      </c>
      <c r="AB264" s="39">
        <f t="shared" si="77"/>
        <v>0</v>
      </c>
      <c r="AC264" s="39" t="str">
        <f t="shared" si="78"/>
        <v/>
      </c>
      <c r="AD264" s="39" t="str">
        <f t="shared" si="79"/>
        <v/>
      </c>
      <c r="AE264" s="39" t="str">
        <f t="shared" si="80"/>
        <v/>
      </c>
      <c r="AF264" s="106" t="str">
        <f t="shared" si="81"/>
        <v/>
      </c>
      <c r="AG264" s="39">
        <f t="shared" si="82"/>
        <v>0</v>
      </c>
      <c r="AH264" s="39" t="str">
        <f t="shared" si="83"/>
        <v/>
      </c>
      <c r="AI264" s="39">
        <f>IF(AND($E264="timed",$N264&gt;=Settings!$C$9),1,0)</f>
        <v>0</v>
      </c>
      <c r="AJ264" s="39" t="str">
        <f>IF(OR($S264="",Settings!$C$16=""),"",IF($S264&lt;=Settings!$C$16,1,2))</f>
        <v/>
      </c>
      <c r="AK264" s="39" t="str">
        <f>IF($C264="","",IFERROR(IF(INDEX(Settings!$C$20:$C$59,MATCH($C264,Settings!$B$20:$B$59,0))="",Settings!$C$10,INDEX(Settings!$C$20:$C$59,MATCH($C264,Settings!$B$20:$B$59,0))),Settings!$C$10))</f>
        <v/>
      </c>
      <c r="AL264" s="108">
        <f t="shared" si="84"/>
        <v>0</v>
      </c>
      <c r="AM264" s="39" t="str">
        <f t="shared" si="85"/>
        <v/>
      </c>
      <c r="AN264" s="39" t="str">
        <f t="shared" si="86"/>
        <v/>
      </c>
      <c r="AO264" s="39" t="str">
        <f t="shared" si="87"/>
        <v/>
      </c>
      <c r="AP264" s="39">
        <f t="shared" si="88"/>
        <v>0</v>
      </c>
      <c r="AQ264" s="39">
        <f t="shared" si="89"/>
        <v>0</v>
      </c>
    </row>
    <row r="265" spans="14:43" x14ac:dyDescent="0.25">
      <c r="N265" s="105">
        <f t="shared" si="72"/>
        <v>0</v>
      </c>
      <c r="O265" s="106" t="str">
        <f>IF($F265="","",IF(ISNUMBER($F265),$F265+Settings!$C$7/24,IFERROR(DATEVALUE(LEFT($F265,10))+TIMEVALUE(MID($F265,12,8))+Settings!$C$7/24,"")))</f>
        <v/>
      </c>
      <c r="P265" s="106" t="str">
        <f>IF($G265="","",IF(ISNUMBER($G265),$G265+Settings!$C$7/24,IFERROR(DATEVALUE(LEFT($G265,10))+TIMEVALUE(MID($G265,12,8))+Settings!$C$7/24,"")))</f>
        <v/>
      </c>
      <c r="Q265" s="39" t="str">
        <f t="shared" si="73"/>
        <v/>
      </c>
      <c r="R265" s="39" t="str">
        <f t="shared" si="74"/>
        <v/>
      </c>
      <c r="S265" s="107" t="str">
        <f t="shared" si="75"/>
        <v/>
      </c>
      <c r="T265" s="39" t="str">
        <f>IF($C265="","",IF(COUNTIF($C$2:$C265,$C265)=1,1,0))</f>
        <v/>
      </c>
      <c r="U265" s="39" t="str">
        <f>IF($T265=1,COUNTIF($T$2:$T265,1),"")</f>
        <v/>
      </c>
      <c r="V265" s="39" t="str">
        <f>IF($B265="","",IF(COUNTIF($B$2:$B265,$B265)=1,1,0))</f>
        <v/>
      </c>
      <c r="W265" s="39" t="str">
        <f>IF($V265=1,COUNTIF($V$2:$V265,1),"")</f>
        <v/>
      </c>
      <c r="X265" s="39" t="str">
        <f>IF($A265="","",IF(COUNTIF($A$2:$A265,$A265)=1,1,0))</f>
        <v/>
      </c>
      <c r="Y265" s="39" t="str">
        <f>IF($X265=1,COUNTIF($X$2:$X265,1),"")</f>
        <v/>
      </c>
      <c r="Z265" s="39">
        <f>IF(AND($E265="timed",$N265&gt;Settings!$C$8),1,0)</f>
        <v>0</v>
      </c>
      <c r="AA265" s="39">
        <f t="shared" si="76"/>
        <v>0</v>
      </c>
      <c r="AB265" s="39">
        <f t="shared" si="77"/>
        <v>0</v>
      </c>
      <c r="AC265" s="39" t="str">
        <f t="shared" si="78"/>
        <v/>
      </c>
      <c r="AD265" s="39" t="str">
        <f t="shared" si="79"/>
        <v/>
      </c>
      <c r="AE265" s="39" t="str">
        <f t="shared" si="80"/>
        <v/>
      </c>
      <c r="AF265" s="106" t="str">
        <f t="shared" si="81"/>
        <v/>
      </c>
      <c r="AG265" s="39">
        <f t="shared" si="82"/>
        <v>0</v>
      </c>
      <c r="AH265" s="39" t="str">
        <f t="shared" si="83"/>
        <v/>
      </c>
      <c r="AI265" s="39">
        <f>IF(AND($E265="timed",$N265&gt;=Settings!$C$9),1,0)</f>
        <v>0</v>
      </c>
      <c r="AJ265" s="39" t="str">
        <f>IF(OR($S265="",Settings!$C$16=""),"",IF($S265&lt;=Settings!$C$16,1,2))</f>
        <v/>
      </c>
      <c r="AK265" s="39" t="str">
        <f>IF($C265="","",IFERROR(IF(INDEX(Settings!$C$20:$C$59,MATCH($C265,Settings!$B$20:$B$59,0))="",Settings!$C$10,INDEX(Settings!$C$20:$C$59,MATCH($C265,Settings!$B$20:$B$59,0))),Settings!$C$10))</f>
        <v/>
      </c>
      <c r="AL265" s="108">
        <f t="shared" si="84"/>
        <v>0</v>
      </c>
      <c r="AM265" s="39" t="str">
        <f t="shared" si="85"/>
        <v/>
      </c>
      <c r="AN265" s="39" t="str">
        <f t="shared" si="86"/>
        <v/>
      </c>
      <c r="AO265" s="39" t="str">
        <f t="shared" si="87"/>
        <v/>
      </c>
      <c r="AP265" s="39">
        <f t="shared" si="88"/>
        <v>0</v>
      </c>
      <c r="AQ265" s="39">
        <f t="shared" si="89"/>
        <v>0</v>
      </c>
    </row>
    <row r="266" spans="14:43" x14ac:dyDescent="0.25">
      <c r="N266" s="105">
        <f t="shared" si="72"/>
        <v>0</v>
      </c>
      <c r="O266" s="106" t="str">
        <f>IF($F266="","",IF(ISNUMBER($F266),$F266+Settings!$C$7/24,IFERROR(DATEVALUE(LEFT($F266,10))+TIMEVALUE(MID($F266,12,8))+Settings!$C$7/24,"")))</f>
        <v/>
      </c>
      <c r="P266" s="106" t="str">
        <f>IF($G266="","",IF(ISNUMBER($G266),$G266+Settings!$C$7/24,IFERROR(DATEVALUE(LEFT($G266,10))+TIMEVALUE(MID($G266,12,8))+Settings!$C$7/24,"")))</f>
        <v/>
      </c>
      <c r="Q266" s="39" t="str">
        <f t="shared" si="73"/>
        <v/>
      </c>
      <c r="R266" s="39" t="str">
        <f t="shared" si="74"/>
        <v/>
      </c>
      <c r="S266" s="107" t="str">
        <f t="shared" si="75"/>
        <v/>
      </c>
      <c r="T266" s="39" t="str">
        <f>IF($C266="","",IF(COUNTIF($C$2:$C266,$C266)=1,1,0))</f>
        <v/>
      </c>
      <c r="U266" s="39" t="str">
        <f>IF($T266=1,COUNTIF($T$2:$T266,1),"")</f>
        <v/>
      </c>
      <c r="V266" s="39" t="str">
        <f>IF($B266="","",IF(COUNTIF($B$2:$B266,$B266)=1,1,0))</f>
        <v/>
      </c>
      <c r="W266" s="39" t="str">
        <f>IF($V266=1,COUNTIF($V$2:$V266,1),"")</f>
        <v/>
      </c>
      <c r="X266" s="39" t="str">
        <f>IF($A266="","",IF(COUNTIF($A$2:$A266,$A266)=1,1,0))</f>
        <v/>
      </c>
      <c r="Y266" s="39" t="str">
        <f>IF($X266=1,COUNTIF($X$2:$X266,1),"")</f>
        <v/>
      </c>
      <c r="Z266" s="39">
        <f>IF(AND($E266="timed",$N266&gt;Settings!$C$8),1,0)</f>
        <v>0</v>
      </c>
      <c r="AA266" s="39">
        <f t="shared" si="76"/>
        <v>0</v>
      </c>
      <c r="AB266" s="39">
        <f t="shared" si="77"/>
        <v>0</v>
      </c>
      <c r="AC266" s="39" t="str">
        <f t="shared" si="78"/>
        <v/>
      </c>
      <c r="AD266" s="39" t="str">
        <f t="shared" si="79"/>
        <v/>
      </c>
      <c r="AE266" s="39" t="str">
        <f t="shared" si="80"/>
        <v/>
      </c>
      <c r="AF266" s="106" t="str">
        <f t="shared" si="81"/>
        <v/>
      </c>
      <c r="AG266" s="39">
        <f t="shared" si="82"/>
        <v>0</v>
      </c>
      <c r="AH266" s="39" t="str">
        <f t="shared" si="83"/>
        <v/>
      </c>
      <c r="AI266" s="39">
        <f>IF(AND($E266="timed",$N266&gt;=Settings!$C$9),1,0)</f>
        <v>0</v>
      </c>
      <c r="AJ266" s="39" t="str">
        <f>IF(OR($S266="",Settings!$C$16=""),"",IF($S266&lt;=Settings!$C$16,1,2))</f>
        <v/>
      </c>
      <c r="AK266" s="39" t="str">
        <f>IF($C266="","",IFERROR(IF(INDEX(Settings!$C$20:$C$59,MATCH($C266,Settings!$B$20:$B$59,0))="",Settings!$C$10,INDEX(Settings!$C$20:$C$59,MATCH($C266,Settings!$B$20:$B$59,0))),Settings!$C$10))</f>
        <v/>
      </c>
      <c r="AL266" s="108">
        <f t="shared" si="84"/>
        <v>0</v>
      </c>
      <c r="AM266" s="39" t="str">
        <f t="shared" si="85"/>
        <v/>
      </c>
      <c r="AN266" s="39" t="str">
        <f t="shared" si="86"/>
        <v/>
      </c>
      <c r="AO266" s="39" t="str">
        <f t="shared" si="87"/>
        <v/>
      </c>
      <c r="AP266" s="39">
        <f t="shared" si="88"/>
        <v>0</v>
      </c>
      <c r="AQ266" s="39">
        <f t="shared" si="89"/>
        <v>0</v>
      </c>
    </row>
    <row r="267" spans="14:43" x14ac:dyDescent="0.25">
      <c r="N267" s="105">
        <f t="shared" si="72"/>
        <v>0</v>
      </c>
      <c r="O267" s="106" t="str">
        <f>IF($F267="","",IF(ISNUMBER($F267),$F267+Settings!$C$7/24,IFERROR(DATEVALUE(LEFT($F267,10))+TIMEVALUE(MID($F267,12,8))+Settings!$C$7/24,"")))</f>
        <v/>
      </c>
      <c r="P267" s="106" t="str">
        <f>IF($G267="","",IF(ISNUMBER($G267),$G267+Settings!$C$7/24,IFERROR(DATEVALUE(LEFT($G267,10))+TIMEVALUE(MID($G267,12,8))+Settings!$C$7/24,"")))</f>
        <v/>
      </c>
      <c r="Q267" s="39" t="str">
        <f t="shared" si="73"/>
        <v/>
      </c>
      <c r="R267" s="39" t="str">
        <f t="shared" si="74"/>
        <v/>
      </c>
      <c r="S267" s="107" t="str">
        <f t="shared" si="75"/>
        <v/>
      </c>
      <c r="T267" s="39" t="str">
        <f>IF($C267="","",IF(COUNTIF($C$2:$C267,$C267)=1,1,0))</f>
        <v/>
      </c>
      <c r="U267" s="39" t="str">
        <f>IF($T267=1,COUNTIF($T$2:$T267,1),"")</f>
        <v/>
      </c>
      <c r="V267" s="39" t="str">
        <f>IF($B267="","",IF(COUNTIF($B$2:$B267,$B267)=1,1,0))</f>
        <v/>
      </c>
      <c r="W267" s="39" t="str">
        <f>IF($V267=1,COUNTIF($V$2:$V267,1),"")</f>
        <v/>
      </c>
      <c r="X267" s="39" t="str">
        <f>IF($A267="","",IF(COUNTIF($A$2:$A267,$A267)=1,1,0))</f>
        <v/>
      </c>
      <c r="Y267" s="39" t="str">
        <f>IF($X267=1,COUNTIF($X$2:$X267,1),"")</f>
        <v/>
      </c>
      <c r="Z267" s="39">
        <f>IF(AND($E267="timed",$N267&gt;Settings!$C$8),1,0)</f>
        <v>0</v>
      </c>
      <c r="AA267" s="39">
        <f t="shared" si="76"/>
        <v>0</v>
      </c>
      <c r="AB267" s="39">
        <f t="shared" si="77"/>
        <v>0</v>
      </c>
      <c r="AC267" s="39" t="str">
        <f t="shared" si="78"/>
        <v/>
      </c>
      <c r="AD267" s="39" t="str">
        <f t="shared" si="79"/>
        <v/>
      </c>
      <c r="AE267" s="39" t="str">
        <f t="shared" si="80"/>
        <v/>
      </c>
      <c r="AF267" s="106" t="str">
        <f t="shared" si="81"/>
        <v/>
      </c>
      <c r="AG267" s="39">
        <f t="shared" si="82"/>
        <v>0</v>
      </c>
      <c r="AH267" s="39" t="str">
        <f t="shared" si="83"/>
        <v/>
      </c>
      <c r="AI267" s="39">
        <f>IF(AND($E267="timed",$N267&gt;=Settings!$C$9),1,0)</f>
        <v>0</v>
      </c>
      <c r="AJ267" s="39" t="str">
        <f>IF(OR($S267="",Settings!$C$16=""),"",IF($S267&lt;=Settings!$C$16,1,2))</f>
        <v/>
      </c>
      <c r="AK267" s="39" t="str">
        <f>IF($C267="","",IFERROR(IF(INDEX(Settings!$C$20:$C$59,MATCH($C267,Settings!$B$20:$B$59,0))="",Settings!$C$10,INDEX(Settings!$C$20:$C$59,MATCH($C267,Settings!$B$20:$B$59,0))),Settings!$C$10))</f>
        <v/>
      </c>
      <c r="AL267" s="108">
        <f t="shared" si="84"/>
        <v>0</v>
      </c>
      <c r="AM267" s="39" t="str">
        <f t="shared" si="85"/>
        <v/>
      </c>
      <c r="AN267" s="39" t="str">
        <f t="shared" si="86"/>
        <v/>
      </c>
      <c r="AO267" s="39" t="str">
        <f t="shared" si="87"/>
        <v/>
      </c>
      <c r="AP267" s="39">
        <f t="shared" si="88"/>
        <v>0</v>
      </c>
      <c r="AQ267" s="39">
        <f t="shared" si="89"/>
        <v>0</v>
      </c>
    </row>
    <row r="268" spans="14:43" x14ac:dyDescent="0.25">
      <c r="N268" s="105">
        <f t="shared" si="72"/>
        <v>0</v>
      </c>
      <c r="O268" s="106" t="str">
        <f>IF($F268="","",IF(ISNUMBER($F268),$F268+Settings!$C$7/24,IFERROR(DATEVALUE(LEFT($F268,10))+TIMEVALUE(MID($F268,12,8))+Settings!$C$7/24,"")))</f>
        <v/>
      </c>
      <c r="P268" s="106" t="str">
        <f>IF($G268="","",IF(ISNUMBER($G268),$G268+Settings!$C$7/24,IFERROR(DATEVALUE(LEFT($G268,10))+TIMEVALUE(MID($G268,12,8))+Settings!$C$7/24,"")))</f>
        <v/>
      </c>
      <c r="Q268" s="39" t="str">
        <f t="shared" si="73"/>
        <v/>
      </c>
      <c r="R268" s="39" t="str">
        <f t="shared" si="74"/>
        <v/>
      </c>
      <c r="S268" s="107" t="str">
        <f t="shared" si="75"/>
        <v/>
      </c>
      <c r="T268" s="39" t="str">
        <f>IF($C268="","",IF(COUNTIF($C$2:$C268,$C268)=1,1,0))</f>
        <v/>
      </c>
      <c r="U268" s="39" t="str">
        <f>IF($T268=1,COUNTIF($T$2:$T268,1),"")</f>
        <v/>
      </c>
      <c r="V268" s="39" t="str">
        <f>IF($B268="","",IF(COUNTIF($B$2:$B268,$B268)=1,1,0))</f>
        <v/>
      </c>
      <c r="W268" s="39" t="str">
        <f>IF($V268=1,COUNTIF($V$2:$V268,1),"")</f>
        <v/>
      </c>
      <c r="X268" s="39" t="str">
        <f>IF($A268="","",IF(COUNTIF($A$2:$A268,$A268)=1,1,0))</f>
        <v/>
      </c>
      <c r="Y268" s="39" t="str">
        <f>IF($X268=1,COUNTIF($X$2:$X268,1),"")</f>
        <v/>
      </c>
      <c r="Z268" s="39">
        <f>IF(AND($E268="timed",$N268&gt;Settings!$C$8),1,0)</f>
        <v>0</v>
      </c>
      <c r="AA268" s="39">
        <f t="shared" si="76"/>
        <v>0</v>
      </c>
      <c r="AB268" s="39">
        <f t="shared" si="77"/>
        <v>0</v>
      </c>
      <c r="AC268" s="39" t="str">
        <f t="shared" si="78"/>
        <v/>
      </c>
      <c r="AD268" s="39" t="str">
        <f t="shared" si="79"/>
        <v/>
      </c>
      <c r="AE268" s="39" t="str">
        <f t="shared" si="80"/>
        <v/>
      </c>
      <c r="AF268" s="106" t="str">
        <f t="shared" si="81"/>
        <v/>
      </c>
      <c r="AG268" s="39">
        <f t="shared" si="82"/>
        <v>0</v>
      </c>
      <c r="AH268" s="39" t="str">
        <f t="shared" si="83"/>
        <v/>
      </c>
      <c r="AI268" s="39">
        <f>IF(AND($E268="timed",$N268&gt;=Settings!$C$9),1,0)</f>
        <v>0</v>
      </c>
      <c r="AJ268" s="39" t="str">
        <f>IF(OR($S268="",Settings!$C$16=""),"",IF($S268&lt;=Settings!$C$16,1,2))</f>
        <v/>
      </c>
      <c r="AK268" s="39" t="str">
        <f>IF($C268="","",IFERROR(IF(INDEX(Settings!$C$20:$C$59,MATCH($C268,Settings!$B$20:$B$59,0))="",Settings!$C$10,INDEX(Settings!$C$20:$C$59,MATCH($C268,Settings!$B$20:$B$59,0))),Settings!$C$10))</f>
        <v/>
      </c>
      <c r="AL268" s="108">
        <f t="shared" si="84"/>
        <v>0</v>
      </c>
      <c r="AM268" s="39" t="str">
        <f t="shared" si="85"/>
        <v/>
      </c>
      <c r="AN268" s="39" t="str">
        <f t="shared" si="86"/>
        <v/>
      </c>
      <c r="AO268" s="39" t="str">
        <f t="shared" si="87"/>
        <v/>
      </c>
      <c r="AP268" s="39">
        <f t="shared" si="88"/>
        <v>0</v>
      </c>
      <c r="AQ268" s="39">
        <f t="shared" si="89"/>
        <v>0</v>
      </c>
    </row>
    <row r="269" spans="14:43" x14ac:dyDescent="0.25">
      <c r="N269" s="105">
        <f t="shared" si="72"/>
        <v>0</v>
      </c>
      <c r="O269" s="106" t="str">
        <f>IF($F269="","",IF(ISNUMBER($F269),$F269+Settings!$C$7/24,IFERROR(DATEVALUE(LEFT($F269,10))+TIMEVALUE(MID($F269,12,8))+Settings!$C$7/24,"")))</f>
        <v/>
      </c>
      <c r="P269" s="106" t="str">
        <f>IF($G269="","",IF(ISNUMBER($G269),$G269+Settings!$C$7/24,IFERROR(DATEVALUE(LEFT($G269,10))+TIMEVALUE(MID($G269,12,8))+Settings!$C$7/24,"")))</f>
        <v/>
      </c>
      <c r="Q269" s="39" t="str">
        <f t="shared" si="73"/>
        <v/>
      </c>
      <c r="R269" s="39" t="str">
        <f t="shared" si="74"/>
        <v/>
      </c>
      <c r="S269" s="107" t="str">
        <f t="shared" si="75"/>
        <v/>
      </c>
      <c r="T269" s="39" t="str">
        <f>IF($C269="","",IF(COUNTIF($C$2:$C269,$C269)=1,1,0))</f>
        <v/>
      </c>
      <c r="U269" s="39" t="str">
        <f>IF($T269=1,COUNTIF($T$2:$T269,1),"")</f>
        <v/>
      </c>
      <c r="V269" s="39" t="str">
        <f>IF($B269="","",IF(COUNTIF($B$2:$B269,$B269)=1,1,0))</f>
        <v/>
      </c>
      <c r="W269" s="39" t="str">
        <f>IF($V269=1,COUNTIF($V$2:$V269,1),"")</f>
        <v/>
      </c>
      <c r="X269" s="39" t="str">
        <f>IF($A269="","",IF(COUNTIF($A$2:$A269,$A269)=1,1,0))</f>
        <v/>
      </c>
      <c r="Y269" s="39" t="str">
        <f>IF($X269=1,COUNTIF($X$2:$X269,1),"")</f>
        <v/>
      </c>
      <c r="Z269" s="39">
        <f>IF(AND($E269="timed",$N269&gt;Settings!$C$8),1,0)</f>
        <v>0</v>
      </c>
      <c r="AA269" s="39">
        <f t="shared" si="76"/>
        <v>0</v>
      </c>
      <c r="AB269" s="39">
        <f t="shared" si="77"/>
        <v>0</v>
      </c>
      <c r="AC269" s="39" t="str">
        <f t="shared" si="78"/>
        <v/>
      </c>
      <c r="AD269" s="39" t="str">
        <f t="shared" si="79"/>
        <v/>
      </c>
      <c r="AE269" s="39" t="str">
        <f t="shared" si="80"/>
        <v/>
      </c>
      <c r="AF269" s="106" t="str">
        <f t="shared" si="81"/>
        <v/>
      </c>
      <c r="AG269" s="39">
        <f t="shared" si="82"/>
        <v>0</v>
      </c>
      <c r="AH269" s="39" t="str">
        <f t="shared" si="83"/>
        <v/>
      </c>
      <c r="AI269" s="39">
        <f>IF(AND($E269="timed",$N269&gt;=Settings!$C$9),1,0)</f>
        <v>0</v>
      </c>
      <c r="AJ269" s="39" t="str">
        <f>IF(OR($S269="",Settings!$C$16=""),"",IF($S269&lt;=Settings!$C$16,1,2))</f>
        <v/>
      </c>
      <c r="AK269" s="39" t="str">
        <f>IF($C269="","",IFERROR(IF(INDEX(Settings!$C$20:$C$59,MATCH($C269,Settings!$B$20:$B$59,0))="",Settings!$C$10,INDEX(Settings!$C$20:$C$59,MATCH($C269,Settings!$B$20:$B$59,0))),Settings!$C$10))</f>
        <v/>
      </c>
      <c r="AL269" s="108">
        <f t="shared" si="84"/>
        <v>0</v>
      </c>
      <c r="AM269" s="39" t="str">
        <f t="shared" si="85"/>
        <v/>
      </c>
      <c r="AN269" s="39" t="str">
        <f t="shared" si="86"/>
        <v/>
      </c>
      <c r="AO269" s="39" t="str">
        <f t="shared" si="87"/>
        <v/>
      </c>
      <c r="AP269" s="39">
        <f t="shared" si="88"/>
        <v>0</v>
      </c>
      <c r="AQ269" s="39">
        <f t="shared" si="89"/>
        <v>0</v>
      </c>
    </row>
    <row r="270" spans="14:43" x14ac:dyDescent="0.25">
      <c r="N270" s="105">
        <f t="shared" si="72"/>
        <v>0</v>
      </c>
      <c r="O270" s="106" t="str">
        <f>IF($F270="","",IF(ISNUMBER($F270),$F270+Settings!$C$7/24,IFERROR(DATEVALUE(LEFT($F270,10))+TIMEVALUE(MID($F270,12,8))+Settings!$C$7/24,"")))</f>
        <v/>
      </c>
      <c r="P270" s="106" t="str">
        <f>IF($G270="","",IF(ISNUMBER($G270),$G270+Settings!$C$7/24,IFERROR(DATEVALUE(LEFT($G270,10))+TIMEVALUE(MID($G270,12,8))+Settings!$C$7/24,"")))</f>
        <v/>
      </c>
      <c r="Q270" s="39" t="str">
        <f t="shared" si="73"/>
        <v/>
      </c>
      <c r="R270" s="39" t="str">
        <f t="shared" si="74"/>
        <v/>
      </c>
      <c r="S270" s="107" t="str">
        <f t="shared" si="75"/>
        <v/>
      </c>
      <c r="T270" s="39" t="str">
        <f>IF($C270="","",IF(COUNTIF($C$2:$C270,$C270)=1,1,0))</f>
        <v/>
      </c>
      <c r="U270" s="39" t="str">
        <f>IF($T270=1,COUNTIF($T$2:$T270,1),"")</f>
        <v/>
      </c>
      <c r="V270" s="39" t="str">
        <f>IF($B270="","",IF(COUNTIF($B$2:$B270,$B270)=1,1,0))</f>
        <v/>
      </c>
      <c r="W270" s="39" t="str">
        <f>IF($V270=1,COUNTIF($V$2:$V270,1),"")</f>
        <v/>
      </c>
      <c r="X270" s="39" t="str">
        <f>IF($A270="","",IF(COUNTIF($A$2:$A270,$A270)=1,1,0))</f>
        <v/>
      </c>
      <c r="Y270" s="39" t="str">
        <f>IF($X270=1,COUNTIF($X$2:$X270,1),"")</f>
        <v/>
      </c>
      <c r="Z270" s="39">
        <f>IF(AND($E270="timed",$N270&gt;Settings!$C$8),1,0)</f>
        <v>0</v>
      </c>
      <c r="AA270" s="39">
        <f t="shared" si="76"/>
        <v>0</v>
      </c>
      <c r="AB270" s="39">
        <f t="shared" si="77"/>
        <v>0</v>
      </c>
      <c r="AC270" s="39" t="str">
        <f t="shared" si="78"/>
        <v/>
      </c>
      <c r="AD270" s="39" t="str">
        <f t="shared" si="79"/>
        <v/>
      </c>
      <c r="AE270" s="39" t="str">
        <f t="shared" si="80"/>
        <v/>
      </c>
      <c r="AF270" s="106" t="str">
        <f t="shared" si="81"/>
        <v/>
      </c>
      <c r="AG270" s="39">
        <f t="shared" si="82"/>
        <v>0</v>
      </c>
      <c r="AH270" s="39" t="str">
        <f t="shared" si="83"/>
        <v/>
      </c>
      <c r="AI270" s="39">
        <f>IF(AND($E270="timed",$N270&gt;=Settings!$C$9),1,0)</f>
        <v>0</v>
      </c>
      <c r="AJ270" s="39" t="str">
        <f>IF(OR($S270="",Settings!$C$16=""),"",IF($S270&lt;=Settings!$C$16,1,2))</f>
        <v/>
      </c>
      <c r="AK270" s="39" t="str">
        <f>IF($C270="","",IFERROR(IF(INDEX(Settings!$C$20:$C$59,MATCH($C270,Settings!$B$20:$B$59,0))="",Settings!$C$10,INDEX(Settings!$C$20:$C$59,MATCH($C270,Settings!$B$20:$B$59,0))),Settings!$C$10))</f>
        <v/>
      </c>
      <c r="AL270" s="108">
        <f t="shared" si="84"/>
        <v>0</v>
      </c>
      <c r="AM270" s="39" t="str">
        <f t="shared" si="85"/>
        <v/>
      </c>
      <c r="AN270" s="39" t="str">
        <f t="shared" si="86"/>
        <v/>
      </c>
      <c r="AO270" s="39" t="str">
        <f t="shared" si="87"/>
        <v/>
      </c>
      <c r="AP270" s="39">
        <f t="shared" si="88"/>
        <v>0</v>
      </c>
      <c r="AQ270" s="39">
        <f t="shared" si="89"/>
        <v>0</v>
      </c>
    </row>
    <row r="271" spans="14:43" x14ac:dyDescent="0.25">
      <c r="N271" s="105">
        <f t="shared" si="72"/>
        <v>0</v>
      </c>
      <c r="O271" s="106" t="str">
        <f>IF($F271="","",IF(ISNUMBER($F271),$F271+Settings!$C$7/24,IFERROR(DATEVALUE(LEFT($F271,10))+TIMEVALUE(MID($F271,12,8))+Settings!$C$7/24,"")))</f>
        <v/>
      </c>
      <c r="P271" s="106" t="str">
        <f>IF($G271="","",IF(ISNUMBER($G271),$G271+Settings!$C$7/24,IFERROR(DATEVALUE(LEFT($G271,10))+TIMEVALUE(MID($G271,12,8))+Settings!$C$7/24,"")))</f>
        <v/>
      </c>
      <c r="Q271" s="39" t="str">
        <f t="shared" si="73"/>
        <v/>
      </c>
      <c r="R271" s="39" t="str">
        <f t="shared" si="74"/>
        <v/>
      </c>
      <c r="S271" s="107" t="str">
        <f t="shared" si="75"/>
        <v/>
      </c>
      <c r="T271" s="39" t="str">
        <f>IF($C271="","",IF(COUNTIF($C$2:$C271,$C271)=1,1,0))</f>
        <v/>
      </c>
      <c r="U271" s="39" t="str">
        <f>IF($T271=1,COUNTIF($T$2:$T271,1),"")</f>
        <v/>
      </c>
      <c r="V271" s="39" t="str">
        <f>IF($B271="","",IF(COUNTIF($B$2:$B271,$B271)=1,1,0))</f>
        <v/>
      </c>
      <c r="W271" s="39" t="str">
        <f>IF($V271=1,COUNTIF($V$2:$V271,1),"")</f>
        <v/>
      </c>
      <c r="X271" s="39" t="str">
        <f>IF($A271="","",IF(COUNTIF($A$2:$A271,$A271)=1,1,0))</f>
        <v/>
      </c>
      <c r="Y271" s="39" t="str">
        <f>IF($X271=1,COUNTIF($X$2:$X271,1),"")</f>
        <v/>
      </c>
      <c r="Z271" s="39">
        <f>IF(AND($E271="timed",$N271&gt;Settings!$C$8),1,0)</f>
        <v>0</v>
      </c>
      <c r="AA271" s="39">
        <f t="shared" si="76"/>
        <v>0</v>
      </c>
      <c r="AB271" s="39">
        <f t="shared" si="77"/>
        <v>0</v>
      </c>
      <c r="AC271" s="39" t="str">
        <f t="shared" si="78"/>
        <v/>
      </c>
      <c r="AD271" s="39" t="str">
        <f t="shared" si="79"/>
        <v/>
      </c>
      <c r="AE271" s="39" t="str">
        <f t="shared" si="80"/>
        <v/>
      </c>
      <c r="AF271" s="106" t="str">
        <f t="shared" si="81"/>
        <v/>
      </c>
      <c r="AG271" s="39">
        <f t="shared" si="82"/>
        <v>0</v>
      </c>
      <c r="AH271" s="39" t="str">
        <f t="shared" si="83"/>
        <v/>
      </c>
      <c r="AI271" s="39">
        <f>IF(AND($E271="timed",$N271&gt;=Settings!$C$9),1,0)</f>
        <v>0</v>
      </c>
      <c r="AJ271" s="39" t="str">
        <f>IF(OR($S271="",Settings!$C$16=""),"",IF($S271&lt;=Settings!$C$16,1,2))</f>
        <v/>
      </c>
      <c r="AK271" s="39" t="str">
        <f>IF($C271="","",IFERROR(IF(INDEX(Settings!$C$20:$C$59,MATCH($C271,Settings!$B$20:$B$59,0))="",Settings!$C$10,INDEX(Settings!$C$20:$C$59,MATCH($C271,Settings!$B$20:$B$59,0))),Settings!$C$10))</f>
        <v/>
      </c>
      <c r="AL271" s="108">
        <f t="shared" si="84"/>
        <v>0</v>
      </c>
      <c r="AM271" s="39" t="str">
        <f t="shared" si="85"/>
        <v/>
      </c>
      <c r="AN271" s="39" t="str">
        <f t="shared" si="86"/>
        <v/>
      </c>
      <c r="AO271" s="39" t="str">
        <f t="shared" si="87"/>
        <v/>
      </c>
      <c r="AP271" s="39">
        <f t="shared" si="88"/>
        <v>0</v>
      </c>
      <c r="AQ271" s="39">
        <f t="shared" si="89"/>
        <v>0</v>
      </c>
    </row>
    <row r="272" spans="14:43" x14ac:dyDescent="0.25">
      <c r="N272" s="105">
        <f t="shared" si="72"/>
        <v>0</v>
      </c>
      <c r="O272" s="106" t="str">
        <f>IF($F272="","",IF(ISNUMBER($F272),$F272+Settings!$C$7/24,IFERROR(DATEVALUE(LEFT($F272,10))+TIMEVALUE(MID($F272,12,8))+Settings!$C$7/24,"")))</f>
        <v/>
      </c>
      <c r="P272" s="106" t="str">
        <f>IF($G272="","",IF(ISNUMBER($G272),$G272+Settings!$C$7/24,IFERROR(DATEVALUE(LEFT($G272,10))+TIMEVALUE(MID($G272,12,8))+Settings!$C$7/24,"")))</f>
        <v/>
      </c>
      <c r="Q272" s="39" t="str">
        <f t="shared" si="73"/>
        <v/>
      </c>
      <c r="R272" s="39" t="str">
        <f t="shared" si="74"/>
        <v/>
      </c>
      <c r="S272" s="107" t="str">
        <f t="shared" si="75"/>
        <v/>
      </c>
      <c r="T272" s="39" t="str">
        <f>IF($C272="","",IF(COUNTIF($C$2:$C272,$C272)=1,1,0))</f>
        <v/>
      </c>
      <c r="U272" s="39" t="str">
        <f>IF($T272=1,COUNTIF($T$2:$T272,1),"")</f>
        <v/>
      </c>
      <c r="V272" s="39" t="str">
        <f>IF($B272="","",IF(COUNTIF($B$2:$B272,$B272)=1,1,0))</f>
        <v/>
      </c>
      <c r="W272" s="39" t="str">
        <f>IF($V272=1,COUNTIF($V$2:$V272,1),"")</f>
        <v/>
      </c>
      <c r="X272" s="39" t="str">
        <f>IF($A272="","",IF(COUNTIF($A$2:$A272,$A272)=1,1,0))</f>
        <v/>
      </c>
      <c r="Y272" s="39" t="str">
        <f>IF($X272=1,COUNTIF($X$2:$X272,1),"")</f>
        <v/>
      </c>
      <c r="Z272" s="39">
        <f>IF(AND($E272="timed",$N272&gt;Settings!$C$8),1,0)</f>
        <v>0</v>
      </c>
      <c r="AA272" s="39">
        <f t="shared" si="76"/>
        <v>0</v>
      </c>
      <c r="AB272" s="39">
        <f t="shared" si="77"/>
        <v>0</v>
      </c>
      <c r="AC272" s="39" t="str">
        <f t="shared" si="78"/>
        <v/>
      </c>
      <c r="AD272" s="39" t="str">
        <f t="shared" si="79"/>
        <v/>
      </c>
      <c r="AE272" s="39" t="str">
        <f t="shared" si="80"/>
        <v/>
      </c>
      <c r="AF272" s="106" t="str">
        <f t="shared" si="81"/>
        <v/>
      </c>
      <c r="AG272" s="39">
        <f t="shared" si="82"/>
        <v>0</v>
      </c>
      <c r="AH272" s="39" t="str">
        <f t="shared" si="83"/>
        <v/>
      </c>
      <c r="AI272" s="39">
        <f>IF(AND($E272="timed",$N272&gt;=Settings!$C$9),1,0)</f>
        <v>0</v>
      </c>
      <c r="AJ272" s="39" t="str">
        <f>IF(OR($S272="",Settings!$C$16=""),"",IF($S272&lt;=Settings!$C$16,1,2))</f>
        <v/>
      </c>
      <c r="AK272" s="39" t="str">
        <f>IF($C272="","",IFERROR(IF(INDEX(Settings!$C$20:$C$59,MATCH($C272,Settings!$B$20:$B$59,0))="",Settings!$C$10,INDEX(Settings!$C$20:$C$59,MATCH($C272,Settings!$B$20:$B$59,0))),Settings!$C$10))</f>
        <v/>
      </c>
      <c r="AL272" s="108">
        <f t="shared" si="84"/>
        <v>0</v>
      </c>
      <c r="AM272" s="39" t="str">
        <f t="shared" si="85"/>
        <v/>
      </c>
      <c r="AN272" s="39" t="str">
        <f t="shared" si="86"/>
        <v/>
      </c>
      <c r="AO272" s="39" t="str">
        <f t="shared" si="87"/>
        <v/>
      </c>
      <c r="AP272" s="39">
        <f t="shared" si="88"/>
        <v>0</v>
      </c>
      <c r="AQ272" s="39">
        <f t="shared" si="89"/>
        <v>0</v>
      </c>
    </row>
    <row r="273" spans="14:43" x14ac:dyDescent="0.25">
      <c r="N273" s="105">
        <f t="shared" si="72"/>
        <v>0</v>
      </c>
      <c r="O273" s="106" t="str">
        <f>IF($F273="","",IF(ISNUMBER($F273),$F273+Settings!$C$7/24,IFERROR(DATEVALUE(LEFT($F273,10))+TIMEVALUE(MID($F273,12,8))+Settings!$C$7/24,"")))</f>
        <v/>
      </c>
      <c r="P273" s="106" t="str">
        <f>IF($G273="","",IF(ISNUMBER($G273),$G273+Settings!$C$7/24,IFERROR(DATEVALUE(LEFT($G273,10))+TIMEVALUE(MID($G273,12,8))+Settings!$C$7/24,"")))</f>
        <v/>
      </c>
      <c r="Q273" s="39" t="str">
        <f t="shared" si="73"/>
        <v/>
      </c>
      <c r="R273" s="39" t="str">
        <f t="shared" si="74"/>
        <v/>
      </c>
      <c r="S273" s="107" t="str">
        <f t="shared" si="75"/>
        <v/>
      </c>
      <c r="T273" s="39" t="str">
        <f>IF($C273="","",IF(COUNTIF($C$2:$C273,$C273)=1,1,0))</f>
        <v/>
      </c>
      <c r="U273" s="39" t="str">
        <f>IF($T273=1,COUNTIF($T$2:$T273,1),"")</f>
        <v/>
      </c>
      <c r="V273" s="39" t="str">
        <f>IF($B273="","",IF(COUNTIF($B$2:$B273,$B273)=1,1,0))</f>
        <v/>
      </c>
      <c r="W273" s="39" t="str">
        <f>IF($V273=1,COUNTIF($V$2:$V273,1),"")</f>
        <v/>
      </c>
      <c r="X273" s="39" t="str">
        <f>IF($A273="","",IF(COUNTIF($A$2:$A273,$A273)=1,1,0))</f>
        <v/>
      </c>
      <c r="Y273" s="39" t="str">
        <f>IF($X273=1,COUNTIF($X$2:$X273,1),"")</f>
        <v/>
      </c>
      <c r="Z273" s="39">
        <f>IF(AND($E273="timed",$N273&gt;Settings!$C$8),1,0)</f>
        <v>0</v>
      </c>
      <c r="AA273" s="39">
        <f t="shared" si="76"/>
        <v>0</v>
      </c>
      <c r="AB273" s="39">
        <f t="shared" si="77"/>
        <v>0</v>
      </c>
      <c r="AC273" s="39" t="str">
        <f t="shared" si="78"/>
        <v/>
      </c>
      <c r="AD273" s="39" t="str">
        <f t="shared" si="79"/>
        <v/>
      </c>
      <c r="AE273" s="39" t="str">
        <f t="shared" si="80"/>
        <v/>
      </c>
      <c r="AF273" s="106" t="str">
        <f t="shared" si="81"/>
        <v/>
      </c>
      <c r="AG273" s="39">
        <f t="shared" si="82"/>
        <v>0</v>
      </c>
      <c r="AH273" s="39" t="str">
        <f t="shared" si="83"/>
        <v/>
      </c>
      <c r="AI273" s="39">
        <f>IF(AND($E273="timed",$N273&gt;=Settings!$C$9),1,0)</f>
        <v>0</v>
      </c>
      <c r="AJ273" s="39" t="str">
        <f>IF(OR($S273="",Settings!$C$16=""),"",IF($S273&lt;=Settings!$C$16,1,2))</f>
        <v/>
      </c>
      <c r="AK273" s="39" t="str">
        <f>IF($C273="","",IFERROR(IF(INDEX(Settings!$C$20:$C$59,MATCH($C273,Settings!$B$20:$B$59,0))="",Settings!$C$10,INDEX(Settings!$C$20:$C$59,MATCH($C273,Settings!$B$20:$B$59,0))),Settings!$C$10))</f>
        <v/>
      </c>
      <c r="AL273" s="108">
        <f t="shared" si="84"/>
        <v>0</v>
      </c>
      <c r="AM273" s="39" t="str">
        <f t="shared" si="85"/>
        <v/>
      </c>
      <c r="AN273" s="39" t="str">
        <f t="shared" si="86"/>
        <v/>
      </c>
      <c r="AO273" s="39" t="str">
        <f t="shared" si="87"/>
        <v/>
      </c>
      <c r="AP273" s="39">
        <f t="shared" si="88"/>
        <v>0</v>
      </c>
      <c r="AQ273" s="39">
        <f t="shared" si="89"/>
        <v>0</v>
      </c>
    </row>
    <row r="274" spans="14:43" x14ac:dyDescent="0.25">
      <c r="N274" s="105">
        <f t="shared" si="72"/>
        <v>0</v>
      </c>
      <c r="O274" s="106" t="str">
        <f>IF($F274="","",IF(ISNUMBER($F274),$F274+Settings!$C$7/24,IFERROR(DATEVALUE(LEFT($F274,10))+TIMEVALUE(MID($F274,12,8))+Settings!$C$7/24,"")))</f>
        <v/>
      </c>
      <c r="P274" s="106" t="str">
        <f>IF($G274="","",IF(ISNUMBER($G274),$G274+Settings!$C$7/24,IFERROR(DATEVALUE(LEFT($G274,10))+TIMEVALUE(MID($G274,12,8))+Settings!$C$7/24,"")))</f>
        <v/>
      </c>
      <c r="Q274" s="39" t="str">
        <f t="shared" si="73"/>
        <v/>
      </c>
      <c r="R274" s="39" t="str">
        <f t="shared" si="74"/>
        <v/>
      </c>
      <c r="S274" s="107" t="str">
        <f t="shared" si="75"/>
        <v/>
      </c>
      <c r="T274" s="39" t="str">
        <f>IF($C274="","",IF(COUNTIF($C$2:$C274,$C274)=1,1,0))</f>
        <v/>
      </c>
      <c r="U274" s="39" t="str">
        <f>IF($T274=1,COUNTIF($T$2:$T274,1),"")</f>
        <v/>
      </c>
      <c r="V274" s="39" t="str">
        <f>IF($B274="","",IF(COUNTIF($B$2:$B274,$B274)=1,1,0))</f>
        <v/>
      </c>
      <c r="W274" s="39" t="str">
        <f>IF($V274=1,COUNTIF($V$2:$V274,1),"")</f>
        <v/>
      </c>
      <c r="X274" s="39" t="str">
        <f>IF($A274="","",IF(COUNTIF($A$2:$A274,$A274)=1,1,0))</f>
        <v/>
      </c>
      <c r="Y274" s="39" t="str">
        <f>IF($X274=1,COUNTIF($X$2:$X274,1),"")</f>
        <v/>
      </c>
      <c r="Z274" s="39">
        <f>IF(AND($E274="timed",$N274&gt;Settings!$C$8),1,0)</f>
        <v>0</v>
      </c>
      <c r="AA274" s="39">
        <f t="shared" si="76"/>
        <v>0</v>
      </c>
      <c r="AB274" s="39">
        <f t="shared" si="77"/>
        <v>0</v>
      </c>
      <c r="AC274" s="39" t="str">
        <f t="shared" si="78"/>
        <v/>
      </c>
      <c r="AD274" s="39" t="str">
        <f t="shared" si="79"/>
        <v/>
      </c>
      <c r="AE274" s="39" t="str">
        <f t="shared" si="80"/>
        <v/>
      </c>
      <c r="AF274" s="106" t="str">
        <f t="shared" si="81"/>
        <v/>
      </c>
      <c r="AG274" s="39">
        <f t="shared" si="82"/>
        <v>0</v>
      </c>
      <c r="AH274" s="39" t="str">
        <f t="shared" si="83"/>
        <v/>
      </c>
      <c r="AI274" s="39">
        <f>IF(AND($E274="timed",$N274&gt;=Settings!$C$9),1,0)</f>
        <v>0</v>
      </c>
      <c r="AJ274" s="39" t="str">
        <f>IF(OR($S274="",Settings!$C$16=""),"",IF($S274&lt;=Settings!$C$16,1,2))</f>
        <v/>
      </c>
      <c r="AK274" s="39" t="str">
        <f>IF($C274="","",IFERROR(IF(INDEX(Settings!$C$20:$C$59,MATCH($C274,Settings!$B$20:$B$59,0))="",Settings!$C$10,INDEX(Settings!$C$20:$C$59,MATCH($C274,Settings!$B$20:$B$59,0))),Settings!$C$10))</f>
        <v/>
      </c>
      <c r="AL274" s="108">
        <f t="shared" si="84"/>
        <v>0</v>
      </c>
      <c r="AM274" s="39" t="str">
        <f t="shared" si="85"/>
        <v/>
      </c>
      <c r="AN274" s="39" t="str">
        <f t="shared" si="86"/>
        <v/>
      </c>
      <c r="AO274" s="39" t="str">
        <f t="shared" si="87"/>
        <v/>
      </c>
      <c r="AP274" s="39">
        <f t="shared" si="88"/>
        <v>0</v>
      </c>
      <c r="AQ274" s="39">
        <f t="shared" si="89"/>
        <v>0</v>
      </c>
    </row>
    <row r="275" spans="14:43" x14ac:dyDescent="0.25">
      <c r="N275" s="105">
        <f t="shared" si="72"/>
        <v>0</v>
      </c>
      <c r="O275" s="106" t="str">
        <f>IF($F275="","",IF(ISNUMBER($F275),$F275+Settings!$C$7/24,IFERROR(DATEVALUE(LEFT($F275,10))+TIMEVALUE(MID($F275,12,8))+Settings!$C$7/24,"")))</f>
        <v/>
      </c>
      <c r="P275" s="106" t="str">
        <f>IF($G275="","",IF(ISNUMBER($G275),$G275+Settings!$C$7/24,IFERROR(DATEVALUE(LEFT($G275,10))+TIMEVALUE(MID($G275,12,8))+Settings!$C$7/24,"")))</f>
        <v/>
      </c>
      <c r="Q275" s="39" t="str">
        <f t="shared" si="73"/>
        <v/>
      </c>
      <c r="R275" s="39" t="str">
        <f t="shared" si="74"/>
        <v/>
      </c>
      <c r="S275" s="107" t="str">
        <f t="shared" si="75"/>
        <v/>
      </c>
      <c r="T275" s="39" t="str">
        <f>IF($C275="","",IF(COUNTIF($C$2:$C275,$C275)=1,1,0))</f>
        <v/>
      </c>
      <c r="U275" s="39" t="str">
        <f>IF($T275=1,COUNTIF($T$2:$T275,1),"")</f>
        <v/>
      </c>
      <c r="V275" s="39" t="str">
        <f>IF($B275="","",IF(COUNTIF($B$2:$B275,$B275)=1,1,0))</f>
        <v/>
      </c>
      <c r="W275" s="39" t="str">
        <f>IF($V275=1,COUNTIF($V$2:$V275,1),"")</f>
        <v/>
      </c>
      <c r="X275" s="39" t="str">
        <f>IF($A275="","",IF(COUNTIF($A$2:$A275,$A275)=1,1,0))</f>
        <v/>
      </c>
      <c r="Y275" s="39" t="str">
        <f>IF($X275=1,COUNTIF($X$2:$X275,1),"")</f>
        <v/>
      </c>
      <c r="Z275" s="39">
        <f>IF(AND($E275="timed",$N275&gt;Settings!$C$8),1,0)</f>
        <v>0</v>
      </c>
      <c r="AA275" s="39">
        <f t="shared" si="76"/>
        <v>0</v>
      </c>
      <c r="AB275" s="39">
        <f t="shared" si="77"/>
        <v>0</v>
      </c>
      <c r="AC275" s="39" t="str">
        <f t="shared" si="78"/>
        <v/>
      </c>
      <c r="AD275" s="39" t="str">
        <f t="shared" si="79"/>
        <v/>
      </c>
      <c r="AE275" s="39" t="str">
        <f t="shared" si="80"/>
        <v/>
      </c>
      <c r="AF275" s="106" t="str">
        <f t="shared" si="81"/>
        <v/>
      </c>
      <c r="AG275" s="39">
        <f t="shared" si="82"/>
        <v>0</v>
      </c>
      <c r="AH275" s="39" t="str">
        <f t="shared" si="83"/>
        <v/>
      </c>
      <c r="AI275" s="39">
        <f>IF(AND($E275="timed",$N275&gt;=Settings!$C$9),1,0)</f>
        <v>0</v>
      </c>
      <c r="AJ275" s="39" t="str">
        <f>IF(OR($S275="",Settings!$C$16=""),"",IF($S275&lt;=Settings!$C$16,1,2))</f>
        <v/>
      </c>
      <c r="AK275" s="39" t="str">
        <f>IF($C275="","",IFERROR(IF(INDEX(Settings!$C$20:$C$59,MATCH($C275,Settings!$B$20:$B$59,0))="",Settings!$C$10,INDEX(Settings!$C$20:$C$59,MATCH($C275,Settings!$B$20:$B$59,0))),Settings!$C$10))</f>
        <v/>
      </c>
      <c r="AL275" s="108">
        <f t="shared" si="84"/>
        <v>0</v>
      </c>
      <c r="AM275" s="39" t="str">
        <f t="shared" si="85"/>
        <v/>
      </c>
      <c r="AN275" s="39" t="str">
        <f t="shared" si="86"/>
        <v/>
      </c>
      <c r="AO275" s="39" t="str">
        <f t="shared" si="87"/>
        <v/>
      </c>
      <c r="AP275" s="39">
        <f t="shared" si="88"/>
        <v>0</v>
      </c>
      <c r="AQ275" s="39">
        <f t="shared" si="89"/>
        <v>0</v>
      </c>
    </row>
    <row r="276" spans="14:43" x14ac:dyDescent="0.25">
      <c r="N276" s="105">
        <f t="shared" si="72"/>
        <v>0</v>
      </c>
      <c r="O276" s="106" t="str">
        <f>IF($F276="","",IF(ISNUMBER($F276),$F276+Settings!$C$7/24,IFERROR(DATEVALUE(LEFT($F276,10))+TIMEVALUE(MID($F276,12,8))+Settings!$C$7/24,"")))</f>
        <v/>
      </c>
      <c r="P276" s="106" t="str">
        <f>IF($G276="","",IF(ISNUMBER($G276),$G276+Settings!$C$7/24,IFERROR(DATEVALUE(LEFT($G276,10))+TIMEVALUE(MID($G276,12,8))+Settings!$C$7/24,"")))</f>
        <v/>
      </c>
      <c r="Q276" s="39" t="str">
        <f t="shared" si="73"/>
        <v/>
      </c>
      <c r="R276" s="39" t="str">
        <f t="shared" si="74"/>
        <v/>
      </c>
      <c r="S276" s="107" t="str">
        <f t="shared" si="75"/>
        <v/>
      </c>
      <c r="T276" s="39" t="str">
        <f>IF($C276="","",IF(COUNTIF($C$2:$C276,$C276)=1,1,0))</f>
        <v/>
      </c>
      <c r="U276" s="39" t="str">
        <f>IF($T276=1,COUNTIF($T$2:$T276,1),"")</f>
        <v/>
      </c>
      <c r="V276" s="39" t="str">
        <f>IF($B276="","",IF(COUNTIF($B$2:$B276,$B276)=1,1,0))</f>
        <v/>
      </c>
      <c r="W276" s="39" t="str">
        <f>IF($V276=1,COUNTIF($V$2:$V276,1),"")</f>
        <v/>
      </c>
      <c r="X276" s="39" t="str">
        <f>IF($A276="","",IF(COUNTIF($A$2:$A276,$A276)=1,1,0))</f>
        <v/>
      </c>
      <c r="Y276" s="39" t="str">
        <f>IF($X276=1,COUNTIF($X$2:$X276,1),"")</f>
        <v/>
      </c>
      <c r="Z276" s="39">
        <f>IF(AND($E276="timed",$N276&gt;Settings!$C$8),1,0)</f>
        <v>0</v>
      </c>
      <c r="AA276" s="39">
        <f t="shared" si="76"/>
        <v>0</v>
      </c>
      <c r="AB276" s="39">
        <f t="shared" si="77"/>
        <v>0</v>
      </c>
      <c r="AC276" s="39" t="str">
        <f t="shared" si="78"/>
        <v/>
      </c>
      <c r="AD276" s="39" t="str">
        <f t="shared" si="79"/>
        <v/>
      </c>
      <c r="AE276" s="39" t="str">
        <f t="shared" si="80"/>
        <v/>
      </c>
      <c r="AF276" s="106" t="str">
        <f t="shared" si="81"/>
        <v/>
      </c>
      <c r="AG276" s="39">
        <f t="shared" si="82"/>
        <v>0</v>
      </c>
      <c r="AH276" s="39" t="str">
        <f t="shared" si="83"/>
        <v/>
      </c>
      <c r="AI276" s="39">
        <f>IF(AND($E276="timed",$N276&gt;=Settings!$C$9),1,0)</f>
        <v>0</v>
      </c>
      <c r="AJ276" s="39" t="str">
        <f>IF(OR($S276="",Settings!$C$16=""),"",IF($S276&lt;=Settings!$C$16,1,2))</f>
        <v/>
      </c>
      <c r="AK276" s="39" t="str">
        <f>IF($C276="","",IFERROR(IF(INDEX(Settings!$C$20:$C$59,MATCH($C276,Settings!$B$20:$B$59,0))="",Settings!$C$10,INDEX(Settings!$C$20:$C$59,MATCH($C276,Settings!$B$20:$B$59,0))),Settings!$C$10))</f>
        <v/>
      </c>
      <c r="AL276" s="108">
        <f t="shared" si="84"/>
        <v>0</v>
      </c>
      <c r="AM276" s="39" t="str">
        <f t="shared" si="85"/>
        <v/>
      </c>
      <c r="AN276" s="39" t="str">
        <f t="shared" si="86"/>
        <v/>
      </c>
      <c r="AO276" s="39" t="str">
        <f t="shared" si="87"/>
        <v/>
      </c>
      <c r="AP276" s="39">
        <f t="shared" si="88"/>
        <v>0</v>
      </c>
      <c r="AQ276" s="39">
        <f t="shared" si="89"/>
        <v>0</v>
      </c>
    </row>
    <row r="277" spans="14:43" x14ac:dyDescent="0.25">
      <c r="N277" s="105">
        <f t="shared" si="72"/>
        <v>0</v>
      </c>
      <c r="O277" s="106" t="str">
        <f>IF($F277="","",IF(ISNUMBER($F277),$F277+Settings!$C$7/24,IFERROR(DATEVALUE(LEFT($F277,10))+TIMEVALUE(MID($F277,12,8))+Settings!$C$7/24,"")))</f>
        <v/>
      </c>
      <c r="P277" s="106" t="str">
        <f>IF($G277="","",IF(ISNUMBER($G277),$G277+Settings!$C$7/24,IFERROR(DATEVALUE(LEFT($G277,10))+TIMEVALUE(MID($G277,12,8))+Settings!$C$7/24,"")))</f>
        <v/>
      </c>
      <c r="Q277" s="39" t="str">
        <f t="shared" si="73"/>
        <v/>
      </c>
      <c r="R277" s="39" t="str">
        <f t="shared" si="74"/>
        <v/>
      </c>
      <c r="S277" s="107" t="str">
        <f t="shared" si="75"/>
        <v/>
      </c>
      <c r="T277" s="39" t="str">
        <f>IF($C277="","",IF(COUNTIF($C$2:$C277,$C277)=1,1,0))</f>
        <v/>
      </c>
      <c r="U277" s="39" t="str">
        <f>IF($T277=1,COUNTIF($T$2:$T277,1),"")</f>
        <v/>
      </c>
      <c r="V277" s="39" t="str">
        <f>IF($B277="","",IF(COUNTIF($B$2:$B277,$B277)=1,1,0))</f>
        <v/>
      </c>
      <c r="W277" s="39" t="str">
        <f>IF($V277=1,COUNTIF($V$2:$V277,1),"")</f>
        <v/>
      </c>
      <c r="X277" s="39" t="str">
        <f>IF($A277="","",IF(COUNTIF($A$2:$A277,$A277)=1,1,0))</f>
        <v/>
      </c>
      <c r="Y277" s="39" t="str">
        <f>IF($X277=1,COUNTIF($X$2:$X277,1),"")</f>
        <v/>
      </c>
      <c r="Z277" s="39">
        <f>IF(AND($E277="timed",$N277&gt;Settings!$C$8),1,0)</f>
        <v>0</v>
      </c>
      <c r="AA277" s="39">
        <f t="shared" si="76"/>
        <v>0</v>
      </c>
      <c r="AB277" s="39">
        <f t="shared" si="77"/>
        <v>0</v>
      </c>
      <c r="AC277" s="39" t="str">
        <f t="shared" si="78"/>
        <v/>
      </c>
      <c r="AD277" s="39" t="str">
        <f t="shared" si="79"/>
        <v/>
      </c>
      <c r="AE277" s="39" t="str">
        <f t="shared" si="80"/>
        <v/>
      </c>
      <c r="AF277" s="106" t="str">
        <f t="shared" si="81"/>
        <v/>
      </c>
      <c r="AG277" s="39">
        <f t="shared" si="82"/>
        <v>0</v>
      </c>
      <c r="AH277" s="39" t="str">
        <f t="shared" si="83"/>
        <v/>
      </c>
      <c r="AI277" s="39">
        <f>IF(AND($E277="timed",$N277&gt;=Settings!$C$9),1,0)</f>
        <v>0</v>
      </c>
      <c r="AJ277" s="39" t="str">
        <f>IF(OR($S277="",Settings!$C$16=""),"",IF($S277&lt;=Settings!$C$16,1,2))</f>
        <v/>
      </c>
      <c r="AK277" s="39" t="str">
        <f>IF($C277="","",IFERROR(IF(INDEX(Settings!$C$20:$C$59,MATCH($C277,Settings!$B$20:$B$59,0))="",Settings!$C$10,INDEX(Settings!$C$20:$C$59,MATCH($C277,Settings!$B$20:$B$59,0))),Settings!$C$10))</f>
        <v/>
      </c>
      <c r="AL277" s="108">
        <f t="shared" si="84"/>
        <v>0</v>
      </c>
      <c r="AM277" s="39" t="str">
        <f t="shared" si="85"/>
        <v/>
      </c>
      <c r="AN277" s="39" t="str">
        <f t="shared" si="86"/>
        <v/>
      </c>
      <c r="AO277" s="39" t="str">
        <f t="shared" si="87"/>
        <v/>
      </c>
      <c r="AP277" s="39">
        <f t="shared" si="88"/>
        <v>0</v>
      </c>
      <c r="AQ277" s="39">
        <f t="shared" si="89"/>
        <v>0</v>
      </c>
    </row>
    <row r="278" spans="14:43" x14ac:dyDescent="0.25">
      <c r="N278" s="105">
        <f t="shared" si="72"/>
        <v>0</v>
      </c>
      <c r="O278" s="106" t="str">
        <f>IF($F278="","",IF(ISNUMBER($F278),$F278+Settings!$C$7/24,IFERROR(DATEVALUE(LEFT($F278,10))+TIMEVALUE(MID($F278,12,8))+Settings!$C$7/24,"")))</f>
        <v/>
      </c>
      <c r="P278" s="106" t="str">
        <f>IF($G278="","",IF(ISNUMBER($G278),$G278+Settings!$C$7/24,IFERROR(DATEVALUE(LEFT($G278,10))+TIMEVALUE(MID($G278,12,8))+Settings!$C$7/24,"")))</f>
        <v/>
      </c>
      <c r="Q278" s="39" t="str">
        <f t="shared" si="73"/>
        <v/>
      </c>
      <c r="R278" s="39" t="str">
        <f t="shared" si="74"/>
        <v/>
      </c>
      <c r="S278" s="107" t="str">
        <f t="shared" si="75"/>
        <v/>
      </c>
      <c r="T278" s="39" t="str">
        <f>IF($C278="","",IF(COUNTIF($C$2:$C278,$C278)=1,1,0))</f>
        <v/>
      </c>
      <c r="U278" s="39" t="str">
        <f>IF($T278=1,COUNTIF($T$2:$T278,1),"")</f>
        <v/>
      </c>
      <c r="V278" s="39" t="str">
        <f>IF($B278="","",IF(COUNTIF($B$2:$B278,$B278)=1,1,0))</f>
        <v/>
      </c>
      <c r="W278" s="39" t="str">
        <f>IF($V278=1,COUNTIF($V$2:$V278,1),"")</f>
        <v/>
      </c>
      <c r="X278" s="39" t="str">
        <f>IF($A278="","",IF(COUNTIF($A$2:$A278,$A278)=1,1,0))</f>
        <v/>
      </c>
      <c r="Y278" s="39" t="str">
        <f>IF($X278=1,COUNTIF($X$2:$X278,1),"")</f>
        <v/>
      </c>
      <c r="Z278" s="39">
        <f>IF(AND($E278="timed",$N278&gt;Settings!$C$8),1,0)</f>
        <v>0</v>
      </c>
      <c r="AA278" s="39">
        <f t="shared" si="76"/>
        <v>0</v>
      </c>
      <c r="AB278" s="39">
        <f t="shared" si="77"/>
        <v>0</v>
      </c>
      <c r="AC278" s="39" t="str">
        <f t="shared" si="78"/>
        <v/>
      </c>
      <c r="AD278" s="39" t="str">
        <f t="shared" si="79"/>
        <v/>
      </c>
      <c r="AE278" s="39" t="str">
        <f t="shared" si="80"/>
        <v/>
      </c>
      <c r="AF278" s="106" t="str">
        <f t="shared" si="81"/>
        <v/>
      </c>
      <c r="AG278" s="39">
        <f t="shared" si="82"/>
        <v>0</v>
      </c>
      <c r="AH278" s="39" t="str">
        <f t="shared" si="83"/>
        <v/>
      </c>
      <c r="AI278" s="39">
        <f>IF(AND($E278="timed",$N278&gt;=Settings!$C$9),1,0)</f>
        <v>0</v>
      </c>
      <c r="AJ278" s="39" t="str">
        <f>IF(OR($S278="",Settings!$C$16=""),"",IF($S278&lt;=Settings!$C$16,1,2))</f>
        <v/>
      </c>
      <c r="AK278" s="39" t="str">
        <f>IF($C278="","",IFERROR(IF(INDEX(Settings!$C$20:$C$59,MATCH($C278,Settings!$B$20:$B$59,0))="",Settings!$C$10,INDEX(Settings!$C$20:$C$59,MATCH($C278,Settings!$B$20:$B$59,0))),Settings!$C$10))</f>
        <v/>
      </c>
      <c r="AL278" s="108">
        <f t="shared" si="84"/>
        <v>0</v>
      </c>
      <c r="AM278" s="39" t="str">
        <f t="shared" si="85"/>
        <v/>
      </c>
      <c r="AN278" s="39" t="str">
        <f t="shared" si="86"/>
        <v/>
      </c>
      <c r="AO278" s="39" t="str">
        <f t="shared" si="87"/>
        <v/>
      </c>
      <c r="AP278" s="39">
        <f t="shared" si="88"/>
        <v>0</v>
      </c>
      <c r="AQ278" s="39">
        <f t="shared" si="89"/>
        <v>0</v>
      </c>
    </row>
    <row r="279" spans="14:43" x14ac:dyDescent="0.25">
      <c r="N279" s="105">
        <f t="shared" si="72"/>
        <v>0</v>
      </c>
      <c r="O279" s="106" t="str">
        <f>IF($F279="","",IF(ISNUMBER($F279),$F279+Settings!$C$7/24,IFERROR(DATEVALUE(LEFT($F279,10))+TIMEVALUE(MID($F279,12,8))+Settings!$C$7/24,"")))</f>
        <v/>
      </c>
      <c r="P279" s="106" t="str">
        <f>IF($G279="","",IF(ISNUMBER($G279),$G279+Settings!$C$7/24,IFERROR(DATEVALUE(LEFT($G279,10))+TIMEVALUE(MID($G279,12,8))+Settings!$C$7/24,"")))</f>
        <v/>
      </c>
      <c r="Q279" s="39" t="str">
        <f t="shared" si="73"/>
        <v/>
      </c>
      <c r="R279" s="39" t="str">
        <f t="shared" si="74"/>
        <v/>
      </c>
      <c r="S279" s="107" t="str">
        <f t="shared" si="75"/>
        <v/>
      </c>
      <c r="T279" s="39" t="str">
        <f>IF($C279="","",IF(COUNTIF($C$2:$C279,$C279)=1,1,0))</f>
        <v/>
      </c>
      <c r="U279" s="39" t="str">
        <f>IF($T279=1,COUNTIF($T$2:$T279,1),"")</f>
        <v/>
      </c>
      <c r="V279" s="39" t="str">
        <f>IF($B279="","",IF(COUNTIF($B$2:$B279,$B279)=1,1,0))</f>
        <v/>
      </c>
      <c r="W279" s="39" t="str">
        <f>IF($V279=1,COUNTIF($V$2:$V279,1),"")</f>
        <v/>
      </c>
      <c r="X279" s="39" t="str">
        <f>IF($A279="","",IF(COUNTIF($A$2:$A279,$A279)=1,1,0))</f>
        <v/>
      </c>
      <c r="Y279" s="39" t="str">
        <f>IF($X279=1,COUNTIF($X$2:$X279,1),"")</f>
        <v/>
      </c>
      <c r="Z279" s="39">
        <f>IF(AND($E279="timed",$N279&gt;Settings!$C$8),1,0)</f>
        <v>0</v>
      </c>
      <c r="AA279" s="39">
        <f t="shared" si="76"/>
        <v>0</v>
      </c>
      <c r="AB279" s="39">
        <f t="shared" si="77"/>
        <v>0</v>
      </c>
      <c r="AC279" s="39" t="str">
        <f t="shared" si="78"/>
        <v/>
      </c>
      <c r="AD279" s="39" t="str">
        <f t="shared" si="79"/>
        <v/>
      </c>
      <c r="AE279" s="39" t="str">
        <f t="shared" si="80"/>
        <v/>
      </c>
      <c r="AF279" s="106" t="str">
        <f t="shared" si="81"/>
        <v/>
      </c>
      <c r="AG279" s="39">
        <f t="shared" si="82"/>
        <v>0</v>
      </c>
      <c r="AH279" s="39" t="str">
        <f t="shared" si="83"/>
        <v/>
      </c>
      <c r="AI279" s="39">
        <f>IF(AND($E279="timed",$N279&gt;=Settings!$C$9),1,0)</f>
        <v>0</v>
      </c>
      <c r="AJ279" s="39" t="str">
        <f>IF(OR($S279="",Settings!$C$16=""),"",IF($S279&lt;=Settings!$C$16,1,2))</f>
        <v/>
      </c>
      <c r="AK279" s="39" t="str">
        <f>IF($C279="","",IFERROR(IF(INDEX(Settings!$C$20:$C$59,MATCH($C279,Settings!$B$20:$B$59,0))="",Settings!$C$10,INDEX(Settings!$C$20:$C$59,MATCH($C279,Settings!$B$20:$B$59,0))),Settings!$C$10))</f>
        <v/>
      </c>
      <c r="AL279" s="108">
        <f t="shared" si="84"/>
        <v>0</v>
      </c>
      <c r="AM279" s="39" t="str">
        <f t="shared" si="85"/>
        <v/>
      </c>
      <c r="AN279" s="39" t="str">
        <f t="shared" si="86"/>
        <v/>
      </c>
      <c r="AO279" s="39" t="str">
        <f t="shared" si="87"/>
        <v/>
      </c>
      <c r="AP279" s="39">
        <f t="shared" si="88"/>
        <v>0</v>
      </c>
      <c r="AQ279" s="39">
        <f t="shared" si="89"/>
        <v>0</v>
      </c>
    </row>
    <row r="280" spans="14:43" x14ac:dyDescent="0.25">
      <c r="N280" s="105">
        <f t="shared" si="72"/>
        <v>0</v>
      </c>
      <c r="O280" s="106" t="str">
        <f>IF($F280="","",IF(ISNUMBER($F280),$F280+Settings!$C$7/24,IFERROR(DATEVALUE(LEFT($F280,10))+TIMEVALUE(MID($F280,12,8))+Settings!$C$7/24,"")))</f>
        <v/>
      </c>
      <c r="P280" s="106" t="str">
        <f>IF($G280="","",IF(ISNUMBER($G280),$G280+Settings!$C$7/24,IFERROR(DATEVALUE(LEFT($G280,10))+TIMEVALUE(MID($G280,12,8))+Settings!$C$7/24,"")))</f>
        <v/>
      </c>
      <c r="Q280" s="39" t="str">
        <f t="shared" si="73"/>
        <v/>
      </c>
      <c r="R280" s="39" t="str">
        <f t="shared" si="74"/>
        <v/>
      </c>
      <c r="S280" s="107" t="str">
        <f t="shared" si="75"/>
        <v/>
      </c>
      <c r="T280" s="39" t="str">
        <f>IF($C280="","",IF(COUNTIF($C$2:$C280,$C280)=1,1,0))</f>
        <v/>
      </c>
      <c r="U280" s="39" t="str">
        <f>IF($T280=1,COUNTIF($T$2:$T280,1),"")</f>
        <v/>
      </c>
      <c r="V280" s="39" t="str">
        <f>IF($B280="","",IF(COUNTIF($B$2:$B280,$B280)=1,1,0))</f>
        <v/>
      </c>
      <c r="W280" s="39" t="str">
        <f>IF($V280=1,COUNTIF($V$2:$V280,1),"")</f>
        <v/>
      </c>
      <c r="X280" s="39" t="str">
        <f>IF($A280="","",IF(COUNTIF($A$2:$A280,$A280)=1,1,0))</f>
        <v/>
      </c>
      <c r="Y280" s="39" t="str">
        <f>IF($X280=1,COUNTIF($X$2:$X280,1),"")</f>
        <v/>
      </c>
      <c r="Z280" s="39">
        <f>IF(AND($E280="timed",$N280&gt;Settings!$C$8),1,0)</f>
        <v>0</v>
      </c>
      <c r="AA280" s="39">
        <f t="shared" si="76"/>
        <v>0</v>
      </c>
      <c r="AB280" s="39">
        <f t="shared" si="77"/>
        <v>0</v>
      </c>
      <c r="AC280" s="39" t="str">
        <f t="shared" si="78"/>
        <v/>
      </c>
      <c r="AD280" s="39" t="str">
        <f t="shared" si="79"/>
        <v/>
      </c>
      <c r="AE280" s="39" t="str">
        <f t="shared" si="80"/>
        <v/>
      </c>
      <c r="AF280" s="106" t="str">
        <f t="shared" si="81"/>
        <v/>
      </c>
      <c r="AG280" s="39">
        <f t="shared" si="82"/>
        <v>0</v>
      </c>
      <c r="AH280" s="39" t="str">
        <f t="shared" si="83"/>
        <v/>
      </c>
      <c r="AI280" s="39">
        <f>IF(AND($E280="timed",$N280&gt;=Settings!$C$9),1,0)</f>
        <v>0</v>
      </c>
      <c r="AJ280" s="39" t="str">
        <f>IF(OR($S280="",Settings!$C$16=""),"",IF($S280&lt;=Settings!$C$16,1,2))</f>
        <v/>
      </c>
      <c r="AK280" s="39" t="str">
        <f>IF($C280="","",IFERROR(IF(INDEX(Settings!$C$20:$C$59,MATCH($C280,Settings!$B$20:$B$59,0))="",Settings!$C$10,INDEX(Settings!$C$20:$C$59,MATCH($C280,Settings!$B$20:$B$59,0))),Settings!$C$10))</f>
        <v/>
      </c>
      <c r="AL280" s="108">
        <f t="shared" si="84"/>
        <v>0</v>
      </c>
      <c r="AM280" s="39" t="str">
        <f t="shared" si="85"/>
        <v/>
      </c>
      <c r="AN280" s="39" t="str">
        <f t="shared" si="86"/>
        <v/>
      </c>
      <c r="AO280" s="39" t="str">
        <f t="shared" si="87"/>
        <v/>
      </c>
      <c r="AP280" s="39">
        <f t="shared" si="88"/>
        <v>0</v>
      </c>
      <c r="AQ280" s="39">
        <f t="shared" si="89"/>
        <v>0</v>
      </c>
    </row>
    <row r="281" spans="14:43" x14ac:dyDescent="0.25">
      <c r="N281" s="105">
        <f t="shared" si="72"/>
        <v>0</v>
      </c>
      <c r="O281" s="106" t="str">
        <f>IF($F281="","",IF(ISNUMBER($F281),$F281+Settings!$C$7/24,IFERROR(DATEVALUE(LEFT($F281,10))+TIMEVALUE(MID($F281,12,8))+Settings!$C$7/24,"")))</f>
        <v/>
      </c>
      <c r="P281" s="106" t="str">
        <f>IF($G281="","",IF(ISNUMBER($G281),$G281+Settings!$C$7/24,IFERROR(DATEVALUE(LEFT($G281,10))+TIMEVALUE(MID($G281,12,8))+Settings!$C$7/24,"")))</f>
        <v/>
      </c>
      <c r="Q281" s="39" t="str">
        <f t="shared" si="73"/>
        <v/>
      </c>
      <c r="R281" s="39" t="str">
        <f t="shared" si="74"/>
        <v/>
      </c>
      <c r="S281" s="107" t="str">
        <f t="shared" si="75"/>
        <v/>
      </c>
      <c r="T281" s="39" t="str">
        <f>IF($C281="","",IF(COUNTIF($C$2:$C281,$C281)=1,1,0))</f>
        <v/>
      </c>
      <c r="U281" s="39" t="str">
        <f>IF($T281=1,COUNTIF($T$2:$T281,1),"")</f>
        <v/>
      </c>
      <c r="V281" s="39" t="str">
        <f>IF($B281="","",IF(COUNTIF($B$2:$B281,$B281)=1,1,0))</f>
        <v/>
      </c>
      <c r="W281" s="39" t="str">
        <f>IF($V281=1,COUNTIF($V$2:$V281,1),"")</f>
        <v/>
      </c>
      <c r="X281" s="39" t="str">
        <f>IF($A281="","",IF(COUNTIF($A$2:$A281,$A281)=1,1,0))</f>
        <v/>
      </c>
      <c r="Y281" s="39" t="str">
        <f>IF($X281=1,COUNTIF($X$2:$X281,1),"")</f>
        <v/>
      </c>
      <c r="Z281" s="39">
        <f>IF(AND($E281="timed",$N281&gt;Settings!$C$8),1,0)</f>
        <v>0</v>
      </c>
      <c r="AA281" s="39">
        <f t="shared" si="76"/>
        <v>0</v>
      </c>
      <c r="AB281" s="39">
        <f t="shared" si="77"/>
        <v>0</v>
      </c>
      <c r="AC281" s="39" t="str">
        <f t="shared" si="78"/>
        <v/>
      </c>
      <c r="AD281" s="39" t="str">
        <f t="shared" si="79"/>
        <v/>
      </c>
      <c r="AE281" s="39" t="str">
        <f t="shared" si="80"/>
        <v/>
      </c>
      <c r="AF281" s="106" t="str">
        <f t="shared" si="81"/>
        <v/>
      </c>
      <c r="AG281" s="39">
        <f t="shared" si="82"/>
        <v>0</v>
      </c>
      <c r="AH281" s="39" t="str">
        <f t="shared" si="83"/>
        <v/>
      </c>
      <c r="AI281" s="39">
        <f>IF(AND($E281="timed",$N281&gt;=Settings!$C$9),1,0)</f>
        <v>0</v>
      </c>
      <c r="AJ281" s="39" t="str">
        <f>IF(OR($S281="",Settings!$C$16=""),"",IF($S281&lt;=Settings!$C$16,1,2))</f>
        <v/>
      </c>
      <c r="AK281" s="39" t="str">
        <f>IF($C281="","",IFERROR(IF(INDEX(Settings!$C$20:$C$59,MATCH($C281,Settings!$B$20:$B$59,0))="",Settings!$C$10,INDEX(Settings!$C$20:$C$59,MATCH($C281,Settings!$B$20:$B$59,0))),Settings!$C$10))</f>
        <v/>
      </c>
      <c r="AL281" s="108">
        <f t="shared" si="84"/>
        <v>0</v>
      </c>
      <c r="AM281" s="39" t="str">
        <f t="shared" si="85"/>
        <v/>
      </c>
      <c r="AN281" s="39" t="str">
        <f t="shared" si="86"/>
        <v/>
      </c>
      <c r="AO281" s="39" t="str">
        <f t="shared" si="87"/>
        <v/>
      </c>
      <c r="AP281" s="39">
        <f t="shared" si="88"/>
        <v>0</v>
      </c>
      <c r="AQ281" s="39">
        <f t="shared" si="89"/>
        <v>0</v>
      </c>
    </row>
    <row r="282" spans="14:43" x14ac:dyDescent="0.25">
      <c r="N282" s="105">
        <f t="shared" si="72"/>
        <v>0</v>
      </c>
      <c r="O282" s="106" t="str">
        <f>IF($F282="","",IF(ISNUMBER($F282),$F282+Settings!$C$7/24,IFERROR(DATEVALUE(LEFT($F282,10))+TIMEVALUE(MID($F282,12,8))+Settings!$C$7/24,"")))</f>
        <v/>
      </c>
      <c r="P282" s="106" t="str">
        <f>IF($G282="","",IF(ISNUMBER($G282),$G282+Settings!$C$7/24,IFERROR(DATEVALUE(LEFT($G282,10))+TIMEVALUE(MID($G282,12,8))+Settings!$C$7/24,"")))</f>
        <v/>
      </c>
      <c r="Q282" s="39" t="str">
        <f t="shared" si="73"/>
        <v/>
      </c>
      <c r="R282" s="39" t="str">
        <f t="shared" si="74"/>
        <v/>
      </c>
      <c r="S282" s="107" t="str">
        <f t="shared" si="75"/>
        <v/>
      </c>
      <c r="T282" s="39" t="str">
        <f>IF($C282="","",IF(COUNTIF($C$2:$C282,$C282)=1,1,0))</f>
        <v/>
      </c>
      <c r="U282" s="39" t="str">
        <f>IF($T282=1,COUNTIF($T$2:$T282,1),"")</f>
        <v/>
      </c>
      <c r="V282" s="39" t="str">
        <f>IF($B282="","",IF(COUNTIF($B$2:$B282,$B282)=1,1,0))</f>
        <v/>
      </c>
      <c r="W282" s="39" t="str">
        <f>IF($V282=1,COUNTIF($V$2:$V282,1),"")</f>
        <v/>
      </c>
      <c r="X282" s="39" t="str">
        <f>IF($A282="","",IF(COUNTIF($A$2:$A282,$A282)=1,1,0))</f>
        <v/>
      </c>
      <c r="Y282" s="39" t="str">
        <f>IF($X282=1,COUNTIF($X$2:$X282,1),"")</f>
        <v/>
      </c>
      <c r="Z282" s="39">
        <f>IF(AND($E282="timed",$N282&gt;Settings!$C$8),1,0)</f>
        <v>0</v>
      </c>
      <c r="AA282" s="39">
        <f t="shared" si="76"/>
        <v>0</v>
      </c>
      <c r="AB282" s="39">
        <f t="shared" si="77"/>
        <v>0</v>
      </c>
      <c r="AC282" s="39" t="str">
        <f t="shared" si="78"/>
        <v/>
      </c>
      <c r="AD282" s="39" t="str">
        <f t="shared" si="79"/>
        <v/>
      </c>
      <c r="AE282" s="39" t="str">
        <f t="shared" si="80"/>
        <v/>
      </c>
      <c r="AF282" s="106" t="str">
        <f t="shared" si="81"/>
        <v/>
      </c>
      <c r="AG282" s="39">
        <f t="shared" si="82"/>
        <v>0</v>
      </c>
      <c r="AH282" s="39" t="str">
        <f t="shared" si="83"/>
        <v/>
      </c>
      <c r="AI282" s="39">
        <f>IF(AND($E282="timed",$N282&gt;=Settings!$C$9),1,0)</f>
        <v>0</v>
      </c>
      <c r="AJ282" s="39" t="str">
        <f>IF(OR($S282="",Settings!$C$16=""),"",IF($S282&lt;=Settings!$C$16,1,2))</f>
        <v/>
      </c>
      <c r="AK282" s="39" t="str">
        <f>IF($C282="","",IFERROR(IF(INDEX(Settings!$C$20:$C$59,MATCH($C282,Settings!$B$20:$B$59,0))="",Settings!$C$10,INDEX(Settings!$C$20:$C$59,MATCH($C282,Settings!$B$20:$B$59,0))),Settings!$C$10))</f>
        <v/>
      </c>
      <c r="AL282" s="108">
        <f t="shared" si="84"/>
        <v>0</v>
      </c>
      <c r="AM282" s="39" t="str">
        <f t="shared" si="85"/>
        <v/>
      </c>
      <c r="AN282" s="39" t="str">
        <f t="shared" si="86"/>
        <v/>
      </c>
      <c r="AO282" s="39" t="str">
        <f t="shared" si="87"/>
        <v/>
      </c>
      <c r="AP282" s="39">
        <f t="shared" si="88"/>
        <v>0</v>
      </c>
      <c r="AQ282" s="39">
        <f t="shared" si="89"/>
        <v>0</v>
      </c>
    </row>
    <row r="283" spans="14:43" x14ac:dyDescent="0.25">
      <c r="N283" s="105">
        <f t="shared" si="72"/>
        <v>0</v>
      </c>
      <c r="O283" s="106" t="str">
        <f>IF($F283="","",IF(ISNUMBER($F283),$F283+Settings!$C$7/24,IFERROR(DATEVALUE(LEFT($F283,10))+TIMEVALUE(MID($F283,12,8))+Settings!$C$7/24,"")))</f>
        <v/>
      </c>
      <c r="P283" s="106" t="str">
        <f>IF($G283="","",IF(ISNUMBER($G283),$G283+Settings!$C$7/24,IFERROR(DATEVALUE(LEFT($G283,10))+TIMEVALUE(MID($G283,12,8))+Settings!$C$7/24,"")))</f>
        <v/>
      </c>
      <c r="Q283" s="39" t="str">
        <f t="shared" si="73"/>
        <v/>
      </c>
      <c r="R283" s="39" t="str">
        <f t="shared" si="74"/>
        <v/>
      </c>
      <c r="S283" s="107" t="str">
        <f t="shared" si="75"/>
        <v/>
      </c>
      <c r="T283" s="39" t="str">
        <f>IF($C283="","",IF(COUNTIF($C$2:$C283,$C283)=1,1,0))</f>
        <v/>
      </c>
      <c r="U283" s="39" t="str">
        <f>IF($T283=1,COUNTIF($T$2:$T283,1),"")</f>
        <v/>
      </c>
      <c r="V283" s="39" t="str">
        <f>IF($B283="","",IF(COUNTIF($B$2:$B283,$B283)=1,1,0))</f>
        <v/>
      </c>
      <c r="W283" s="39" t="str">
        <f>IF($V283=1,COUNTIF($V$2:$V283,1),"")</f>
        <v/>
      </c>
      <c r="X283" s="39" t="str">
        <f>IF($A283="","",IF(COUNTIF($A$2:$A283,$A283)=1,1,0))</f>
        <v/>
      </c>
      <c r="Y283" s="39" t="str">
        <f>IF($X283=1,COUNTIF($X$2:$X283,1),"")</f>
        <v/>
      </c>
      <c r="Z283" s="39">
        <f>IF(AND($E283="timed",$N283&gt;Settings!$C$8),1,0)</f>
        <v>0</v>
      </c>
      <c r="AA283" s="39">
        <f t="shared" si="76"/>
        <v>0</v>
      </c>
      <c r="AB283" s="39">
        <f t="shared" si="77"/>
        <v>0</v>
      </c>
      <c r="AC283" s="39" t="str">
        <f t="shared" si="78"/>
        <v/>
      </c>
      <c r="AD283" s="39" t="str">
        <f t="shared" si="79"/>
        <v/>
      </c>
      <c r="AE283" s="39" t="str">
        <f t="shared" si="80"/>
        <v/>
      </c>
      <c r="AF283" s="106" t="str">
        <f t="shared" si="81"/>
        <v/>
      </c>
      <c r="AG283" s="39">
        <f t="shared" si="82"/>
        <v>0</v>
      </c>
      <c r="AH283" s="39" t="str">
        <f t="shared" si="83"/>
        <v/>
      </c>
      <c r="AI283" s="39">
        <f>IF(AND($E283="timed",$N283&gt;=Settings!$C$9),1,0)</f>
        <v>0</v>
      </c>
      <c r="AJ283" s="39" t="str">
        <f>IF(OR($S283="",Settings!$C$16=""),"",IF($S283&lt;=Settings!$C$16,1,2))</f>
        <v/>
      </c>
      <c r="AK283" s="39" t="str">
        <f>IF($C283="","",IFERROR(IF(INDEX(Settings!$C$20:$C$59,MATCH($C283,Settings!$B$20:$B$59,0))="",Settings!$C$10,INDEX(Settings!$C$20:$C$59,MATCH($C283,Settings!$B$20:$B$59,0))),Settings!$C$10))</f>
        <v/>
      </c>
      <c r="AL283" s="108">
        <f t="shared" si="84"/>
        <v>0</v>
      </c>
      <c r="AM283" s="39" t="str">
        <f t="shared" si="85"/>
        <v/>
      </c>
      <c r="AN283" s="39" t="str">
        <f t="shared" si="86"/>
        <v/>
      </c>
      <c r="AO283" s="39" t="str">
        <f t="shared" si="87"/>
        <v/>
      </c>
      <c r="AP283" s="39">
        <f t="shared" si="88"/>
        <v>0</v>
      </c>
      <c r="AQ283" s="39">
        <f t="shared" si="89"/>
        <v>0</v>
      </c>
    </row>
    <row r="284" spans="14:43" x14ac:dyDescent="0.25">
      <c r="N284" s="105">
        <f t="shared" si="72"/>
        <v>0</v>
      </c>
      <c r="O284" s="106" t="str">
        <f>IF($F284="","",IF(ISNUMBER($F284),$F284+Settings!$C$7/24,IFERROR(DATEVALUE(LEFT($F284,10))+TIMEVALUE(MID($F284,12,8))+Settings!$C$7/24,"")))</f>
        <v/>
      </c>
      <c r="P284" s="106" t="str">
        <f>IF($G284="","",IF(ISNUMBER($G284),$G284+Settings!$C$7/24,IFERROR(DATEVALUE(LEFT($G284,10))+TIMEVALUE(MID($G284,12,8))+Settings!$C$7/24,"")))</f>
        <v/>
      </c>
      <c r="Q284" s="39" t="str">
        <f t="shared" si="73"/>
        <v/>
      </c>
      <c r="R284" s="39" t="str">
        <f t="shared" si="74"/>
        <v/>
      </c>
      <c r="S284" s="107" t="str">
        <f t="shared" si="75"/>
        <v/>
      </c>
      <c r="T284" s="39" t="str">
        <f>IF($C284="","",IF(COUNTIF($C$2:$C284,$C284)=1,1,0))</f>
        <v/>
      </c>
      <c r="U284" s="39" t="str">
        <f>IF($T284=1,COUNTIF($T$2:$T284,1),"")</f>
        <v/>
      </c>
      <c r="V284" s="39" t="str">
        <f>IF($B284="","",IF(COUNTIF($B$2:$B284,$B284)=1,1,0))</f>
        <v/>
      </c>
      <c r="W284" s="39" t="str">
        <f>IF($V284=1,COUNTIF($V$2:$V284,1),"")</f>
        <v/>
      </c>
      <c r="X284" s="39" t="str">
        <f>IF($A284="","",IF(COUNTIF($A$2:$A284,$A284)=1,1,0))</f>
        <v/>
      </c>
      <c r="Y284" s="39" t="str">
        <f>IF($X284=1,COUNTIF($X$2:$X284,1),"")</f>
        <v/>
      </c>
      <c r="Z284" s="39">
        <f>IF(AND($E284="timed",$N284&gt;Settings!$C$8),1,0)</f>
        <v>0</v>
      </c>
      <c r="AA284" s="39">
        <f t="shared" si="76"/>
        <v>0</v>
      </c>
      <c r="AB284" s="39">
        <f t="shared" si="77"/>
        <v>0</v>
      </c>
      <c r="AC284" s="39" t="str">
        <f t="shared" si="78"/>
        <v/>
      </c>
      <c r="AD284" s="39" t="str">
        <f t="shared" si="79"/>
        <v/>
      </c>
      <c r="AE284" s="39" t="str">
        <f t="shared" si="80"/>
        <v/>
      </c>
      <c r="AF284" s="106" t="str">
        <f t="shared" si="81"/>
        <v/>
      </c>
      <c r="AG284" s="39">
        <f t="shared" si="82"/>
        <v>0</v>
      </c>
      <c r="AH284" s="39" t="str">
        <f t="shared" si="83"/>
        <v/>
      </c>
      <c r="AI284" s="39">
        <f>IF(AND($E284="timed",$N284&gt;=Settings!$C$9),1,0)</f>
        <v>0</v>
      </c>
      <c r="AJ284" s="39" t="str">
        <f>IF(OR($S284="",Settings!$C$16=""),"",IF($S284&lt;=Settings!$C$16,1,2))</f>
        <v/>
      </c>
      <c r="AK284" s="39" t="str">
        <f>IF($C284="","",IFERROR(IF(INDEX(Settings!$C$20:$C$59,MATCH($C284,Settings!$B$20:$B$59,0))="",Settings!$C$10,INDEX(Settings!$C$20:$C$59,MATCH($C284,Settings!$B$20:$B$59,0))),Settings!$C$10))</f>
        <v/>
      </c>
      <c r="AL284" s="108">
        <f t="shared" si="84"/>
        <v>0</v>
      </c>
      <c r="AM284" s="39" t="str">
        <f t="shared" si="85"/>
        <v/>
      </c>
      <c r="AN284" s="39" t="str">
        <f t="shared" si="86"/>
        <v/>
      </c>
      <c r="AO284" s="39" t="str">
        <f t="shared" si="87"/>
        <v/>
      </c>
      <c r="AP284" s="39">
        <f t="shared" si="88"/>
        <v>0</v>
      </c>
      <c r="AQ284" s="39">
        <f t="shared" si="89"/>
        <v>0</v>
      </c>
    </row>
    <row r="285" spans="14:43" x14ac:dyDescent="0.25">
      <c r="N285" s="105">
        <f t="shared" si="72"/>
        <v>0</v>
      </c>
      <c r="O285" s="106" t="str">
        <f>IF($F285="","",IF(ISNUMBER($F285),$F285+Settings!$C$7/24,IFERROR(DATEVALUE(LEFT($F285,10))+TIMEVALUE(MID($F285,12,8))+Settings!$C$7/24,"")))</f>
        <v/>
      </c>
      <c r="P285" s="106" t="str">
        <f>IF($G285="","",IF(ISNUMBER($G285),$G285+Settings!$C$7/24,IFERROR(DATEVALUE(LEFT($G285,10))+TIMEVALUE(MID($G285,12,8))+Settings!$C$7/24,"")))</f>
        <v/>
      </c>
      <c r="Q285" s="39" t="str">
        <f t="shared" si="73"/>
        <v/>
      </c>
      <c r="R285" s="39" t="str">
        <f t="shared" si="74"/>
        <v/>
      </c>
      <c r="S285" s="107" t="str">
        <f t="shared" si="75"/>
        <v/>
      </c>
      <c r="T285" s="39" t="str">
        <f>IF($C285="","",IF(COUNTIF($C$2:$C285,$C285)=1,1,0))</f>
        <v/>
      </c>
      <c r="U285" s="39" t="str">
        <f>IF($T285=1,COUNTIF($T$2:$T285,1),"")</f>
        <v/>
      </c>
      <c r="V285" s="39" t="str">
        <f>IF($B285="","",IF(COUNTIF($B$2:$B285,$B285)=1,1,0))</f>
        <v/>
      </c>
      <c r="W285" s="39" t="str">
        <f>IF($V285=1,COUNTIF($V$2:$V285,1),"")</f>
        <v/>
      </c>
      <c r="X285" s="39" t="str">
        <f>IF($A285="","",IF(COUNTIF($A$2:$A285,$A285)=1,1,0))</f>
        <v/>
      </c>
      <c r="Y285" s="39" t="str">
        <f>IF($X285=1,COUNTIF($X$2:$X285,1),"")</f>
        <v/>
      </c>
      <c r="Z285" s="39">
        <f>IF(AND($E285="timed",$N285&gt;Settings!$C$8),1,0)</f>
        <v>0</v>
      </c>
      <c r="AA285" s="39">
        <f t="shared" si="76"/>
        <v>0</v>
      </c>
      <c r="AB285" s="39">
        <f t="shared" si="77"/>
        <v>0</v>
      </c>
      <c r="AC285" s="39" t="str">
        <f t="shared" si="78"/>
        <v/>
      </c>
      <c r="AD285" s="39" t="str">
        <f t="shared" si="79"/>
        <v/>
      </c>
      <c r="AE285" s="39" t="str">
        <f t="shared" si="80"/>
        <v/>
      </c>
      <c r="AF285" s="106" t="str">
        <f t="shared" si="81"/>
        <v/>
      </c>
      <c r="AG285" s="39">
        <f t="shared" si="82"/>
        <v>0</v>
      </c>
      <c r="AH285" s="39" t="str">
        <f t="shared" si="83"/>
        <v/>
      </c>
      <c r="AI285" s="39">
        <f>IF(AND($E285="timed",$N285&gt;=Settings!$C$9),1,0)</f>
        <v>0</v>
      </c>
      <c r="AJ285" s="39" t="str">
        <f>IF(OR($S285="",Settings!$C$16=""),"",IF($S285&lt;=Settings!$C$16,1,2))</f>
        <v/>
      </c>
      <c r="AK285" s="39" t="str">
        <f>IF($C285="","",IFERROR(IF(INDEX(Settings!$C$20:$C$59,MATCH($C285,Settings!$B$20:$B$59,0))="",Settings!$C$10,INDEX(Settings!$C$20:$C$59,MATCH($C285,Settings!$B$20:$B$59,0))),Settings!$C$10))</f>
        <v/>
      </c>
      <c r="AL285" s="108">
        <f t="shared" si="84"/>
        <v>0</v>
      </c>
      <c r="AM285" s="39" t="str">
        <f t="shared" si="85"/>
        <v/>
      </c>
      <c r="AN285" s="39" t="str">
        <f t="shared" si="86"/>
        <v/>
      </c>
      <c r="AO285" s="39" t="str">
        <f t="shared" si="87"/>
        <v/>
      </c>
      <c r="AP285" s="39">
        <f t="shared" si="88"/>
        <v>0</v>
      </c>
      <c r="AQ285" s="39">
        <f t="shared" si="89"/>
        <v>0</v>
      </c>
    </row>
    <row r="286" spans="14:43" x14ac:dyDescent="0.25">
      <c r="N286" s="105">
        <f t="shared" si="72"/>
        <v>0</v>
      </c>
      <c r="O286" s="106" t="str">
        <f>IF($F286="","",IF(ISNUMBER($F286),$F286+Settings!$C$7/24,IFERROR(DATEVALUE(LEFT($F286,10))+TIMEVALUE(MID($F286,12,8))+Settings!$C$7/24,"")))</f>
        <v/>
      </c>
      <c r="P286" s="106" t="str">
        <f>IF($G286="","",IF(ISNUMBER($G286),$G286+Settings!$C$7/24,IFERROR(DATEVALUE(LEFT($G286,10))+TIMEVALUE(MID($G286,12,8))+Settings!$C$7/24,"")))</f>
        <v/>
      </c>
      <c r="Q286" s="39" t="str">
        <f t="shared" si="73"/>
        <v/>
      </c>
      <c r="R286" s="39" t="str">
        <f t="shared" si="74"/>
        <v/>
      </c>
      <c r="S286" s="107" t="str">
        <f t="shared" si="75"/>
        <v/>
      </c>
      <c r="T286" s="39" t="str">
        <f>IF($C286="","",IF(COUNTIF($C$2:$C286,$C286)=1,1,0))</f>
        <v/>
      </c>
      <c r="U286" s="39" t="str">
        <f>IF($T286=1,COUNTIF($T$2:$T286,1),"")</f>
        <v/>
      </c>
      <c r="V286" s="39" t="str">
        <f>IF($B286="","",IF(COUNTIF($B$2:$B286,$B286)=1,1,0))</f>
        <v/>
      </c>
      <c r="W286" s="39" t="str">
        <f>IF($V286=1,COUNTIF($V$2:$V286,1),"")</f>
        <v/>
      </c>
      <c r="X286" s="39" t="str">
        <f>IF($A286="","",IF(COUNTIF($A$2:$A286,$A286)=1,1,0))</f>
        <v/>
      </c>
      <c r="Y286" s="39" t="str">
        <f>IF($X286=1,COUNTIF($X$2:$X286,1),"")</f>
        <v/>
      </c>
      <c r="Z286" s="39">
        <f>IF(AND($E286="timed",$N286&gt;Settings!$C$8),1,0)</f>
        <v>0</v>
      </c>
      <c r="AA286" s="39">
        <f t="shared" si="76"/>
        <v>0</v>
      </c>
      <c r="AB286" s="39">
        <f t="shared" si="77"/>
        <v>0</v>
      </c>
      <c r="AC286" s="39" t="str">
        <f t="shared" si="78"/>
        <v/>
      </c>
      <c r="AD286" s="39" t="str">
        <f t="shared" si="79"/>
        <v/>
      </c>
      <c r="AE286" s="39" t="str">
        <f t="shared" si="80"/>
        <v/>
      </c>
      <c r="AF286" s="106" t="str">
        <f t="shared" si="81"/>
        <v/>
      </c>
      <c r="AG286" s="39">
        <f t="shared" si="82"/>
        <v>0</v>
      </c>
      <c r="AH286" s="39" t="str">
        <f t="shared" si="83"/>
        <v/>
      </c>
      <c r="AI286" s="39">
        <f>IF(AND($E286="timed",$N286&gt;=Settings!$C$9),1,0)</f>
        <v>0</v>
      </c>
      <c r="AJ286" s="39" t="str">
        <f>IF(OR($S286="",Settings!$C$16=""),"",IF($S286&lt;=Settings!$C$16,1,2))</f>
        <v/>
      </c>
      <c r="AK286" s="39" t="str">
        <f>IF($C286="","",IFERROR(IF(INDEX(Settings!$C$20:$C$59,MATCH($C286,Settings!$B$20:$B$59,0))="",Settings!$C$10,INDEX(Settings!$C$20:$C$59,MATCH($C286,Settings!$B$20:$B$59,0))),Settings!$C$10))</f>
        <v/>
      </c>
      <c r="AL286" s="108">
        <f t="shared" si="84"/>
        <v>0</v>
      </c>
      <c r="AM286" s="39" t="str">
        <f t="shared" si="85"/>
        <v/>
      </c>
      <c r="AN286" s="39" t="str">
        <f t="shared" si="86"/>
        <v/>
      </c>
      <c r="AO286" s="39" t="str">
        <f t="shared" si="87"/>
        <v/>
      </c>
      <c r="AP286" s="39">
        <f t="shared" si="88"/>
        <v>0</v>
      </c>
      <c r="AQ286" s="39">
        <f t="shared" si="89"/>
        <v>0</v>
      </c>
    </row>
    <row r="287" spans="14:43" x14ac:dyDescent="0.25">
      <c r="N287" s="105">
        <f t="shared" si="72"/>
        <v>0</v>
      </c>
      <c r="O287" s="106" t="str">
        <f>IF($F287="","",IF(ISNUMBER($F287),$F287+Settings!$C$7/24,IFERROR(DATEVALUE(LEFT($F287,10))+TIMEVALUE(MID($F287,12,8))+Settings!$C$7/24,"")))</f>
        <v/>
      </c>
      <c r="P287" s="106" t="str">
        <f>IF($G287="","",IF(ISNUMBER($G287),$G287+Settings!$C$7/24,IFERROR(DATEVALUE(LEFT($G287,10))+TIMEVALUE(MID($G287,12,8))+Settings!$C$7/24,"")))</f>
        <v/>
      </c>
      <c r="Q287" s="39" t="str">
        <f t="shared" si="73"/>
        <v/>
      </c>
      <c r="R287" s="39" t="str">
        <f t="shared" si="74"/>
        <v/>
      </c>
      <c r="S287" s="107" t="str">
        <f t="shared" si="75"/>
        <v/>
      </c>
      <c r="T287" s="39" t="str">
        <f>IF($C287="","",IF(COUNTIF($C$2:$C287,$C287)=1,1,0))</f>
        <v/>
      </c>
      <c r="U287" s="39" t="str">
        <f>IF($T287=1,COUNTIF($T$2:$T287,1),"")</f>
        <v/>
      </c>
      <c r="V287" s="39" t="str">
        <f>IF($B287="","",IF(COUNTIF($B$2:$B287,$B287)=1,1,0))</f>
        <v/>
      </c>
      <c r="W287" s="39" t="str">
        <f>IF($V287=1,COUNTIF($V$2:$V287,1),"")</f>
        <v/>
      </c>
      <c r="X287" s="39" t="str">
        <f>IF($A287="","",IF(COUNTIF($A$2:$A287,$A287)=1,1,0))</f>
        <v/>
      </c>
      <c r="Y287" s="39" t="str">
        <f>IF($X287=1,COUNTIF($X$2:$X287,1),"")</f>
        <v/>
      </c>
      <c r="Z287" s="39">
        <f>IF(AND($E287="timed",$N287&gt;Settings!$C$8),1,0)</f>
        <v>0</v>
      </c>
      <c r="AA287" s="39">
        <f t="shared" si="76"/>
        <v>0</v>
      </c>
      <c r="AB287" s="39">
        <f t="shared" si="77"/>
        <v>0</v>
      </c>
      <c r="AC287" s="39" t="str">
        <f t="shared" si="78"/>
        <v/>
      </c>
      <c r="AD287" s="39" t="str">
        <f t="shared" si="79"/>
        <v/>
      </c>
      <c r="AE287" s="39" t="str">
        <f t="shared" si="80"/>
        <v/>
      </c>
      <c r="AF287" s="106" t="str">
        <f t="shared" si="81"/>
        <v/>
      </c>
      <c r="AG287" s="39">
        <f t="shared" si="82"/>
        <v>0</v>
      </c>
      <c r="AH287" s="39" t="str">
        <f t="shared" si="83"/>
        <v/>
      </c>
      <c r="AI287" s="39">
        <f>IF(AND($E287="timed",$N287&gt;=Settings!$C$9),1,0)</f>
        <v>0</v>
      </c>
      <c r="AJ287" s="39" t="str">
        <f>IF(OR($S287="",Settings!$C$16=""),"",IF($S287&lt;=Settings!$C$16,1,2))</f>
        <v/>
      </c>
      <c r="AK287" s="39" t="str">
        <f>IF($C287="","",IFERROR(IF(INDEX(Settings!$C$20:$C$59,MATCH($C287,Settings!$B$20:$B$59,0))="",Settings!$C$10,INDEX(Settings!$C$20:$C$59,MATCH($C287,Settings!$B$20:$B$59,0))),Settings!$C$10))</f>
        <v/>
      </c>
      <c r="AL287" s="108">
        <f t="shared" si="84"/>
        <v>0</v>
      </c>
      <c r="AM287" s="39" t="str">
        <f t="shared" si="85"/>
        <v/>
      </c>
      <c r="AN287" s="39" t="str">
        <f t="shared" si="86"/>
        <v/>
      </c>
      <c r="AO287" s="39" t="str">
        <f t="shared" si="87"/>
        <v/>
      </c>
      <c r="AP287" s="39">
        <f t="shared" si="88"/>
        <v>0</v>
      </c>
      <c r="AQ287" s="39">
        <f t="shared" si="89"/>
        <v>0</v>
      </c>
    </row>
    <row r="288" spans="14:43" x14ac:dyDescent="0.25">
      <c r="N288" s="105">
        <f t="shared" si="72"/>
        <v>0</v>
      </c>
      <c r="O288" s="106" t="str">
        <f>IF($F288="","",IF(ISNUMBER($F288),$F288+Settings!$C$7/24,IFERROR(DATEVALUE(LEFT($F288,10))+TIMEVALUE(MID($F288,12,8))+Settings!$C$7/24,"")))</f>
        <v/>
      </c>
      <c r="P288" s="106" t="str">
        <f>IF($G288="","",IF(ISNUMBER($G288),$G288+Settings!$C$7/24,IFERROR(DATEVALUE(LEFT($G288,10))+TIMEVALUE(MID($G288,12,8))+Settings!$C$7/24,"")))</f>
        <v/>
      </c>
      <c r="Q288" s="39" t="str">
        <f t="shared" si="73"/>
        <v/>
      </c>
      <c r="R288" s="39" t="str">
        <f t="shared" si="74"/>
        <v/>
      </c>
      <c r="S288" s="107" t="str">
        <f t="shared" si="75"/>
        <v/>
      </c>
      <c r="T288" s="39" t="str">
        <f>IF($C288="","",IF(COUNTIF($C$2:$C288,$C288)=1,1,0))</f>
        <v/>
      </c>
      <c r="U288" s="39" t="str">
        <f>IF($T288=1,COUNTIF($T$2:$T288,1),"")</f>
        <v/>
      </c>
      <c r="V288" s="39" t="str">
        <f>IF($B288="","",IF(COUNTIF($B$2:$B288,$B288)=1,1,0))</f>
        <v/>
      </c>
      <c r="W288" s="39" t="str">
        <f>IF($V288=1,COUNTIF($V$2:$V288,1),"")</f>
        <v/>
      </c>
      <c r="X288" s="39" t="str">
        <f>IF($A288="","",IF(COUNTIF($A$2:$A288,$A288)=1,1,0))</f>
        <v/>
      </c>
      <c r="Y288" s="39" t="str">
        <f>IF($X288=1,COUNTIF($X$2:$X288,1),"")</f>
        <v/>
      </c>
      <c r="Z288" s="39">
        <f>IF(AND($E288="timed",$N288&gt;Settings!$C$8),1,0)</f>
        <v>0</v>
      </c>
      <c r="AA288" s="39">
        <f t="shared" si="76"/>
        <v>0</v>
      </c>
      <c r="AB288" s="39">
        <f t="shared" si="77"/>
        <v>0</v>
      </c>
      <c r="AC288" s="39" t="str">
        <f t="shared" si="78"/>
        <v/>
      </c>
      <c r="AD288" s="39" t="str">
        <f t="shared" si="79"/>
        <v/>
      </c>
      <c r="AE288" s="39" t="str">
        <f t="shared" si="80"/>
        <v/>
      </c>
      <c r="AF288" s="106" t="str">
        <f t="shared" si="81"/>
        <v/>
      </c>
      <c r="AG288" s="39">
        <f t="shared" si="82"/>
        <v>0</v>
      </c>
      <c r="AH288" s="39" t="str">
        <f t="shared" si="83"/>
        <v/>
      </c>
      <c r="AI288" s="39">
        <f>IF(AND($E288="timed",$N288&gt;=Settings!$C$9),1,0)</f>
        <v>0</v>
      </c>
      <c r="AJ288" s="39" t="str">
        <f>IF(OR($S288="",Settings!$C$16=""),"",IF($S288&lt;=Settings!$C$16,1,2))</f>
        <v/>
      </c>
      <c r="AK288" s="39" t="str">
        <f>IF($C288="","",IFERROR(IF(INDEX(Settings!$C$20:$C$59,MATCH($C288,Settings!$B$20:$B$59,0))="",Settings!$C$10,INDEX(Settings!$C$20:$C$59,MATCH($C288,Settings!$B$20:$B$59,0))),Settings!$C$10))</f>
        <v/>
      </c>
      <c r="AL288" s="108">
        <f t="shared" si="84"/>
        <v>0</v>
      </c>
      <c r="AM288" s="39" t="str">
        <f t="shared" si="85"/>
        <v/>
      </c>
      <c r="AN288" s="39" t="str">
        <f t="shared" si="86"/>
        <v/>
      </c>
      <c r="AO288" s="39" t="str">
        <f t="shared" si="87"/>
        <v/>
      </c>
      <c r="AP288" s="39">
        <f t="shared" si="88"/>
        <v>0</v>
      </c>
      <c r="AQ288" s="39">
        <f t="shared" si="89"/>
        <v>0</v>
      </c>
    </row>
    <row r="289" spans="14:43" x14ac:dyDescent="0.25">
      <c r="N289" s="105">
        <f t="shared" si="72"/>
        <v>0</v>
      </c>
      <c r="O289" s="106" t="str">
        <f>IF($F289="","",IF(ISNUMBER($F289),$F289+Settings!$C$7/24,IFERROR(DATEVALUE(LEFT($F289,10))+TIMEVALUE(MID($F289,12,8))+Settings!$C$7/24,"")))</f>
        <v/>
      </c>
      <c r="P289" s="106" t="str">
        <f>IF($G289="","",IF(ISNUMBER($G289),$G289+Settings!$C$7/24,IFERROR(DATEVALUE(LEFT($G289,10))+TIMEVALUE(MID($G289,12,8))+Settings!$C$7/24,"")))</f>
        <v/>
      </c>
      <c r="Q289" s="39" t="str">
        <f t="shared" si="73"/>
        <v/>
      </c>
      <c r="R289" s="39" t="str">
        <f t="shared" si="74"/>
        <v/>
      </c>
      <c r="S289" s="107" t="str">
        <f t="shared" si="75"/>
        <v/>
      </c>
      <c r="T289" s="39" t="str">
        <f>IF($C289="","",IF(COUNTIF($C$2:$C289,$C289)=1,1,0))</f>
        <v/>
      </c>
      <c r="U289" s="39" t="str">
        <f>IF($T289=1,COUNTIF($T$2:$T289,1),"")</f>
        <v/>
      </c>
      <c r="V289" s="39" t="str">
        <f>IF($B289="","",IF(COUNTIF($B$2:$B289,$B289)=1,1,0))</f>
        <v/>
      </c>
      <c r="W289" s="39" t="str">
        <f>IF($V289=1,COUNTIF($V$2:$V289,1),"")</f>
        <v/>
      </c>
      <c r="X289" s="39" t="str">
        <f>IF($A289="","",IF(COUNTIF($A$2:$A289,$A289)=1,1,0))</f>
        <v/>
      </c>
      <c r="Y289" s="39" t="str">
        <f>IF($X289=1,COUNTIF($X$2:$X289,1),"")</f>
        <v/>
      </c>
      <c r="Z289" s="39">
        <f>IF(AND($E289="timed",$N289&gt;Settings!$C$8),1,0)</f>
        <v>0</v>
      </c>
      <c r="AA289" s="39">
        <f t="shared" si="76"/>
        <v>0</v>
      </c>
      <c r="AB289" s="39">
        <f t="shared" si="77"/>
        <v>0</v>
      </c>
      <c r="AC289" s="39" t="str">
        <f t="shared" si="78"/>
        <v/>
      </c>
      <c r="AD289" s="39" t="str">
        <f t="shared" si="79"/>
        <v/>
      </c>
      <c r="AE289" s="39" t="str">
        <f t="shared" si="80"/>
        <v/>
      </c>
      <c r="AF289" s="106" t="str">
        <f t="shared" si="81"/>
        <v/>
      </c>
      <c r="AG289" s="39">
        <f t="shared" si="82"/>
        <v>0</v>
      </c>
      <c r="AH289" s="39" t="str">
        <f t="shared" si="83"/>
        <v/>
      </c>
      <c r="AI289" s="39">
        <f>IF(AND($E289="timed",$N289&gt;=Settings!$C$9),1,0)</f>
        <v>0</v>
      </c>
      <c r="AJ289" s="39" t="str">
        <f>IF(OR($S289="",Settings!$C$16=""),"",IF($S289&lt;=Settings!$C$16,1,2))</f>
        <v/>
      </c>
      <c r="AK289" s="39" t="str">
        <f>IF($C289="","",IFERROR(IF(INDEX(Settings!$C$20:$C$59,MATCH($C289,Settings!$B$20:$B$59,0))="",Settings!$C$10,INDEX(Settings!$C$20:$C$59,MATCH($C289,Settings!$B$20:$B$59,0))),Settings!$C$10))</f>
        <v/>
      </c>
      <c r="AL289" s="108">
        <f t="shared" si="84"/>
        <v>0</v>
      </c>
      <c r="AM289" s="39" t="str">
        <f t="shared" si="85"/>
        <v/>
      </c>
      <c r="AN289" s="39" t="str">
        <f t="shared" si="86"/>
        <v/>
      </c>
      <c r="AO289" s="39" t="str">
        <f t="shared" si="87"/>
        <v/>
      </c>
      <c r="AP289" s="39">
        <f t="shared" si="88"/>
        <v>0</v>
      </c>
      <c r="AQ289" s="39">
        <f t="shared" si="89"/>
        <v>0</v>
      </c>
    </row>
    <row r="290" spans="14:43" x14ac:dyDescent="0.25">
      <c r="N290" s="105">
        <f t="shared" si="72"/>
        <v>0</v>
      </c>
      <c r="O290" s="106" t="str">
        <f>IF($F290="","",IF(ISNUMBER($F290),$F290+Settings!$C$7/24,IFERROR(DATEVALUE(LEFT($F290,10))+TIMEVALUE(MID($F290,12,8))+Settings!$C$7/24,"")))</f>
        <v/>
      </c>
      <c r="P290" s="106" t="str">
        <f>IF($G290="","",IF(ISNUMBER($G290),$G290+Settings!$C$7/24,IFERROR(DATEVALUE(LEFT($G290,10))+TIMEVALUE(MID($G290,12,8))+Settings!$C$7/24,"")))</f>
        <v/>
      </c>
      <c r="Q290" s="39" t="str">
        <f t="shared" si="73"/>
        <v/>
      </c>
      <c r="R290" s="39" t="str">
        <f t="shared" si="74"/>
        <v/>
      </c>
      <c r="S290" s="107" t="str">
        <f t="shared" si="75"/>
        <v/>
      </c>
      <c r="T290" s="39" t="str">
        <f>IF($C290="","",IF(COUNTIF($C$2:$C290,$C290)=1,1,0))</f>
        <v/>
      </c>
      <c r="U290" s="39" t="str">
        <f>IF($T290=1,COUNTIF($T$2:$T290,1),"")</f>
        <v/>
      </c>
      <c r="V290" s="39" t="str">
        <f>IF($B290="","",IF(COUNTIF($B$2:$B290,$B290)=1,1,0))</f>
        <v/>
      </c>
      <c r="W290" s="39" t="str">
        <f>IF($V290=1,COUNTIF($V$2:$V290,1),"")</f>
        <v/>
      </c>
      <c r="X290" s="39" t="str">
        <f>IF($A290="","",IF(COUNTIF($A$2:$A290,$A290)=1,1,0))</f>
        <v/>
      </c>
      <c r="Y290" s="39" t="str">
        <f>IF($X290=1,COUNTIF($X$2:$X290,1),"")</f>
        <v/>
      </c>
      <c r="Z290" s="39">
        <f>IF(AND($E290="timed",$N290&gt;Settings!$C$8),1,0)</f>
        <v>0</v>
      </c>
      <c r="AA290" s="39">
        <f t="shared" si="76"/>
        <v>0</v>
      </c>
      <c r="AB290" s="39">
        <f t="shared" si="77"/>
        <v>0</v>
      </c>
      <c r="AC290" s="39" t="str">
        <f t="shared" si="78"/>
        <v/>
      </c>
      <c r="AD290" s="39" t="str">
        <f t="shared" si="79"/>
        <v/>
      </c>
      <c r="AE290" s="39" t="str">
        <f t="shared" si="80"/>
        <v/>
      </c>
      <c r="AF290" s="106" t="str">
        <f t="shared" si="81"/>
        <v/>
      </c>
      <c r="AG290" s="39">
        <f t="shared" si="82"/>
        <v>0</v>
      </c>
      <c r="AH290" s="39" t="str">
        <f t="shared" si="83"/>
        <v/>
      </c>
      <c r="AI290" s="39">
        <f>IF(AND($E290="timed",$N290&gt;=Settings!$C$9),1,0)</f>
        <v>0</v>
      </c>
      <c r="AJ290" s="39" t="str">
        <f>IF(OR($S290="",Settings!$C$16=""),"",IF($S290&lt;=Settings!$C$16,1,2))</f>
        <v/>
      </c>
      <c r="AK290" s="39" t="str">
        <f>IF($C290="","",IFERROR(IF(INDEX(Settings!$C$20:$C$59,MATCH($C290,Settings!$B$20:$B$59,0))="",Settings!$C$10,INDEX(Settings!$C$20:$C$59,MATCH($C290,Settings!$B$20:$B$59,0))),Settings!$C$10))</f>
        <v/>
      </c>
      <c r="AL290" s="108">
        <f t="shared" si="84"/>
        <v>0</v>
      </c>
      <c r="AM290" s="39" t="str">
        <f t="shared" si="85"/>
        <v/>
      </c>
      <c r="AN290" s="39" t="str">
        <f t="shared" si="86"/>
        <v/>
      </c>
      <c r="AO290" s="39" t="str">
        <f t="shared" si="87"/>
        <v/>
      </c>
      <c r="AP290" s="39">
        <f t="shared" si="88"/>
        <v>0</v>
      </c>
      <c r="AQ290" s="39">
        <f t="shared" si="89"/>
        <v>0</v>
      </c>
    </row>
    <row r="291" spans="14:43" x14ac:dyDescent="0.25">
      <c r="N291" s="105">
        <f t="shared" si="72"/>
        <v>0</v>
      </c>
      <c r="O291" s="106" t="str">
        <f>IF($F291="","",IF(ISNUMBER($F291),$F291+Settings!$C$7/24,IFERROR(DATEVALUE(LEFT($F291,10))+TIMEVALUE(MID($F291,12,8))+Settings!$C$7/24,"")))</f>
        <v/>
      </c>
      <c r="P291" s="106" t="str">
        <f>IF($G291="","",IF(ISNUMBER($G291),$G291+Settings!$C$7/24,IFERROR(DATEVALUE(LEFT($G291,10))+TIMEVALUE(MID($G291,12,8))+Settings!$C$7/24,"")))</f>
        <v/>
      </c>
      <c r="Q291" s="39" t="str">
        <f t="shared" si="73"/>
        <v/>
      </c>
      <c r="R291" s="39" t="str">
        <f t="shared" si="74"/>
        <v/>
      </c>
      <c r="S291" s="107" t="str">
        <f t="shared" si="75"/>
        <v/>
      </c>
      <c r="T291" s="39" t="str">
        <f>IF($C291="","",IF(COUNTIF($C$2:$C291,$C291)=1,1,0))</f>
        <v/>
      </c>
      <c r="U291" s="39" t="str">
        <f>IF($T291=1,COUNTIF($T$2:$T291,1),"")</f>
        <v/>
      </c>
      <c r="V291" s="39" t="str">
        <f>IF($B291="","",IF(COUNTIF($B$2:$B291,$B291)=1,1,0))</f>
        <v/>
      </c>
      <c r="W291" s="39" t="str">
        <f>IF($V291=1,COUNTIF($V$2:$V291,1),"")</f>
        <v/>
      </c>
      <c r="X291" s="39" t="str">
        <f>IF($A291="","",IF(COUNTIF($A$2:$A291,$A291)=1,1,0))</f>
        <v/>
      </c>
      <c r="Y291" s="39" t="str">
        <f>IF($X291=1,COUNTIF($X$2:$X291,1),"")</f>
        <v/>
      </c>
      <c r="Z291" s="39">
        <f>IF(AND($E291="timed",$N291&gt;Settings!$C$8),1,0)</f>
        <v>0</v>
      </c>
      <c r="AA291" s="39">
        <f t="shared" si="76"/>
        <v>0</v>
      </c>
      <c r="AB291" s="39">
        <f t="shared" si="77"/>
        <v>0</v>
      </c>
      <c r="AC291" s="39" t="str">
        <f t="shared" si="78"/>
        <v/>
      </c>
      <c r="AD291" s="39" t="str">
        <f t="shared" si="79"/>
        <v/>
      </c>
      <c r="AE291" s="39" t="str">
        <f t="shared" si="80"/>
        <v/>
      </c>
      <c r="AF291" s="106" t="str">
        <f t="shared" si="81"/>
        <v/>
      </c>
      <c r="AG291" s="39">
        <f t="shared" si="82"/>
        <v>0</v>
      </c>
      <c r="AH291" s="39" t="str">
        <f t="shared" si="83"/>
        <v/>
      </c>
      <c r="AI291" s="39">
        <f>IF(AND($E291="timed",$N291&gt;=Settings!$C$9),1,0)</f>
        <v>0</v>
      </c>
      <c r="AJ291" s="39" t="str">
        <f>IF(OR($S291="",Settings!$C$16=""),"",IF($S291&lt;=Settings!$C$16,1,2))</f>
        <v/>
      </c>
      <c r="AK291" s="39" t="str">
        <f>IF($C291="","",IFERROR(IF(INDEX(Settings!$C$20:$C$59,MATCH($C291,Settings!$B$20:$B$59,0))="",Settings!$C$10,INDEX(Settings!$C$20:$C$59,MATCH($C291,Settings!$B$20:$B$59,0))),Settings!$C$10))</f>
        <v/>
      </c>
      <c r="AL291" s="108">
        <f t="shared" si="84"/>
        <v>0</v>
      </c>
      <c r="AM291" s="39" t="str">
        <f t="shared" si="85"/>
        <v/>
      </c>
      <c r="AN291" s="39" t="str">
        <f t="shared" si="86"/>
        <v/>
      </c>
      <c r="AO291" s="39" t="str">
        <f t="shared" si="87"/>
        <v/>
      </c>
      <c r="AP291" s="39">
        <f t="shared" si="88"/>
        <v>0</v>
      </c>
      <c r="AQ291" s="39">
        <f t="shared" si="89"/>
        <v>0</v>
      </c>
    </row>
    <row r="292" spans="14:43" x14ac:dyDescent="0.25">
      <c r="N292" s="105">
        <f t="shared" si="72"/>
        <v>0</v>
      </c>
      <c r="O292" s="106" t="str">
        <f>IF($F292="","",IF(ISNUMBER($F292),$F292+Settings!$C$7/24,IFERROR(DATEVALUE(LEFT($F292,10))+TIMEVALUE(MID($F292,12,8))+Settings!$C$7/24,"")))</f>
        <v/>
      </c>
      <c r="P292" s="106" t="str">
        <f>IF($G292="","",IF(ISNUMBER($G292),$G292+Settings!$C$7/24,IFERROR(DATEVALUE(LEFT($G292,10))+TIMEVALUE(MID($G292,12,8))+Settings!$C$7/24,"")))</f>
        <v/>
      </c>
      <c r="Q292" s="39" t="str">
        <f t="shared" si="73"/>
        <v/>
      </c>
      <c r="R292" s="39" t="str">
        <f t="shared" si="74"/>
        <v/>
      </c>
      <c r="S292" s="107" t="str">
        <f t="shared" si="75"/>
        <v/>
      </c>
      <c r="T292" s="39" t="str">
        <f>IF($C292="","",IF(COUNTIF($C$2:$C292,$C292)=1,1,0))</f>
        <v/>
      </c>
      <c r="U292" s="39" t="str">
        <f>IF($T292=1,COUNTIF($T$2:$T292,1),"")</f>
        <v/>
      </c>
      <c r="V292" s="39" t="str">
        <f>IF($B292="","",IF(COUNTIF($B$2:$B292,$B292)=1,1,0))</f>
        <v/>
      </c>
      <c r="W292" s="39" t="str">
        <f>IF($V292=1,COUNTIF($V$2:$V292,1),"")</f>
        <v/>
      </c>
      <c r="X292" s="39" t="str">
        <f>IF($A292="","",IF(COUNTIF($A$2:$A292,$A292)=1,1,0))</f>
        <v/>
      </c>
      <c r="Y292" s="39" t="str">
        <f>IF($X292=1,COUNTIF($X$2:$X292,1),"")</f>
        <v/>
      </c>
      <c r="Z292" s="39">
        <f>IF(AND($E292="timed",$N292&gt;Settings!$C$8),1,0)</f>
        <v>0</v>
      </c>
      <c r="AA292" s="39">
        <f t="shared" si="76"/>
        <v>0</v>
      </c>
      <c r="AB292" s="39">
        <f t="shared" si="77"/>
        <v>0</v>
      </c>
      <c r="AC292" s="39" t="str">
        <f t="shared" si="78"/>
        <v/>
      </c>
      <c r="AD292" s="39" t="str">
        <f t="shared" si="79"/>
        <v/>
      </c>
      <c r="AE292" s="39" t="str">
        <f t="shared" si="80"/>
        <v/>
      </c>
      <c r="AF292" s="106" t="str">
        <f t="shared" si="81"/>
        <v/>
      </c>
      <c r="AG292" s="39">
        <f t="shared" si="82"/>
        <v>0</v>
      </c>
      <c r="AH292" s="39" t="str">
        <f t="shared" si="83"/>
        <v/>
      </c>
      <c r="AI292" s="39">
        <f>IF(AND($E292="timed",$N292&gt;=Settings!$C$9),1,0)</f>
        <v>0</v>
      </c>
      <c r="AJ292" s="39" t="str">
        <f>IF(OR($S292="",Settings!$C$16=""),"",IF($S292&lt;=Settings!$C$16,1,2))</f>
        <v/>
      </c>
      <c r="AK292" s="39" t="str">
        <f>IF($C292="","",IFERROR(IF(INDEX(Settings!$C$20:$C$59,MATCH($C292,Settings!$B$20:$B$59,0))="",Settings!$C$10,INDEX(Settings!$C$20:$C$59,MATCH($C292,Settings!$B$20:$B$59,0))),Settings!$C$10))</f>
        <v/>
      </c>
      <c r="AL292" s="108">
        <f t="shared" si="84"/>
        <v>0</v>
      </c>
      <c r="AM292" s="39" t="str">
        <f t="shared" si="85"/>
        <v/>
      </c>
      <c r="AN292" s="39" t="str">
        <f t="shared" si="86"/>
        <v/>
      </c>
      <c r="AO292" s="39" t="str">
        <f t="shared" si="87"/>
        <v/>
      </c>
      <c r="AP292" s="39">
        <f t="shared" si="88"/>
        <v>0</v>
      </c>
      <c r="AQ292" s="39">
        <f t="shared" si="89"/>
        <v>0</v>
      </c>
    </row>
    <row r="293" spans="14:43" x14ac:dyDescent="0.25">
      <c r="N293" s="105">
        <f t="shared" si="72"/>
        <v>0</v>
      </c>
      <c r="O293" s="106" t="str">
        <f>IF($F293="","",IF(ISNUMBER($F293),$F293+Settings!$C$7/24,IFERROR(DATEVALUE(LEFT($F293,10))+TIMEVALUE(MID($F293,12,8))+Settings!$C$7/24,"")))</f>
        <v/>
      </c>
      <c r="P293" s="106" t="str">
        <f>IF($G293="","",IF(ISNUMBER($G293),$G293+Settings!$C$7/24,IFERROR(DATEVALUE(LEFT($G293,10))+TIMEVALUE(MID($G293,12,8))+Settings!$C$7/24,"")))</f>
        <v/>
      </c>
      <c r="Q293" s="39" t="str">
        <f t="shared" si="73"/>
        <v/>
      </c>
      <c r="R293" s="39" t="str">
        <f t="shared" si="74"/>
        <v/>
      </c>
      <c r="S293" s="107" t="str">
        <f t="shared" si="75"/>
        <v/>
      </c>
      <c r="T293" s="39" t="str">
        <f>IF($C293="","",IF(COUNTIF($C$2:$C293,$C293)=1,1,0))</f>
        <v/>
      </c>
      <c r="U293" s="39" t="str">
        <f>IF($T293=1,COUNTIF($T$2:$T293,1),"")</f>
        <v/>
      </c>
      <c r="V293" s="39" t="str">
        <f>IF($B293="","",IF(COUNTIF($B$2:$B293,$B293)=1,1,0))</f>
        <v/>
      </c>
      <c r="W293" s="39" t="str">
        <f>IF($V293=1,COUNTIF($V$2:$V293,1),"")</f>
        <v/>
      </c>
      <c r="X293" s="39" t="str">
        <f>IF($A293="","",IF(COUNTIF($A$2:$A293,$A293)=1,1,0))</f>
        <v/>
      </c>
      <c r="Y293" s="39" t="str">
        <f>IF($X293=1,COUNTIF($X$2:$X293,1),"")</f>
        <v/>
      </c>
      <c r="Z293" s="39">
        <f>IF(AND($E293="timed",$N293&gt;Settings!$C$8),1,0)</f>
        <v>0</v>
      </c>
      <c r="AA293" s="39">
        <f t="shared" si="76"/>
        <v>0</v>
      </c>
      <c r="AB293" s="39">
        <f t="shared" si="77"/>
        <v>0</v>
      </c>
      <c r="AC293" s="39" t="str">
        <f t="shared" si="78"/>
        <v/>
      </c>
      <c r="AD293" s="39" t="str">
        <f t="shared" si="79"/>
        <v/>
      </c>
      <c r="AE293" s="39" t="str">
        <f t="shared" si="80"/>
        <v/>
      </c>
      <c r="AF293" s="106" t="str">
        <f t="shared" si="81"/>
        <v/>
      </c>
      <c r="AG293" s="39">
        <f t="shared" si="82"/>
        <v>0</v>
      </c>
      <c r="AH293" s="39" t="str">
        <f t="shared" si="83"/>
        <v/>
      </c>
      <c r="AI293" s="39">
        <f>IF(AND($E293="timed",$N293&gt;=Settings!$C$9),1,0)</f>
        <v>0</v>
      </c>
      <c r="AJ293" s="39" t="str">
        <f>IF(OR($S293="",Settings!$C$16=""),"",IF($S293&lt;=Settings!$C$16,1,2))</f>
        <v/>
      </c>
      <c r="AK293" s="39" t="str">
        <f>IF($C293="","",IFERROR(IF(INDEX(Settings!$C$20:$C$59,MATCH($C293,Settings!$B$20:$B$59,0))="",Settings!$C$10,INDEX(Settings!$C$20:$C$59,MATCH($C293,Settings!$B$20:$B$59,0))),Settings!$C$10))</f>
        <v/>
      </c>
      <c r="AL293" s="108">
        <f t="shared" si="84"/>
        <v>0</v>
      </c>
      <c r="AM293" s="39" t="str">
        <f t="shared" si="85"/>
        <v/>
      </c>
      <c r="AN293" s="39" t="str">
        <f t="shared" si="86"/>
        <v/>
      </c>
      <c r="AO293" s="39" t="str">
        <f t="shared" si="87"/>
        <v/>
      </c>
      <c r="AP293" s="39">
        <f t="shared" si="88"/>
        <v>0</v>
      </c>
      <c r="AQ293" s="39">
        <f t="shared" si="89"/>
        <v>0</v>
      </c>
    </row>
    <row r="294" spans="14:43" x14ac:dyDescent="0.25">
      <c r="N294" s="105">
        <f t="shared" si="72"/>
        <v>0</v>
      </c>
      <c r="O294" s="106" t="str">
        <f>IF($F294="","",IF(ISNUMBER($F294),$F294+Settings!$C$7/24,IFERROR(DATEVALUE(LEFT($F294,10))+TIMEVALUE(MID($F294,12,8))+Settings!$C$7/24,"")))</f>
        <v/>
      </c>
      <c r="P294" s="106" t="str">
        <f>IF($G294="","",IF(ISNUMBER($G294),$G294+Settings!$C$7/24,IFERROR(DATEVALUE(LEFT($G294,10))+TIMEVALUE(MID($G294,12,8))+Settings!$C$7/24,"")))</f>
        <v/>
      </c>
      <c r="Q294" s="39" t="str">
        <f t="shared" si="73"/>
        <v/>
      </c>
      <c r="R294" s="39" t="str">
        <f t="shared" si="74"/>
        <v/>
      </c>
      <c r="S294" s="107" t="str">
        <f t="shared" si="75"/>
        <v/>
      </c>
      <c r="T294" s="39" t="str">
        <f>IF($C294="","",IF(COUNTIF($C$2:$C294,$C294)=1,1,0))</f>
        <v/>
      </c>
      <c r="U294" s="39" t="str">
        <f>IF($T294=1,COUNTIF($T$2:$T294,1),"")</f>
        <v/>
      </c>
      <c r="V294" s="39" t="str">
        <f>IF($B294="","",IF(COUNTIF($B$2:$B294,$B294)=1,1,0))</f>
        <v/>
      </c>
      <c r="W294" s="39" t="str">
        <f>IF($V294=1,COUNTIF($V$2:$V294,1),"")</f>
        <v/>
      </c>
      <c r="X294" s="39" t="str">
        <f>IF($A294="","",IF(COUNTIF($A$2:$A294,$A294)=1,1,0))</f>
        <v/>
      </c>
      <c r="Y294" s="39" t="str">
        <f>IF($X294=1,COUNTIF($X$2:$X294,1),"")</f>
        <v/>
      </c>
      <c r="Z294" s="39">
        <f>IF(AND($E294="timed",$N294&gt;Settings!$C$8),1,0)</f>
        <v>0</v>
      </c>
      <c r="AA294" s="39">
        <f t="shared" si="76"/>
        <v>0</v>
      </c>
      <c r="AB294" s="39">
        <f t="shared" si="77"/>
        <v>0</v>
      </c>
      <c r="AC294" s="39" t="str">
        <f t="shared" si="78"/>
        <v/>
      </c>
      <c r="AD294" s="39" t="str">
        <f t="shared" si="79"/>
        <v/>
      </c>
      <c r="AE294" s="39" t="str">
        <f t="shared" si="80"/>
        <v/>
      </c>
      <c r="AF294" s="106" t="str">
        <f t="shared" si="81"/>
        <v/>
      </c>
      <c r="AG294" s="39">
        <f t="shared" si="82"/>
        <v>0</v>
      </c>
      <c r="AH294" s="39" t="str">
        <f t="shared" si="83"/>
        <v/>
      </c>
      <c r="AI294" s="39">
        <f>IF(AND($E294="timed",$N294&gt;=Settings!$C$9),1,0)</f>
        <v>0</v>
      </c>
      <c r="AJ294" s="39" t="str">
        <f>IF(OR($S294="",Settings!$C$16=""),"",IF($S294&lt;=Settings!$C$16,1,2))</f>
        <v/>
      </c>
      <c r="AK294" s="39" t="str">
        <f>IF($C294="","",IFERROR(IF(INDEX(Settings!$C$20:$C$59,MATCH($C294,Settings!$B$20:$B$59,0))="",Settings!$C$10,INDEX(Settings!$C$20:$C$59,MATCH($C294,Settings!$B$20:$B$59,0))),Settings!$C$10))</f>
        <v/>
      </c>
      <c r="AL294" s="108">
        <f t="shared" si="84"/>
        <v>0</v>
      </c>
      <c r="AM294" s="39" t="str">
        <f t="shared" si="85"/>
        <v/>
      </c>
      <c r="AN294" s="39" t="str">
        <f t="shared" si="86"/>
        <v/>
      </c>
      <c r="AO294" s="39" t="str">
        <f t="shared" si="87"/>
        <v/>
      </c>
      <c r="AP294" s="39">
        <f t="shared" si="88"/>
        <v>0</v>
      </c>
      <c r="AQ294" s="39">
        <f t="shared" si="89"/>
        <v>0</v>
      </c>
    </row>
    <row r="295" spans="14:43" x14ac:dyDescent="0.25">
      <c r="N295" s="105">
        <f t="shared" si="72"/>
        <v>0</v>
      </c>
      <c r="O295" s="106" t="str">
        <f>IF($F295="","",IF(ISNUMBER($F295),$F295+Settings!$C$7/24,IFERROR(DATEVALUE(LEFT($F295,10))+TIMEVALUE(MID($F295,12,8))+Settings!$C$7/24,"")))</f>
        <v/>
      </c>
      <c r="P295" s="106" t="str">
        <f>IF($G295="","",IF(ISNUMBER($G295),$G295+Settings!$C$7/24,IFERROR(DATEVALUE(LEFT($G295,10))+TIMEVALUE(MID($G295,12,8))+Settings!$C$7/24,"")))</f>
        <v/>
      </c>
      <c r="Q295" s="39" t="str">
        <f t="shared" si="73"/>
        <v/>
      </c>
      <c r="R295" s="39" t="str">
        <f t="shared" si="74"/>
        <v/>
      </c>
      <c r="S295" s="107" t="str">
        <f t="shared" si="75"/>
        <v/>
      </c>
      <c r="T295" s="39" t="str">
        <f>IF($C295="","",IF(COUNTIF($C$2:$C295,$C295)=1,1,0))</f>
        <v/>
      </c>
      <c r="U295" s="39" t="str">
        <f>IF($T295=1,COUNTIF($T$2:$T295,1),"")</f>
        <v/>
      </c>
      <c r="V295" s="39" t="str">
        <f>IF($B295="","",IF(COUNTIF($B$2:$B295,$B295)=1,1,0))</f>
        <v/>
      </c>
      <c r="W295" s="39" t="str">
        <f>IF($V295=1,COUNTIF($V$2:$V295,1),"")</f>
        <v/>
      </c>
      <c r="X295" s="39" t="str">
        <f>IF($A295="","",IF(COUNTIF($A$2:$A295,$A295)=1,1,0))</f>
        <v/>
      </c>
      <c r="Y295" s="39" t="str">
        <f>IF($X295=1,COUNTIF($X$2:$X295,1),"")</f>
        <v/>
      </c>
      <c r="Z295" s="39">
        <f>IF(AND($E295="timed",$N295&gt;Settings!$C$8),1,0)</f>
        <v>0</v>
      </c>
      <c r="AA295" s="39">
        <f t="shared" si="76"/>
        <v>0</v>
      </c>
      <c r="AB295" s="39">
        <f t="shared" si="77"/>
        <v>0</v>
      </c>
      <c r="AC295" s="39" t="str">
        <f t="shared" si="78"/>
        <v/>
      </c>
      <c r="AD295" s="39" t="str">
        <f t="shared" si="79"/>
        <v/>
      </c>
      <c r="AE295" s="39" t="str">
        <f t="shared" si="80"/>
        <v/>
      </c>
      <c r="AF295" s="106" t="str">
        <f t="shared" si="81"/>
        <v/>
      </c>
      <c r="AG295" s="39">
        <f t="shared" si="82"/>
        <v>0</v>
      </c>
      <c r="AH295" s="39" t="str">
        <f t="shared" si="83"/>
        <v/>
      </c>
      <c r="AI295" s="39">
        <f>IF(AND($E295="timed",$N295&gt;=Settings!$C$9),1,0)</f>
        <v>0</v>
      </c>
      <c r="AJ295" s="39" t="str">
        <f>IF(OR($S295="",Settings!$C$16=""),"",IF($S295&lt;=Settings!$C$16,1,2))</f>
        <v/>
      </c>
      <c r="AK295" s="39" t="str">
        <f>IF($C295="","",IFERROR(IF(INDEX(Settings!$C$20:$C$59,MATCH($C295,Settings!$B$20:$B$59,0))="",Settings!$C$10,INDEX(Settings!$C$20:$C$59,MATCH($C295,Settings!$B$20:$B$59,0))),Settings!$C$10))</f>
        <v/>
      </c>
      <c r="AL295" s="108">
        <f t="shared" si="84"/>
        <v>0</v>
      </c>
      <c r="AM295" s="39" t="str">
        <f t="shared" si="85"/>
        <v/>
      </c>
      <c r="AN295" s="39" t="str">
        <f t="shared" si="86"/>
        <v/>
      </c>
      <c r="AO295" s="39" t="str">
        <f t="shared" si="87"/>
        <v/>
      </c>
      <c r="AP295" s="39">
        <f t="shared" si="88"/>
        <v>0</v>
      </c>
      <c r="AQ295" s="39">
        <f t="shared" si="89"/>
        <v>0</v>
      </c>
    </row>
    <row r="296" spans="14:43" x14ac:dyDescent="0.25">
      <c r="N296" s="105">
        <f t="shared" si="72"/>
        <v>0</v>
      </c>
      <c r="O296" s="106" t="str">
        <f>IF($F296="","",IF(ISNUMBER($F296),$F296+Settings!$C$7/24,IFERROR(DATEVALUE(LEFT($F296,10))+TIMEVALUE(MID($F296,12,8))+Settings!$C$7/24,"")))</f>
        <v/>
      </c>
      <c r="P296" s="106" t="str">
        <f>IF($G296="","",IF(ISNUMBER($G296),$G296+Settings!$C$7/24,IFERROR(DATEVALUE(LEFT($G296,10))+TIMEVALUE(MID($G296,12,8))+Settings!$C$7/24,"")))</f>
        <v/>
      </c>
      <c r="Q296" s="39" t="str">
        <f t="shared" si="73"/>
        <v/>
      </c>
      <c r="R296" s="39" t="str">
        <f t="shared" si="74"/>
        <v/>
      </c>
      <c r="S296" s="107" t="str">
        <f t="shared" si="75"/>
        <v/>
      </c>
      <c r="T296" s="39" t="str">
        <f>IF($C296="","",IF(COUNTIF($C$2:$C296,$C296)=1,1,0))</f>
        <v/>
      </c>
      <c r="U296" s="39" t="str">
        <f>IF($T296=1,COUNTIF($T$2:$T296,1),"")</f>
        <v/>
      </c>
      <c r="V296" s="39" t="str">
        <f>IF($B296="","",IF(COUNTIF($B$2:$B296,$B296)=1,1,0))</f>
        <v/>
      </c>
      <c r="W296" s="39" t="str">
        <f>IF($V296=1,COUNTIF($V$2:$V296,1),"")</f>
        <v/>
      </c>
      <c r="X296" s="39" t="str">
        <f>IF($A296="","",IF(COUNTIF($A$2:$A296,$A296)=1,1,0))</f>
        <v/>
      </c>
      <c r="Y296" s="39" t="str">
        <f>IF($X296=1,COUNTIF($X$2:$X296,1),"")</f>
        <v/>
      </c>
      <c r="Z296" s="39">
        <f>IF(AND($E296="timed",$N296&gt;Settings!$C$8),1,0)</f>
        <v>0</v>
      </c>
      <c r="AA296" s="39">
        <f t="shared" si="76"/>
        <v>0</v>
      </c>
      <c r="AB296" s="39">
        <f t="shared" si="77"/>
        <v>0</v>
      </c>
      <c r="AC296" s="39" t="str">
        <f t="shared" si="78"/>
        <v/>
      </c>
      <c r="AD296" s="39" t="str">
        <f t="shared" si="79"/>
        <v/>
      </c>
      <c r="AE296" s="39" t="str">
        <f t="shared" si="80"/>
        <v/>
      </c>
      <c r="AF296" s="106" t="str">
        <f t="shared" si="81"/>
        <v/>
      </c>
      <c r="AG296" s="39">
        <f t="shared" si="82"/>
        <v>0</v>
      </c>
      <c r="AH296" s="39" t="str">
        <f t="shared" si="83"/>
        <v/>
      </c>
      <c r="AI296" s="39">
        <f>IF(AND($E296="timed",$N296&gt;=Settings!$C$9),1,0)</f>
        <v>0</v>
      </c>
      <c r="AJ296" s="39" t="str">
        <f>IF(OR($S296="",Settings!$C$16=""),"",IF($S296&lt;=Settings!$C$16,1,2))</f>
        <v/>
      </c>
      <c r="AK296" s="39" t="str">
        <f>IF($C296="","",IFERROR(IF(INDEX(Settings!$C$20:$C$59,MATCH($C296,Settings!$B$20:$B$59,0))="",Settings!$C$10,INDEX(Settings!$C$20:$C$59,MATCH($C296,Settings!$B$20:$B$59,0))),Settings!$C$10))</f>
        <v/>
      </c>
      <c r="AL296" s="108">
        <f t="shared" si="84"/>
        <v>0</v>
      </c>
      <c r="AM296" s="39" t="str">
        <f t="shared" si="85"/>
        <v/>
      </c>
      <c r="AN296" s="39" t="str">
        <f t="shared" si="86"/>
        <v/>
      </c>
      <c r="AO296" s="39" t="str">
        <f t="shared" si="87"/>
        <v/>
      </c>
      <c r="AP296" s="39">
        <f t="shared" si="88"/>
        <v>0</v>
      </c>
      <c r="AQ296" s="39">
        <f t="shared" si="89"/>
        <v>0</v>
      </c>
    </row>
    <row r="297" spans="14:43" x14ac:dyDescent="0.25">
      <c r="N297" s="105">
        <f t="shared" si="72"/>
        <v>0</v>
      </c>
      <c r="O297" s="106" t="str">
        <f>IF($F297="","",IF(ISNUMBER($F297),$F297+Settings!$C$7/24,IFERROR(DATEVALUE(LEFT($F297,10))+TIMEVALUE(MID($F297,12,8))+Settings!$C$7/24,"")))</f>
        <v/>
      </c>
      <c r="P297" s="106" t="str">
        <f>IF($G297="","",IF(ISNUMBER($G297),$G297+Settings!$C$7/24,IFERROR(DATEVALUE(LEFT($G297,10))+TIMEVALUE(MID($G297,12,8))+Settings!$C$7/24,"")))</f>
        <v/>
      </c>
      <c r="Q297" s="39" t="str">
        <f t="shared" si="73"/>
        <v/>
      </c>
      <c r="R297" s="39" t="str">
        <f t="shared" si="74"/>
        <v/>
      </c>
      <c r="S297" s="107" t="str">
        <f t="shared" si="75"/>
        <v/>
      </c>
      <c r="T297" s="39" t="str">
        <f>IF($C297="","",IF(COUNTIF($C$2:$C297,$C297)=1,1,0))</f>
        <v/>
      </c>
      <c r="U297" s="39" t="str">
        <f>IF($T297=1,COUNTIF($T$2:$T297,1),"")</f>
        <v/>
      </c>
      <c r="V297" s="39" t="str">
        <f>IF($B297="","",IF(COUNTIF($B$2:$B297,$B297)=1,1,0))</f>
        <v/>
      </c>
      <c r="W297" s="39" t="str">
        <f>IF($V297=1,COUNTIF($V$2:$V297,1),"")</f>
        <v/>
      </c>
      <c r="X297" s="39" t="str">
        <f>IF($A297="","",IF(COUNTIF($A$2:$A297,$A297)=1,1,0))</f>
        <v/>
      </c>
      <c r="Y297" s="39" t="str">
        <f>IF($X297=1,COUNTIF($X$2:$X297,1),"")</f>
        <v/>
      </c>
      <c r="Z297" s="39">
        <f>IF(AND($E297="timed",$N297&gt;Settings!$C$8),1,0)</f>
        <v>0</v>
      </c>
      <c r="AA297" s="39">
        <f t="shared" si="76"/>
        <v>0</v>
      </c>
      <c r="AB297" s="39">
        <f t="shared" si="77"/>
        <v>0</v>
      </c>
      <c r="AC297" s="39" t="str">
        <f t="shared" si="78"/>
        <v/>
      </c>
      <c r="AD297" s="39" t="str">
        <f t="shared" si="79"/>
        <v/>
      </c>
      <c r="AE297" s="39" t="str">
        <f t="shared" si="80"/>
        <v/>
      </c>
      <c r="AF297" s="106" t="str">
        <f t="shared" si="81"/>
        <v/>
      </c>
      <c r="AG297" s="39">
        <f t="shared" si="82"/>
        <v>0</v>
      </c>
      <c r="AH297" s="39" t="str">
        <f t="shared" si="83"/>
        <v/>
      </c>
      <c r="AI297" s="39">
        <f>IF(AND($E297="timed",$N297&gt;=Settings!$C$9),1,0)</f>
        <v>0</v>
      </c>
      <c r="AJ297" s="39" t="str">
        <f>IF(OR($S297="",Settings!$C$16=""),"",IF($S297&lt;=Settings!$C$16,1,2))</f>
        <v/>
      </c>
      <c r="AK297" s="39" t="str">
        <f>IF($C297="","",IFERROR(IF(INDEX(Settings!$C$20:$C$59,MATCH($C297,Settings!$B$20:$B$59,0))="",Settings!$C$10,INDEX(Settings!$C$20:$C$59,MATCH($C297,Settings!$B$20:$B$59,0))),Settings!$C$10))</f>
        <v/>
      </c>
      <c r="AL297" s="108">
        <f t="shared" si="84"/>
        <v>0</v>
      </c>
      <c r="AM297" s="39" t="str">
        <f t="shared" si="85"/>
        <v/>
      </c>
      <c r="AN297" s="39" t="str">
        <f t="shared" si="86"/>
        <v/>
      </c>
      <c r="AO297" s="39" t="str">
        <f t="shared" si="87"/>
        <v/>
      </c>
      <c r="AP297" s="39">
        <f t="shared" si="88"/>
        <v>0</v>
      </c>
      <c r="AQ297" s="39">
        <f t="shared" si="89"/>
        <v>0</v>
      </c>
    </row>
    <row r="298" spans="14:43" x14ac:dyDescent="0.25">
      <c r="N298" s="105">
        <f t="shared" si="72"/>
        <v>0</v>
      </c>
      <c r="O298" s="106" t="str">
        <f>IF($F298="","",IF(ISNUMBER($F298),$F298+Settings!$C$7/24,IFERROR(DATEVALUE(LEFT($F298,10))+TIMEVALUE(MID($F298,12,8))+Settings!$C$7/24,"")))</f>
        <v/>
      </c>
      <c r="P298" s="106" t="str">
        <f>IF($G298="","",IF(ISNUMBER($G298),$G298+Settings!$C$7/24,IFERROR(DATEVALUE(LEFT($G298,10))+TIMEVALUE(MID($G298,12,8))+Settings!$C$7/24,"")))</f>
        <v/>
      </c>
      <c r="Q298" s="39" t="str">
        <f t="shared" si="73"/>
        <v/>
      </c>
      <c r="R298" s="39" t="str">
        <f t="shared" si="74"/>
        <v/>
      </c>
      <c r="S298" s="107" t="str">
        <f t="shared" si="75"/>
        <v/>
      </c>
      <c r="T298" s="39" t="str">
        <f>IF($C298="","",IF(COUNTIF($C$2:$C298,$C298)=1,1,0))</f>
        <v/>
      </c>
      <c r="U298" s="39" t="str">
        <f>IF($T298=1,COUNTIF($T$2:$T298,1),"")</f>
        <v/>
      </c>
      <c r="V298" s="39" t="str">
        <f>IF($B298="","",IF(COUNTIF($B$2:$B298,$B298)=1,1,0))</f>
        <v/>
      </c>
      <c r="W298" s="39" t="str">
        <f>IF($V298=1,COUNTIF($V$2:$V298,1),"")</f>
        <v/>
      </c>
      <c r="X298" s="39" t="str">
        <f>IF($A298="","",IF(COUNTIF($A$2:$A298,$A298)=1,1,0))</f>
        <v/>
      </c>
      <c r="Y298" s="39" t="str">
        <f>IF($X298=1,COUNTIF($X$2:$X298,1),"")</f>
        <v/>
      </c>
      <c r="Z298" s="39">
        <f>IF(AND($E298="timed",$N298&gt;Settings!$C$8),1,0)</f>
        <v>0</v>
      </c>
      <c r="AA298" s="39">
        <f t="shared" si="76"/>
        <v>0</v>
      </c>
      <c r="AB298" s="39">
        <f t="shared" si="77"/>
        <v>0</v>
      </c>
      <c r="AC298" s="39" t="str">
        <f t="shared" si="78"/>
        <v/>
      </c>
      <c r="AD298" s="39" t="str">
        <f t="shared" si="79"/>
        <v/>
      </c>
      <c r="AE298" s="39" t="str">
        <f t="shared" si="80"/>
        <v/>
      </c>
      <c r="AF298" s="106" t="str">
        <f t="shared" si="81"/>
        <v/>
      </c>
      <c r="AG298" s="39">
        <f t="shared" si="82"/>
        <v>0</v>
      </c>
      <c r="AH298" s="39" t="str">
        <f t="shared" si="83"/>
        <v/>
      </c>
      <c r="AI298" s="39">
        <f>IF(AND($E298="timed",$N298&gt;=Settings!$C$9),1,0)</f>
        <v>0</v>
      </c>
      <c r="AJ298" s="39" t="str">
        <f>IF(OR($S298="",Settings!$C$16=""),"",IF($S298&lt;=Settings!$C$16,1,2))</f>
        <v/>
      </c>
      <c r="AK298" s="39" t="str">
        <f>IF($C298="","",IFERROR(IF(INDEX(Settings!$C$20:$C$59,MATCH($C298,Settings!$B$20:$B$59,0))="",Settings!$C$10,INDEX(Settings!$C$20:$C$59,MATCH($C298,Settings!$B$20:$B$59,0))),Settings!$C$10))</f>
        <v/>
      </c>
      <c r="AL298" s="108">
        <f t="shared" si="84"/>
        <v>0</v>
      </c>
      <c r="AM298" s="39" t="str">
        <f t="shared" si="85"/>
        <v/>
      </c>
      <c r="AN298" s="39" t="str">
        <f t="shared" si="86"/>
        <v/>
      </c>
      <c r="AO298" s="39" t="str">
        <f t="shared" si="87"/>
        <v/>
      </c>
      <c r="AP298" s="39">
        <f t="shared" si="88"/>
        <v>0</v>
      </c>
      <c r="AQ298" s="39">
        <f t="shared" si="89"/>
        <v>0</v>
      </c>
    </row>
    <row r="299" spans="14:43" x14ac:dyDescent="0.25">
      <c r="N299" s="105">
        <f t="shared" si="72"/>
        <v>0</v>
      </c>
      <c r="O299" s="106" t="str">
        <f>IF($F299="","",IF(ISNUMBER($F299),$F299+Settings!$C$7/24,IFERROR(DATEVALUE(LEFT($F299,10))+TIMEVALUE(MID($F299,12,8))+Settings!$C$7/24,"")))</f>
        <v/>
      </c>
      <c r="P299" s="106" t="str">
        <f>IF($G299="","",IF(ISNUMBER($G299),$G299+Settings!$C$7/24,IFERROR(DATEVALUE(LEFT($G299,10))+TIMEVALUE(MID($G299,12,8))+Settings!$C$7/24,"")))</f>
        <v/>
      </c>
      <c r="Q299" s="39" t="str">
        <f t="shared" si="73"/>
        <v/>
      </c>
      <c r="R299" s="39" t="str">
        <f t="shared" si="74"/>
        <v/>
      </c>
      <c r="S299" s="107" t="str">
        <f t="shared" si="75"/>
        <v/>
      </c>
      <c r="T299" s="39" t="str">
        <f>IF($C299="","",IF(COUNTIF($C$2:$C299,$C299)=1,1,0))</f>
        <v/>
      </c>
      <c r="U299" s="39" t="str">
        <f>IF($T299=1,COUNTIF($T$2:$T299,1),"")</f>
        <v/>
      </c>
      <c r="V299" s="39" t="str">
        <f>IF($B299="","",IF(COUNTIF($B$2:$B299,$B299)=1,1,0))</f>
        <v/>
      </c>
      <c r="W299" s="39" t="str">
        <f>IF($V299=1,COUNTIF($V$2:$V299,1),"")</f>
        <v/>
      </c>
      <c r="X299" s="39" t="str">
        <f>IF($A299="","",IF(COUNTIF($A$2:$A299,$A299)=1,1,0))</f>
        <v/>
      </c>
      <c r="Y299" s="39" t="str">
        <f>IF($X299=1,COUNTIF($X$2:$X299,1),"")</f>
        <v/>
      </c>
      <c r="Z299" s="39">
        <f>IF(AND($E299="timed",$N299&gt;Settings!$C$8),1,0)</f>
        <v>0</v>
      </c>
      <c r="AA299" s="39">
        <f t="shared" si="76"/>
        <v>0</v>
      </c>
      <c r="AB299" s="39">
        <f t="shared" si="77"/>
        <v>0</v>
      </c>
      <c r="AC299" s="39" t="str">
        <f t="shared" si="78"/>
        <v/>
      </c>
      <c r="AD299" s="39" t="str">
        <f t="shared" si="79"/>
        <v/>
      </c>
      <c r="AE299" s="39" t="str">
        <f t="shared" si="80"/>
        <v/>
      </c>
      <c r="AF299" s="106" t="str">
        <f t="shared" si="81"/>
        <v/>
      </c>
      <c r="AG299" s="39">
        <f t="shared" si="82"/>
        <v>0</v>
      </c>
      <c r="AH299" s="39" t="str">
        <f t="shared" si="83"/>
        <v/>
      </c>
      <c r="AI299" s="39">
        <f>IF(AND($E299="timed",$N299&gt;=Settings!$C$9),1,0)</f>
        <v>0</v>
      </c>
      <c r="AJ299" s="39" t="str">
        <f>IF(OR($S299="",Settings!$C$16=""),"",IF($S299&lt;=Settings!$C$16,1,2))</f>
        <v/>
      </c>
      <c r="AK299" s="39" t="str">
        <f>IF($C299="","",IFERROR(IF(INDEX(Settings!$C$20:$C$59,MATCH($C299,Settings!$B$20:$B$59,0))="",Settings!$C$10,INDEX(Settings!$C$20:$C$59,MATCH($C299,Settings!$B$20:$B$59,0))),Settings!$C$10))</f>
        <v/>
      </c>
      <c r="AL299" s="108">
        <f t="shared" si="84"/>
        <v>0</v>
      </c>
      <c r="AM299" s="39" t="str">
        <f t="shared" si="85"/>
        <v/>
      </c>
      <c r="AN299" s="39" t="str">
        <f t="shared" si="86"/>
        <v/>
      </c>
      <c r="AO299" s="39" t="str">
        <f t="shared" si="87"/>
        <v/>
      </c>
      <c r="AP299" s="39">
        <f t="shared" si="88"/>
        <v>0</v>
      </c>
      <c r="AQ299" s="39">
        <f t="shared" si="89"/>
        <v>0</v>
      </c>
    </row>
    <row r="300" spans="14:43" x14ac:dyDescent="0.25">
      <c r="N300" s="105">
        <f t="shared" si="72"/>
        <v>0</v>
      </c>
      <c r="O300" s="106" t="str">
        <f>IF($F300="","",IF(ISNUMBER($F300),$F300+Settings!$C$7/24,IFERROR(DATEVALUE(LEFT($F300,10))+TIMEVALUE(MID($F300,12,8))+Settings!$C$7/24,"")))</f>
        <v/>
      </c>
      <c r="P300" s="106" t="str">
        <f>IF($G300="","",IF(ISNUMBER($G300),$G300+Settings!$C$7/24,IFERROR(DATEVALUE(LEFT($G300,10))+TIMEVALUE(MID($G300,12,8))+Settings!$C$7/24,"")))</f>
        <v/>
      </c>
      <c r="Q300" s="39" t="str">
        <f t="shared" si="73"/>
        <v/>
      </c>
      <c r="R300" s="39" t="str">
        <f t="shared" si="74"/>
        <v/>
      </c>
      <c r="S300" s="107" t="str">
        <f t="shared" si="75"/>
        <v/>
      </c>
      <c r="T300" s="39" t="str">
        <f>IF($C300="","",IF(COUNTIF($C$2:$C300,$C300)=1,1,0))</f>
        <v/>
      </c>
      <c r="U300" s="39" t="str">
        <f>IF($T300=1,COUNTIF($T$2:$T300,1),"")</f>
        <v/>
      </c>
      <c r="V300" s="39" t="str">
        <f>IF($B300="","",IF(COUNTIF($B$2:$B300,$B300)=1,1,0))</f>
        <v/>
      </c>
      <c r="W300" s="39" t="str">
        <f>IF($V300=1,COUNTIF($V$2:$V300,1),"")</f>
        <v/>
      </c>
      <c r="X300" s="39" t="str">
        <f>IF($A300="","",IF(COUNTIF($A$2:$A300,$A300)=1,1,0))</f>
        <v/>
      </c>
      <c r="Y300" s="39" t="str">
        <f>IF($X300=1,COUNTIF($X$2:$X300,1),"")</f>
        <v/>
      </c>
      <c r="Z300" s="39">
        <f>IF(AND($E300="timed",$N300&gt;Settings!$C$8),1,0)</f>
        <v>0</v>
      </c>
      <c r="AA300" s="39">
        <f t="shared" si="76"/>
        <v>0</v>
      </c>
      <c r="AB300" s="39">
        <f t="shared" si="77"/>
        <v>0</v>
      </c>
      <c r="AC300" s="39" t="str">
        <f t="shared" si="78"/>
        <v/>
      </c>
      <c r="AD300" s="39" t="str">
        <f t="shared" si="79"/>
        <v/>
      </c>
      <c r="AE300" s="39" t="str">
        <f t="shared" si="80"/>
        <v/>
      </c>
      <c r="AF300" s="106" t="str">
        <f t="shared" si="81"/>
        <v/>
      </c>
      <c r="AG300" s="39">
        <f t="shared" si="82"/>
        <v>0</v>
      </c>
      <c r="AH300" s="39" t="str">
        <f t="shared" si="83"/>
        <v/>
      </c>
      <c r="AI300" s="39">
        <f>IF(AND($E300="timed",$N300&gt;=Settings!$C$9),1,0)</f>
        <v>0</v>
      </c>
      <c r="AJ300" s="39" t="str">
        <f>IF(OR($S300="",Settings!$C$16=""),"",IF($S300&lt;=Settings!$C$16,1,2))</f>
        <v/>
      </c>
      <c r="AK300" s="39" t="str">
        <f>IF($C300="","",IFERROR(IF(INDEX(Settings!$C$20:$C$59,MATCH($C300,Settings!$B$20:$B$59,0))="",Settings!$C$10,INDEX(Settings!$C$20:$C$59,MATCH($C300,Settings!$B$20:$B$59,0))),Settings!$C$10))</f>
        <v/>
      </c>
      <c r="AL300" s="108">
        <f t="shared" si="84"/>
        <v>0</v>
      </c>
      <c r="AM300" s="39" t="str">
        <f t="shared" si="85"/>
        <v/>
      </c>
      <c r="AN300" s="39" t="str">
        <f t="shared" si="86"/>
        <v/>
      </c>
      <c r="AO300" s="39" t="str">
        <f t="shared" si="87"/>
        <v/>
      </c>
      <c r="AP300" s="39">
        <f t="shared" si="88"/>
        <v>0</v>
      </c>
      <c r="AQ300" s="39">
        <f t="shared" si="89"/>
        <v>0</v>
      </c>
    </row>
    <row r="301" spans="14:43" x14ac:dyDescent="0.25">
      <c r="N301" s="105">
        <f t="shared" si="72"/>
        <v>0</v>
      </c>
      <c r="O301" s="106" t="str">
        <f>IF($F301="","",IF(ISNUMBER($F301),$F301+Settings!$C$7/24,IFERROR(DATEVALUE(LEFT($F301,10))+TIMEVALUE(MID($F301,12,8))+Settings!$C$7/24,"")))</f>
        <v/>
      </c>
      <c r="P301" s="106" t="str">
        <f>IF($G301="","",IF(ISNUMBER($G301),$G301+Settings!$C$7/24,IFERROR(DATEVALUE(LEFT($G301,10))+TIMEVALUE(MID($G301,12,8))+Settings!$C$7/24,"")))</f>
        <v/>
      </c>
      <c r="Q301" s="39" t="str">
        <f t="shared" si="73"/>
        <v/>
      </c>
      <c r="R301" s="39" t="str">
        <f t="shared" si="74"/>
        <v/>
      </c>
      <c r="S301" s="107" t="str">
        <f t="shared" si="75"/>
        <v/>
      </c>
      <c r="T301" s="39" t="str">
        <f>IF($C301="","",IF(COUNTIF($C$2:$C301,$C301)=1,1,0))</f>
        <v/>
      </c>
      <c r="U301" s="39" t="str">
        <f>IF($T301=1,COUNTIF($T$2:$T301,1),"")</f>
        <v/>
      </c>
      <c r="V301" s="39" t="str">
        <f>IF($B301="","",IF(COUNTIF($B$2:$B301,$B301)=1,1,0))</f>
        <v/>
      </c>
      <c r="W301" s="39" t="str">
        <f>IF($V301=1,COUNTIF($V$2:$V301,1),"")</f>
        <v/>
      </c>
      <c r="X301" s="39" t="str">
        <f>IF($A301="","",IF(COUNTIF($A$2:$A301,$A301)=1,1,0))</f>
        <v/>
      </c>
      <c r="Y301" s="39" t="str">
        <f>IF($X301=1,COUNTIF($X$2:$X301,1),"")</f>
        <v/>
      </c>
      <c r="Z301" s="39">
        <f>IF(AND($E301="timed",$N301&gt;Settings!$C$8),1,0)</f>
        <v>0</v>
      </c>
      <c r="AA301" s="39">
        <f t="shared" si="76"/>
        <v>0</v>
      </c>
      <c r="AB301" s="39">
        <f t="shared" si="77"/>
        <v>0</v>
      </c>
      <c r="AC301" s="39" t="str">
        <f t="shared" si="78"/>
        <v/>
      </c>
      <c r="AD301" s="39" t="str">
        <f t="shared" si="79"/>
        <v/>
      </c>
      <c r="AE301" s="39" t="str">
        <f t="shared" si="80"/>
        <v/>
      </c>
      <c r="AF301" s="106" t="str">
        <f t="shared" si="81"/>
        <v/>
      </c>
      <c r="AG301" s="39">
        <f t="shared" si="82"/>
        <v>0</v>
      </c>
      <c r="AH301" s="39" t="str">
        <f t="shared" si="83"/>
        <v/>
      </c>
      <c r="AI301" s="39">
        <f>IF(AND($E301="timed",$N301&gt;=Settings!$C$9),1,0)</f>
        <v>0</v>
      </c>
      <c r="AJ301" s="39" t="str">
        <f>IF(OR($S301="",Settings!$C$16=""),"",IF($S301&lt;=Settings!$C$16,1,2))</f>
        <v/>
      </c>
      <c r="AK301" s="39" t="str">
        <f>IF($C301="","",IFERROR(IF(INDEX(Settings!$C$20:$C$59,MATCH($C301,Settings!$B$20:$B$59,0))="",Settings!$C$10,INDEX(Settings!$C$20:$C$59,MATCH($C301,Settings!$B$20:$B$59,0))),Settings!$C$10))</f>
        <v/>
      </c>
      <c r="AL301" s="108">
        <f t="shared" si="84"/>
        <v>0</v>
      </c>
      <c r="AM301" s="39" t="str">
        <f t="shared" si="85"/>
        <v/>
      </c>
      <c r="AN301" s="39" t="str">
        <f t="shared" si="86"/>
        <v/>
      </c>
      <c r="AO301" s="39" t="str">
        <f t="shared" si="87"/>
        <v/>
      </c>
      <c r="AP301" s="39">
        <f t="shared" si="88"/>
        <v>0</v>
      </c>
      <c r="AQ301" s="39">
        <f t="shared" si="89"/>
        <v>0</v>
      </c>
    </row>
    <row r="302" spans="14:43" x14ac:dyDescent="0.25">
      <c r="N302" s="105">
        <f t="shared" si="72"/>
        <v>0</v>
      </c>
      <c r="O302" s="106" t="str">
        <f>IF($F302="","",IF(ISNUMBER($F302),$F302+Settings!$C$7/24,IFERROR(DATEVALUE(LEFT($F302,10))+TIMEVALUE(MID($F302,12,8))+Settings!$C$7/24,"")))</f>
        <v/>
      </c>
      <c r="P302" s="106" t="str">
        <f>IF($G302="","",IF(ISNUMBER($G302),$G302+Settings!$C$7/24,IFERROR(DATEVALUE(LEFT($G302,10))+TIMEVALUE(MID($G302,12,8))+Settings!$C$7/24,"")))</f>
        <v/>
      </c>
      <c r="Q302" s="39" t="str">
        <f t="shared" si="73"/>
        <v/>
      </c>
      <c r="R302" s="39" t="str">
        <f t="shared" si="74"/>
        <v/>
      </c>
      <c r="S302" s="107" t="str">
        <f t="shared" si="75"/>
        <v/>
      </c>
      <c r="T302" s="39" t="str">
        <f>IF($C302="","",IF(COUNTIF($C$2:$C302,$C302)=1,1,0))</f>
        <v/>
      </c>
      <c r="U302" s="39" t="str">
        <f>IF($T302=1,COUNTIF($T$2:$T302,1),"")</f>
        <v/>
      </c>
      <c r="V302" s="39" t="str">
        <f>IF($B302="","",IF(COUNTIF($B$2:$B302,$B302)=1,1,0))</f>
        <v/>
      </c>
      <c r="W302" s="39" t="str">
        <f>IF($V302=1,COUNTIF($V$2:$V302,1),"")</f>
        <v/>
      </c>
      <c r="X302" s="39" t="str">
        <f>IF($A302="","",IF(COUNTIF($A$2:$A302,$A302)=1,1,0))</f>
        <v/>
      </c>
      <c r="Y302" s="39" t="str">
        <f>IF($X302=1,COUNTIF($X$2:$X302,1),"")</f>
        <v/>
      </c>
      <c r="Z302" s="39">
        <f>IF(AND($E302="timed",$N302&gt;Settings!$C$8),1,0)</f>
        <v>0</v>
      </c>
      <c r="AA302" s="39">
        <f t="shared" si="76"/>
        <v>0</v>
      </c>
      <c r="AB302" s="39">
        <f t="shared" si="77"/>
        <v>0</v>
      </c>
      <c r="AC302" s="39" t="str">
        <f t="shared" si="78"/>
        <v/>
      </c>
      <c r="AD302" s="39" t="str">
        <f t="shared" si="79"/>
        <v/>
      </c>
      <c r="AE302" s="39" t="str">
        <f t="shared" si="80"/>
        <v/>
      </c>
      <c r="AF302" s="106" t="str">
        <f t="shared" si="81"/>
        <v/>
      </c>
      <c r="AG302" s="39">
        <f t="shared" si="82"/>
        <v>0</v>
      </c>
      <c r="AH302" s="39" t="str">
        <f t="shared" si="83"/>
        <v/>
      </c>
      <c r="AI302" s="39">
        <f>IF(AND($E302="timed",$N302&gt;=Settings!$C$9),1,0)</f>
        <v>0</v>
      </c>
      <c r="AJ302" s="39" t="str">
        <f>IF(OR($S302="",Settings!$C$16=""),"",IF($S302&lt;=Settings!$C$16,1,2))</f>
        <v/>
      </c>
      <c r="AK302" s="39" t="str">
        <f>IF($C302="","",IFERROR(IF(INDEX(Settings!$C$20:$C$59,MATCH($C302,Settings!$B$20:$B$59,0))="",Settings!$C$10,INDEX(Settings!$C$20:$C$59,MATCH($C302,Settings!$B$20:$B$59,0))),Settings!$C$10))</f>
        <v/>
      </c>
      <c r="AL302" s="108">
        <f t="shared" si="84"/>
        <v>0</v>
      </c>
      <c r="AM302" s="39" t="str">
        <f t="shared" si="85"/>
        <v/>
      </c>
      <c r="AN302" s="39" t="str">
        <f t="shared" si="86"/>
        <v/>
      </c>
      <c r="AO302" s="39" t="str">
        <f t="shared" si="87"/>
        <v/>
      </c>
      <c r="AP302" s="39">
        <f t="shared" si="88"/>
        <v>0</v>
      </c>
      <c r="AQ302" s="39">
        <f t="shared" si="89"/>
        <v>0</v>
      </c>
    </row>
    <row r="303" spans="14:43" x14ac:dyDescent="0.25">
      <c r="N303" s="105">
        <f t="shared" si="72"/>
        <v>0</v>
      </c>
      <c r="O303" s="106" t="str">
        <f>IF($F303="","",IF(ISNUMBER($F303),$F303+Settings!$C$7/24,IFERROR(DATEVALUE(LEFT($F303,10))+TIMEVALUE(MID($F303,12,8))+Settings!$C$7/24,"")))</f>
        <v/>
      </c>
      <c r="P303" s="106" t="str">
        <f>IF($G303="","",IF(ISNUMBER($G303),$G303+Settings!$C$7/24,IFERROR(DATEVALUE(LEFT($G303,10))+TIMEVALUE(MID($G303,12,8))+Settings!$C$7/24,"")))</f>
        <v/>
      </c>
      <c r="Q303" s="39" t="str">
        <f t="shared" si="73"/>
        <v/>
      </c>
      <c r="R303" s="39" t="str">
        <f t="shared" si="74"/>
        <v/>
      </c>
      <c r="S303" s="107" t="str">
        <f t="shared" si="75"/>
        <v/>
      </c>
      <c r="T303" s="39" t="str">
        <f>IF($C303="","",IF(COUNTIF($C$2:$C303,$C303)=1,1,0))</f>
        <v/>
      </c>
      <c r="U303" s="39" t="str">
        <f>IF($T303=1,COUNTIF($T$2:$T303,1),"")</f>
        <v/>
      </c>
      <c r="V303" s="39" t="str">
        <f>IF($B303="","",IF(COUNTIF($B$2:$B303,$B303)=1,1,0))</f>
        <v/>
      </c>
      <c r="W303" s="39" t="str">
        <f>IF($V303=1,COUNTIF($V$2:$V303,1),"")</f>
        <v/>
      </c>
      <c r="X303" s="39" t="str">
        <f>IF($A303="","",IF(COUNTIF($A$2:$A303,$A303)=1,1,0))</f>
        <v/>
      </c>
      <c r="Y303" s="39" t="str">
        <f>IF($X303=1,COUNTIF($X$2:$X303,1),"")</f>
        <v/>
      </c>
      <c r="Z303" s="39">
        <f>IF(AND($E303="timed",$N303&gt;Settings!$C$8),1,0)</f>
        <v>0</v>
      </c>
      <c r="AA303" s="39">
        <f t="shared" si="76"/>
        <v>0</v>
      </c>
      <c r="AB303" s="39">
        <f t="shared" si="77"/>
        <v>0</v>
      </c>
      <c r="AC303" s="39" t="str">
        <f t="shared" si="78"/>
        <v/>
      </c>
      <c r="AD303" s="39" t="str">
        <f t="shared" si="79"/>
        <v/>
      </c>
      <c r="AE303" s="39" t="str">
        <f t="shared" si="80"/>
        <v/>
      </c>
      <c r="AF303" s="106" t="str">
        <f t="shared" si="81"/>
        <v/>
      </c>
      <c r="AG303" s="39">
        <f t="shared" si="82"/>
        <v>0</v>
      </c>
      <c r="AH303" s="39" t="str">
        <f t="shared" si="83"/>
        <v/>
      </c>
      <c r="AI303" s="39">
        <f>IF(AND($E303="timed",$N303&gt;=Settings!$C$9),1,0)</f>
        <v>0</v>
      </c>
      <c r="AJ303" s="39" t="str">
        <f>IF(OR($S303="",Settings!$C$16=""),"",IF($S303&lt;=Settings!$C$16,1,2))</f>
        <v/>
      </c>
      <c r="AK303" s="39" t="str">
        <f>IF($C303="","",IFERROR(IF(INDEX(Settings!$C$20:$C$59,MATCH($C303,Settings!$B$20:$B$59,0))="",Settings!$C$10,INDEX(Settings!$C$20:$C$59,MATCH($C303,Settings!$B$20:$B$59,0))),Settings!$C$10))</f>
        <v/>
      </c>
      <c r="AL303" s="108">
        <f t="shared" si="84"/>
        <v>0</v>
      </c>
      <c r="AM303" s="39" t="str">
        <f t="shared" si="85"/>
        <v/>
      </c>
      <c r="AN303" s="39" t="str">
        <f t="shared" si="86"/>
        <v/>
      </c>
      <c r="AO303" s="39" t="str">
        <f t="shared" si="87"/>
        <v/>
      </c>
      <c r="AP303" s="39">
        <f t="shared" si="88"/>
        <v>0</v>
      </c>
      <c r="AQ303" s="39">
        <f t="shared" si="89"/>
        <v>0</v>
      </c>
    </row>
    <row r="304" spans="14:43" x14ac:dyDescent="0.25">
      <c r="N304" s="105">
        <f t="shared" si="72"/>
        <v>0</v>
      </c>
      <c r="O304" s="106" t="str">
        <f>IF($F304="","",IF(ISNUMBER($F304),$F304+Settings!$C$7/24,IFERROR(DATEVALUE(LEFT($F304,10))+TIMEVALUE(MID($F304,12,8))+Settings!$C$7/24,"")))</f>
        <v/>
      </c>
      <c r="P304" s="106" t="str">
        <f>IF($G304="","",IF(ISNUMBER($G304),$G304+Settings!$C$7/24,IFERROR(DATEVALUE(LEFT($G304,10))+TIMEVALUE(MID($G304,12,8))+Settings!$C$7/24,"")))</f>
        <v/>
      </c>
      <c r="Q304" s="39" t="str">
        <f t="shared" si="73"/>
        <v/>
      </c>
      <c r="R304" s="39" t="str">
        <f t="shared" si="74"/>
        <v/>
      </c>
      <c r="S304" s="107" t="str">
        <f t="shared" si="75"/>
        <v/>
      </c>
      <c r="T304" s="39" t="str">
        <f>IF($C304="","",IF(COUNTIF($C$2:$C304,$C304)=1,1,0))</f>
        <v/>
      </c>
      <c r="U304" s="39" t="str">
        <f>IF($T304=1,COUNTIF($T$2:$T304,1),"")</f>
        <v/>
      </c>
      <c r="V304" s="39" t="str">
        <f>IF($B304="","",IF(COUNTIF($B$2:$B304,$B304)=1,1,0))</f>
        <v/>
      </c>
      <c r="W304" s="39" t="str">
        <f>IF($V304=1,COUNTIF($V$2:$V304,1),"")</f>
        <v/>
      </c>
      <c r="X304" s="39" t="str">
        <f>IF($A304="","",IF(COUNTIF($A$2:$A304,$A304)=1,1,0))</f>
        <v/>
      </c>
      <c r="Y304" s="39" t="str">
        <f>IF($X304=1,COUNTIF($X$2:$X304,1),"")</f>
        <v/>
      </c>
      <c r="Z304" s="39">
        <f>IF(AND($E304="timed",$N304&gt;Settings!$C$8),1,0)</f>
        <v>0</v>
      </c>
      <c r="AA304" s="39">
        <f t="shared" si="76"/>
        <v>0</v>
      </c>
      <c r="AB304" s="39">
        <f t="shared" si="77"/>
        <v>0</v>
      </c>
      <c r="AC304" s="39" t="str">
        <f t="shared" si="78"/>
        <v/>
      </c>
      <c r="AD304" s="39" t="str">
        <f t="shared" si="79"/>
        <v/>
      </c>
      <c r="AE304" s="39" t="str">
        <f t="shared" si="80"/>
        <v/>
      </c>
      <c r="AF304" s="106" t="str">
        <f t="shared" si="81"/>
        <v/>
      </c>
      <c r="AG304" s="39">
        <f t="shared" si="82"/>
        <v>0</v>
      </c>
      <c r="AH304" s="39" t="str">
        <f t="shared" si="83"/>
        <v/>
      </c>
      <c r="AI304" s="39">
        <f>IF(AND($E304="timed",$N304&gt;=Settings!$C$9),1,0)</f>
        <v>0</v>
      </c>
      <c r="AJ304" s="39" t="str">
        <f>IF(OR($S304="",Settings!$C$16=""),"",IF($S304&lt;=Settings!$C$16,1,2))</f>
        <v/>
      </c>
      <c r="AK304" s="39" t="str">
        <f>IF($C304="","",IFERROR(IF(INDEX(Settings!$C$20:$C$59,MATCH($C304,Settings!$B$20:$B$59,0))="",Settings!$C$10,INDEX(Settings!$C$20:$C$59,MATCH($C304,Settings!$B$20:$B$59,0))),Settings!$C$10))</f>
        <v/>
      </c>
      <c r="AL304" s="108">
        <f t="shared" si="84"/>
        <v>0</v>
      </c>
      <c r="AM304" s="39" t="str">
        <f t="shared" si="85"/>
        <v/>
      </c>
      <c r="AN304" s="39" t="str">
        <f t="shared" si="86"/>
        <v/>
      </c>
      <c r="AO304" s="39" t="str">
        <f t="shared" si="87"/>
        <v/>
      </c>
      <c r="AP304" s="39">
        <f t="shared" si="88"/>
        <v>0</v>
      </c>
      <c r="AQ304" s="39">
        <f t="shared" si="89"/>
        <v>0</v>
      </c>
    </row>
    <row r="305" spans="14:43" x14ac:dyDescent="0.25">
      <c r="N305" s="105">
        <f t="shared" si="72"/>
        <v>0</v>
      </c>
      <c r="O305" s="106" t="str">
        <f>IF($F305="","",IF(ISNUMBER($F305),$F305+Settings!$C$7/24,IFERROR(DATEVALUE(LEFT($F305,10))+TIMEVALUE(MID($F305,12,8))+Settings!$C$7/24,"")))</f>
        <v/>
      </c>
      <c r="P305" s="106" t="str">
        <f>IF($G305="","",IF(ISNUMBER($G305),$G305+Settings!$C$7/24,IFERROR(DATEVALUE(LEFT($G305,10))+TIMEVALUE(MID($G305,12,8))+Settings!$C$7/24,"")))</f>
        <v/>
      </c>
      <c r="Q305" s="39" t="str">
        <f t="shared" si="73"/>
        <v/>
      </c>
      <c r="R305" s="39" t="str">
        <f t="shared" si="74"/>
        <v/>
      </c>
      <c r="S305" s="107" t="str">
        <f t="shared" si="75"/>
        <v/>
      </c>
      <c r="T305" s="39" t="str">
        <f>IF($C305="","",IF(COUNTIF($C$2:$C305,$C305)=1,1,0))</f>
        <v/>
      </c>
      <c r="U305" s="39" t="str">
        <f>IF($T305=1,COUNTIF($T$2:$T305,1),"")</f>
        <v/>
      </c>
      <c r="V305" s="39" t="str">
        <f>IF($B305="","",IF(COUNTIF($B$2:$B305,$B305)=1,1,0))</f>
        <v/>
      </c>
      <c r="W305" s="39" t="str">
        <f>IF($V305=1,COUNTIF($V$2:$V305,1),"")</f>
        <v/>
      </c>
      <c r="X305" s="39" t="str">
        <f>IF($A305="","",IF(COUNTIF($A$2:$A305,$A305)=1,1,0))</f>
        <v/>
      </c>
      <c r="Y305" s="39" t="str">
        <f>IF($X305=1,COUNTIF($X$2:$X305,1),"")</f>
        <v/>
      </c>
      <c r="Z305" s="39">
        <f>IF(AND($E305="timed",$N305&gt;Settings!$C$8),1,0)</f>
        <v>0</v>
      </c>
      <c r="AA305" s="39">
        <f t="shared" si="76"/>
        <v>0</v>
      </c>
      <c r="AB305" s="39">
        <f t="shared" si="77"/>
        <v>0</v>
      </c>
      <c r="AC305" s="39" t="str">
        <f t="shared" si="78"/>
        <v/>
      </c>
      <c r="AD305" s="39" t="str">
        <f t="shared" si="79"/>
        <v/>
      </c>
      <c r="AE305" s="39" t="str">
        <f t="shared" si="80"/>
        <v/>
      </c>
      <c r="AF305" s="106" t="str">
        <f t="shared" si="81"/>
        <v/>
      </c>
      <c r="AG305" s="39">
        <f t="shared" si="82"/>
        <v>0</v>
      </c>
      <c r="AH305" s="39" t="str">
        <f t="shared" si="83"/>
        <v/>
      </c>
      <c r="AI305" s="39">
        <f>IF(AND($E305="timed",$N305&gt;=Settings!$C$9),1,0)</f>
        <v>0</v>
      </c>
      <c r="AJ305" s="39" t="str">
        <f>IF(OR($S305="",Settings!$C$16=""),"",IF($S305&lt;=Settings!$C$16,1,2))</f>
        <v/>
      </c>
      <c r="AK305" s="39" t="str">
        <f>IF($C305="","",IFERROR(IF(INDEX(Settings!$C$20:$C$59,MATCH($C305,Settings!$B$20:$B$59,0))="",Settings!$C$10,INDEX(Settings!$C$20:$C$59,MATCH($C305,Settings!$B$20:$B$59,0))),Settings!$C$10))</f>
        <v/>
      </c>
      <c r="AL305" s="108">
        <f t="shared" si="84"/>
        <v>0</v>
      </c>
      <c r="AM305" s="39" t="str">
        <f t="shared" si="85"/>
        <v/>
      </c>
      <c r="AN305" s="39" t="str">
        <f t="shared" si="86"/>
        <v/>
      </c>
      <c r="AO305" s="39" t="str">
        <f t="shared" si="87"/>
        <v/>
      </c>
      <c r="AP305" s="39">
        <f t="shared" si="88"/>
        <v>0</v>
      </c>
      <c r="AQ305" s="39">
        <f t="shared" si="89"/>
        <v>0</v>
      </c>
    </row>
    <row r="306" spans="14:43" x14ac:dyDescent="0.25">
      <c r="N306" s="105">
        <f t="shared" si="72"/>
        <v>0</v>
      </c>
      <c r="O306" s="106" t="str">
        <f>IF($F306="","",IF(ISNUMBER($F306),$F306+Settings!$C$7/24,IFERROR(DATEVALUE(LEFT($F306,10))+TIMEVALUE(MID($F306,12,8))+Settings!$C$7/24,"")))</f>
        <v/>
      </c>
      <c r="P306" s="106" t="str">
        <f>IF($G306="","",IF(ISNUMBER($G306),$G306+Settings!$C$7/24,IFERROR(DATEVALUE(LEFT($G306,10))+TIMEVALUE(MID($G306,12,8))+Settings!$C$7/24,"")))</f>
        <v/>
      </c>
      <c r="Q306" s="39" t="str">
        <f t="shared" si="73"/>
        <v/>
      </c>
      <c r="R306" s="39" t="str">
        <f t="shared" si="74"/>
        <v/>
      </c>
      <c r="S306" s="107" t="str">
        <f t="shared" si="75"/>
        <v/>
      </c>
      <c r="T306" s="39" t="str">
        <f>IF($C306="","",IF(COUNTIF($C$2:$C306,$C306)=1,1,0))</f>
        <v/>
      </c>
      <c r="U306" s="39" t="str">
        <f>IF($T306=1,COUNTIF($T$2:$T306,1),"")</f>
        <v/>
      </c>
      <c r="V306" s="39" t="str">
        <f>IF($B306="","",IF(COUNTIF($B$2:$B306,$B306)=1,1,0))</f>
        <v/>
      </c>
      <c r="W306" s="39" t="str">
        <f>IF($V306=1,COUNTIF($V$2:$V306,1),"")</f>
        <v/>
      </c>
      <c r="X306" s="39" t="str">
        <f>IF($A306="","",IF(COUNTIF($A$2:$A306,$A306)=1,1,0))</f>
        <v/>
      </c>
      <c r="Y306" s="39" t="str">
        <f>IF($X306=1,COUNTIF($X$2:$X306,1),"")</f>
        <v/>
      </c>
      <c r="Z306" s="39">
        <f>IF(AND($E306="timed",$N306&gt;Settings!$C$8),1,0)</f>
        <v>0</v>
      </c>
      <c r="AA306" s="39">
        <f t="shared" si="76"/>
        <v>0</v>
      </c>
      <c r="AB306" s="39">
        <f t="shared" si="77"/>
        <v>0</v>
      </c>
      <c r="AC306" s="39" t="str">
        <f t="shared" si="78"/>
        <v/>
      </c>
      <c r="AD306" s="39" t="str">
        <f t="shared" si="79"/>
        <v/>
      </c>
      <c r="AE306" s="39" t="str">
        <f t="shared" si="80"/>
        <v/>
      </c>
      <c r="AF306" s="106" t="str">
        <f t="shared" si="81"/>
        <v/>
      </c>
      <c r="AG306" s="39">
        <f t="shared" si="82"/>
        <v>0</v>
      </c>
      <c r="AH306" s="39" t="str">
        <f t="shared" si="83"/>
        <v/>
      </c>
      <c r="AI306" s="39">
        <f>IF(AND($E306="timed",$N306&gt;=Settings!$C$9),1,0)</f>
        <v>0</v>
      </c>
      <c r="AJ306" s="39" t="str">
        <f>IF(OR($S306="",Settings!$C$16=""),"",IF($S306&lt;=Settings!$C$16,1,2))</f>
        <v/>
      </c>
      <c r="AK306" s="39" t="str">
        <f>IF($C306="","",IFERROR(IF(INDEX(Settings!$C$20:$C$59,MATCH($C306,Settings!$B$20:$B$59,0))="",Settings!$C$10,INDEX(Settings!$C$20:$C$59,MATCH($C306,Settings!$B$20:$B$59,0))),Settings!$C$10))</f>
        <v/>
      </c>
      <c r="AL306" s="108">
        <f t="shared" si="84"/>
        <v>0</v>
      </c>
      <c r="AM306" s="39" t="str">
        <f t="shared" si="85"/>
        <v/>
      </c>
      <c r="AN306" s="39" t="str">
        <f t="shared" si="86"/>
        <v/>
      </c>
      <c r="AO306" s="39" t="str">
        <f t="shared" si="87"/>
        <v/>
      </c>
      <c r="AP306" s="39">
        <f t="shared" si="88"/>
        <v>0</v>
      </c>
      <c r="AQ306" s="39">
        <f t="shared" si="89"/>
        <v>0</v>
      </c>
    </row>
    <row r="307" spans="14:43" x14ac:dyDescent="0.25">
      <c r="N307" s="105">
        <f t="shared" si="72"/>
        <v>0</v>
      </c>
      <c r="O307" s="106" t="str">
        <f>IF($F307="","",IF(ISNUMBER($F307),$F307+Settings!$C$7/24,IFERROR(DATEVALUE(LEFT($F307,10))+TIMEVALUE(MID($F307,12,8))+Settings!$C$7/24,"")))</f>
        <v/>
      </c>
      <c r="P307" s="106" t="str">
        <f>IF($G307="","",IF(ISNUMBER($G307),$G307+Settings!$C$7/24,IFERROR(DATEVALUE(LEFT($G307,10))+TIMEVALUE(MID($G307,12,8))+Settings!$C$7/24,"")))</f>
        <v/>
      </c>
      <c r="Q307" s="39" t="str">
        <f t="shared" si="73"/>
        <v/>
      </c>
      <c r="R307" s="39" t="str">
        <f t="shared" si="74"/>
        <v/>
      </c>
      <c r="S307" s="107" t="str">
        <f t="shared" si="75"/>
        <v/>
      </c>
      <c r="T307" s="39" t="str">
        <f>IF($C307="","",IF(COUNTIF($C$2:$C307,$C307)=1,1,0))</f>
        <v/>
      </c>
      <c r="U307" s="39" t="str">
        <f>IF($T307=1,COUNTIF($T$2:$T307,1),"")</f>
        <v/>
      </c>
      <c r="V307" s="39" t="str">
        <f>IF($B307="","",IF(COUNTIF($B$2:$B307,$B307)=1,1,0))</f>
        <v/>
      </c>
      <c r="W307" s="39" t="str">
        <f>IF($V307=1,COUNTIF($V$2:$V307,1),"")</f>
        <v/>
      </c>
      <c r="X307" s="39" t="str">
        <f>IF($A307="","",IF(COUNTIF($A$2:$A307,$A307)=1,1,0))</f>
        <v/>
      </c>
      <c r="Y307" s="39" t="str">
        <f>IF($X307=1,COUNTIF($X$2:$X307,1),"")</f>
        <v/>
      </c>
      <c r="Z307" s="39">
        <f>IF(AND($E307="timed",$N307&gt;Settings!$C$8),1,0)</f>
        <v>0</v>
      </c>
      <c r="AA307" s="39">
        <f t="shared" si="76"/>
        <v>0</v>
      </c>
      <c r="AB307" s="39">
        <f t="shared" si="77"/>
        <v>0</v>
      </c>
      <c r="AC307" s="39" t="str">
        <f t="shared" si="78"/>
        <v/>
      </c>
      <c r="AD307" s="39" t="str">
        <f t="shared" si="79"/>
        <v/>
      </c>
      <c r="AE307" s="39" t="str">
        <f t="shared" si="80"/>
        <v/>
      </c>
      <c r="AF307" s="106" t="str">
        <f t="shared" si="81"/>
        <v/>
      </c>
      <c r="AG307" s="39">
        <f t="shared" si="82"/>
        <v>0</v>
      </c>
      <c r="AH307" s="39" t="str">
        <f t="shared" si="83"/>
        <v/>
      </c>
      <c r="AI307" s="39">
        <f>IF(AND($E307="timed",$N307&gt;=Settings!$C$9),1,0)</f>
        <v>0</v>
      </c>
      <c r="AJ307" s="39" t="str">
        <f>IF(OR($S307="",Settings!$C$16=""),"",IF($S307&lt;=Settings!$C$16,1,2))</f>
        <v/>
      </c>
      <c r="AK307" s="39" t="str">
        <f>IF($C307="","",IFERROR(IF(INDEX(Settings!$C$20:$C$59,MATCH($C307,Settings!$B$20:$B$59,0))="",Settings!$C$10,INDEX(Settings!$C$20:$C$59,MATCH($C307,Settings!$B$20:$B$59,0))),Settings!$C$10))</f>
        <v/>
      </c>
      <c r="AL307" s="108">
        <f t="shared" si="84"/>
        <v>0</v>
      </c>
      <c r="AM307" s="39" t="str">
        <f t="shared" si="85"/>
        <v/>
      </c>
      <c r="AN307" s="39" t="str">
        <f t="shared" si="86"/>
        <v/>
      </c>
      <c r="AO307" s="39" t="str">
        <f t="shared" si="87"/>
        <v/>
      </c>
      <c r="AP307" s="39">
        <f t="shared" si="88"/>
        <v>0</v>
      </c>
      <c r="AQ307" s="39">
        <f t="shared" si="89"/>
        <v>0</v>
      </c>
    </row>
    <row r="308" spans="14:43" x14ac:dyDescent="0.25">
      <c r="N308" s="105">
        <f t="shared" si="72"/>
        <v>0</v>
      </c>
      <c r="O308" s="106" t="str">
        <f>IF($F308="","",IF(ISNUMBER($F308),$F308+Settings!$C$7/24,IFERROR(DATEVALUE(LEFT($F308,10))+TIMEVALUE(MID($F308,12,8))+Settings!$C$7/24,"")))</f>
        <v/>
      </c>
      <c r="P308" s="106" t="str">
        <f>IF($G308="","",IF(ISNUMBER($G308),$G308+Settings!$C$7/24,IFERROR(DATEVALUE(LEFT($G308,10))+TIMEVALUE(MID($G308,12,8))+Settings!$C$7/24,"")))</f>
        <v/>
      </c>
      <c r="Q308" s="39" t="str">
        <f t="shared" si="73"/>
        <v/>
      </c>
      <c r="R308" s="39" t="str">
        <f t="shared" si="74"/>
        <v/>
      </c>
      <c r="S308" s="107" t="str">
        <f t="shared" si="75"/>
        <v/>
      </c>
      <c r="T308" s="39" t="str">
        <f>IF($C308="","",IF(COUNTIF($C$2:$C308,$C308)=1,1,0))</f>
        <v/>
      </c>
      <c r="U308" s="39" t="str">
        <f>IF($T308=1,COUNTIF($T$2:$T308,1),"")</f>
        <v/>
      </c>
      <c r="V308" s="39" t="str">
        <f>IF($B308="","",IF(COUNTIF($B$2:$B308,$B308)=1,1,0))</f>
        <v/>
      </c>
      <c r="W308" s="39" t="str">
        <f>IF($V308=1,COUNTIF($V$2:$V308,1),"")</f>
        <v/>
      </c>
      <c r="X308" s="39" t="str">
        <f>IF($A308="","",IF(COUNTIF($A$2:$A308,$A308)=1,1,0))</f>
        <v/>
      </c>
      <c r="Y308" s="39" t="str">
        <f>IF($X308=1,COUNTIF($X$2:$X308,1),"")</f>
        <v/>
      </c>
      <c r="Z308" s="39">
        <f>IF(AND($E308="timed",$N308&gt;Settings!$C$8),1,0)</f>
        <v>0</v>
      </c>
      <c r="AA308" s="39">
        <f t="shared" si="76"/>
        <v>0</v>
      </c>
      <c r="AB308" s="39">
        <f t="shared" si="77"/>
        <v>0</v>
      </c>
      <c r="AC308" s="39" t="str">
        <f t="shared" si="78"/>
        <v/>
      </c>
      <c r="AD308" s="39" t="str">
        <f t="shared" si="79"/>
        <v/>
      </c>
      <c r="AE308" s="39" t="str">
        <f t="shared" si="80"/>
        <v/>
      </c>
      <c r="AF308" s="106" t="str">
        <f t="shared" si="81"/>
        <v/>
      </c>
      <c r="AG308" s="39">
        <f t="shared" si="82"/>
        <v>0</v>
      </c>
      <c r="AH308" s="39" t="str">
        <f t="shared" si="83"/>
        <v/>
      </c>
      <c r="AI308" s="39">
        <f>IF(AND($E308="timed",$N308&gt;=Settings!$C$9),1,0)</f>
        <v>0</v>
      </c>
      <c r="AJ308" s="39" t="str">
        <f>IF(OR($S308="",Settings!$C$16=""),"",IF($S308&lt;=Settings!$C$16,1,2))</f>
        <v/>
      </c>
      <c r="AK308" s="39" t="str">
        <f>IF($C308="","",IFERROR(IF(INDEX(Settings!$C$20:$C$59,MATCH($C308,Settings!$B$20:$B$59,0))="",Settings!$C$10,INDEX(Settings!$C$20:$C$59,MATCH($C308,Settings!$B$20:$B$59,0))),Settings!$C$10))</f>
        <v/>
      </c>
      <c r="AL308" s="108">
        <f t="shared" si="84"/>
        <v>0</v>
      </c>
      <c r="AM308" s="39" t="str">
        <f t="shared" si="85"/>
        <v/>
      </c>
      <c r="AN308" s="39" t="str">
        <f t="shared" si="86"/>
        <v/>
      </c>
      <c r="AO308" s="39" t="str">
        <f t="shared" si="87"/>
        <v/>
      </c>
      <c r="AP308" s="39">
        <f t="shared" si="88"/>
        <v>0</v>
      </c>
      <c r="AQ308" s="39">
        <f t="shared" si="89"/>
        <v>0</v>
      </c>
    </row>
    <row r="309" spans="14:43" x14ac:dyDescent="0.25">
      <c r="N309" s="105">
        <f t="shared" si="72"/>
        <v>0</v>
      </c>
      <c r="O309" s="106" t="str">
        <f>IF($F309="","",IF(ISNUMBER($F309),$F309+Settings!$C$7/24,IFERROR(DATEVALUE(LEFT($F309,10))+TIMEVALUE(MID($F309,12,8))+Settings!$C$7/24,"")))</f>
        <v/>
      </c>
      <c r="P309" s="106" t="str">
        <f>IF($G309="","",IF(ISNUMBER($G309),$G309+Settings!$C$7/24,IFERROR(DATEVALUE(LEFT($G309,10))+TIMEVALUE(MID($G309,12,8))+Settings!$C$7/24,"")))</f>
        <v/>
      </c>
      <c r="Q309" s="39" t="str">
        <f t="shared" si="73"/>
        <v/>
      </c>
      <c r="R309" s="39" t="str">
        <f t="shared" si="74"/>
        <v/>
      </c>
      <c r="S309" s="107" t="str">
        <f t="shared" si="75"/>
        <v/>
      </c>
      <c r="T309" s="39" t="str">
        <f>IF($C309="","",IF(COUNTIF($C$2:$C309,$C309)=1,1,0))</f>
        <v/>
      </c>
      <c r="U309" s="39" t="str">
        <f>IF($T309=1,COUNTIF($T$2:$T309,1),"")</f>
        <v/>
      </c>
      <c r="V309" s="39" t="str">
        <f>IF($B309="","",IF(COUNTIF($B$2:$B309,$B309)=1,1,0))</f>
        <v/>
      </c>
      <c r="W309" s="39" t="str">
        <f>IF($V309=1,COUNTIF($V$2:$V309,1),"")</f>
        <v/>
      </c>
      <c r="X309" s="39" t="str">
        <f>IF($A309="","",IF(COUNTIF($A$2:$A309,$A309)=1,1,0))</f>
        <v/>
      </c>
      <c r="Y309" s="39" t="str">
        <f>IF($X309=1,COUNTIF($X$2:$X309,1),"")</f>
        <v/>
      </c>
      <c r="Z309" s="39">
        <f>IF(AND($E309="timed",$N309&gt;Settings!$C$8),1,0)</f>
        <v>0</v>
      </c>
      <c r="AA309" s="39">
        <f t="shared" si="76"/>
        <v>0</v>
      </c>
      <c r="AB309" s="39">
        <f t="shared" si="77"/>
        <v>0</v>
      </c>
      <c r="AC309" s="39" t="str">
        <f t="shared" si="78"/>
        <v/>
      </c>
      <c r="AD309" s="39" t="str">
        <f t="shared" si="79"/>
        <v/>
      </c>
      <c r="AE309" s="39" t="str">
        <f t="shared" si="80"/>
        <v/>
      </c>
      <c r="AF309" s="106" t="str">
        <f t="shared" si="81"/>
        <v/>
      </c>
      <c r="AG309" s="39">
        <f t="shared" si="82"/>
        <v>0</v>
      </c>
      <c r="AH309" s="39" t="str">
        <f t="shared" si="83"/>
        <v/>
      </c>
      <c r="AI309" s="39">
        <f>IF(AND($E309="timed",$N309&gt;=Settings!$C$9),1,0)</f>
        <v>0</v>
      </c>
      <c r="AJ309" s="39" t="str">
        <f>IF(OR($S309="",Settings!$C$16=""),"",IF($S309&lt;=Settings!$C$16,1,2))</f>
        <v/>
      </c>
      <c r="AK309" s="39" t="str">
        <f>IF($C309="","",IFERROR(IF(INDEX(Settings!$C$20:$C$59,MATCH($C309,Settings!$B$20:$B$59,0))="",Settings!$C$10,INDEX(Settings!$C$20:$C$59,MATCH($C309,Settings!$B$20:$B$59,0))),Settings!$C$10))</f>
        <v/>
      </c>
      <c r="AL309" s="108">
        <f t="shared" si="84"/>
        <v>0</v>
      </c>
      <c r="AM309" s="39" t="str">
        <f t="shared" si="85"/>
        <v/>
      </c>
      <c r="AN309" s="39" t="str">
        <f t="shared" si="86"/>
        <v/>
      </c>
      <c r="AO309" s="39" t="str">
        <f t="shared" si="87"/>
        <v/>
      </c>
      <c r="AP309" s="39">
        <f t="shared" si="88"/>
        <v>0</v>
      </c>
      <c r="AQ309" s="39">
        <f t="shared" si="89"/>
        <v>0</v>
      </c>
    </row>
    <row r="310" spans="14:43" x14ac:dyDescent="0.25">
      <c r="N310" s="105">
        <f t="shared" si="72"/>
        <v>0</v>
      </c>
      <c r="O310" s="106" t="str">
        <f>IF($F310="","",IF(ISNUMBER($F310),$F310+Settings!$C$7/24,IFERROR(DATEVALUE(LEFT($F310,10))+TIMEVALUE(MID($F310,12,8))+Settings!$C$7/24,"")))</f>
        <v/>
      </c>
      <c r="P310" s="106" t="str">
        <f>IF($G310="","",IF(ISNUMBER($G310),$G310+Settings!$C$7/24,IFERROR(DATEVALUE(LEFT($G310,10))+TIMEVALUE(MID($G310,12,8))+Settings!$C$7/24,"")))</f>
        <v/>
      </c>
      <c r="Q310" s="39" t="str">
        <f t="shared" si="73"/>
        <v/>
      </c>
      <c r="R310" s="39" t="str">
        <f t="shared" si="74"/>
        <v/>
      </c>
      <c r="S310" s="107" t="str">
        <f t="shared" si="75"/>
        <v/>
      </c>
      <c r="T310" s="39" t="str">
        <f>IF($C310="","",IF(COUNTIF($C$2:$C310,$C310)=1,1,0))</f>
        <v/>
      </c>
      <c r="U310" s="39" t="str">
        <f>IF($T310=1,COUNTIF($T$2:$T310,1),"")</f>
        <v/>
      </c>
      <c r="V310" s="39" t="str">
        <f>IF($B310="","",IF(COUNTIF($B$2:$B310,$B310)=1,1,0))</f>
        <v/>
      </c>
      <c r="W310" s="39" t="str">
        <f>IF($V310=1,COUNTIF($V$2:$V310,1),"")</f>
        <v/>
      </c>
      <c r="X310" s="39" t="str">
        <f>IF($A310="","",IF(COUNTIF($A$2:$A310,$A310)=1,1,0))</f>
        <v/>
      </c>
      <c r="Y310" s="39" t="str">
        <f>IF($X310=1,COUNTIF($X$2:$X310,1),"")</f>
        <v/>
      </c>
      <c r="Z310" s="39">
        <f>IF(AND($E310="timed",$N310&gt;Settings!$C$8),1,0)</f>
        <v>0</v>
      </c>
      <c r="AA310" s="39">
        <f t="shared" si="76"/>
        <v>0</v>
      </c>
      <c r="AB310" s="39">
        <f t="shared" si="77"/>
        <v>0</v>
      </c>
      <c r="AC310" s="39" t="str">
        <f t="shared" si="78"/>
        <v/>
      </c>
      <c r="AD310" s="39" t="str">
        <f t="shared" si="79"/>
        <v/>
      </c>
      <c r="AE310" s="39" t="str">
        <f t="shared" si="80"/>
        <v/>
      </c>
      <c r="AF310" s="106" t="str">
        <f t="shared" si="81"/>
        <v/>
      </c>
      <c r="AG310" s="39">
        <f t="shared" si="82"/>
        <v>0</v>
      </c>
      <c r="AH310" s="39" t="str">
        <f t="shared" si="83"/>
        <v/>
      </c>
      <c r="AI310" s="39">
        <f>IF(AND($E310="timed",$N310&gt;=Settings!$C$9),1,0)</f>
        <v>0</v>
      </c>
      <c r="AJ310" s="39" t="str">
        <f>IF(OR($S310="",Settings!$C$16=""),"",IF($S310&lt;=Settings!$C$16,1,2))</f>
        <v/>
      </c>
      <c r="AK310" s="39" t="str">
        <f>IF($C310="","",IFERROR(IF(INDEX(Settings!$C$20:$C$59,MATCH($C310,Settings!$B$20:$B$59,0))="",Settings!$C$10,INDEX(Settings!$C$20:$C$59,MATCH($C310,Settings!$B$20:$B$59,0))),Settings!$C$10))</f>
        <v/>
      </c>
      <c r="AL310" s="108">
        <f t="shared" si="84"/>
        <v>0</v>
      </c>
      <c r="AM310" s="39" t="str">
        <f t="shared" si="85"/>
        <v/>
      </c>
      <c r="AN310" s="39" t="str">
        <f t="shared" si="86"/>
        <v/>
      </c>
      <c r="AO310" s="39" t="str">
        <f t="shared" si="87"/>
        <v/>
      </c>
      <c r="AP310" s="39">
        <f t="shared" si="88"/>
        <v>0</v>
      </c>
      <c r="AQ310" s="39">
        <f t="shared" si="89"/>
        <v>0</v>
      </c>
    </row>
    <row r="311" spans="14:43" x14ac:dyDescent="0.25">
      <c r="N311" s="105">
        <f t="shared" si="72"/>
        <v>0</v>
      </c>
      <c r="O311" s="106" t="str">
        <f>IF($F311="","",IF(ISNUMBER($F311),$F311+Settings!$C$7/24,IFERROR(DATEVALUE(LEFT($F311,10))+TIMEVALUE(MID($F311,12,8))+Settings!$C$7/24,"")))</f>
        <v/>
      </c>
      <c r="P311" s="106" t="str">
        <f>IF($G311="","",IF(ISNUMBER($G311),$G311+Settings!$C$7/24,IFERROR(DATEVALUE(LEFT($G311,10))+TIMEVALUE(MID($G311,12,8))+Settings!$C$7/24,"")))</f>
        <v/>
      </c>
      <c r="Q311" s="39" t="str">
        <f t="shared" si="73"/>
        <v/>
      </c>
      <c r="R311" s="39" t="str">
        <f t="shared" si="74"/>
        <v/>
      </c>
      <c r="S311" s="107" t="str">
        <f t="shared" si="75"/>
        <v/>
      </c>
      <c r="T311" s="39" t="str">
        <f>IF($C311="","",IF(COUNTIF($C$2:$C311,$C311)=1,1,0))</f>
        <v/>
      </c>
      <c r="U311" s="39" t="str">
        <f>IF($T311=1,COUNTIF($T$2:$T311,1),"")</f>
        <v/>
      </c>
      <c r="V311" s="39" t="str">
        <f>IF($B311="","",IF(COUNTIF($B$2:$B311,$B311)=1,1,0))</f>
        <v/>
      </c>
      <c r="W311" s="39" t="str">
        <f>IF($V311=1,COUNTIF($V$2:$V311,1),"")</f>
        <v/>
      </c>
      <c r="X311" s="39" t="str">
        <f>IF($A311="","",IF(COUNTIF($A$2:$A311,$A311)=1,1,0))</f>
        <v/>
      </c>
      <c r="Y311" s="39" t="str">
        <f>IF($X311=1,COUNTIF($X$2:$X311,1),"")</f>
        <v/>
      </c>
      <c r="Z311" s="39">
        <f>IF(AND($E311="timed",$N311&gt;Settings!$C$8),1,0)</f>
        <v>0</v>
      </c>
      <c r="AA311" s="39">
        <f t="shared" si="76"/>
        <v>0</v>
      </c>
      <c r="AB311" s="39">
        <f t="shared" si="77"/>
        <v>0</v>
      </c>
      <c r="AC311" s="39" t="str">
        <f t="shared" si="78"/>
        <v/>
      </c>
      <c r="AD311" s="39" t="str">
        <f t="shared" si="79"/>
        <v/>
      </c>
      <c r="AE311" s="39" t="str">
        <f t="shared" si="80"/>
        <v/>
      </c>
      <c r="AF311" s="106" t="str">
        <f t="shared" si="81"/>
        <v/>
      </c>
      <c r="AG311" s="39">
        <f t="shared" si="82"/>
        <v>0</v>
      </c>
      <c r="AH311" s="39" t="str">
        <f t="shared" si="83"/>
        <v/>
      </c>
      <c r="AI311" s="39">
        <f>IF(AND($E311="timed",$N311&gt;=Settings!$C$9),1,0)</f>
        <v>0</v>
      </c>
      <c r="AJ311" s="39" t="str">
        <f>IF(OR($S311="",Settings!$C$16=""),"",IF($S311&lt;=Settings!$C$16,1,2))</f>
        <v/>
      </c>
      <c r="AK311" s="39" t="str">
        <f>IF($C311="","",IFERROR(IF(INDEX(Settings!$C$20:$C$59,MATCH($C311,Settings!$B$20:$B$59,0))="",Settings!$C$10,INDEX(Settings!$C$20:$C$59,MATCH($C311,Settings!$B$20:$B$59,0))),Settings!$C$10))</f>
        <v/>
      </c>
      <c r="AL311" s="108">
        <f t="shared" si="84"/>
        <v>0</v>
      </c>
      <c r="AM311" s="39" t="str">
        <f t="shared" si="85"/>
        <v/>
      </c>
      <c r="AN311" s="39" t="str">
        <f t="shared" si="86"/>
        <v/>
      </c>
      <c r="AO311" s="39" t="str">
        <f t="shared" si="87"/>
        <v/>
      </c>
      <c r="AP311" s="39">
        <f t="shared" si="88"/>
        <v>0</v>
      </c>
      <c r="AQ311" s="39">
        <f t="shared" si="89"/>
        <v>0</v>
      </c>
    </row>
    <row r="312" spans="14:43" x14ac:dyDescent="0.25">
      <c r="N312" s="105">
        <f t="shared" si="72"/>
        <v>0</v>
      </c>
      <c r="O312" s="106" t="str">
        <f>IF($F312="","",IF(ISNUMBER($F312),$F312+Settings!$C$7/24,IFERROR(DATEVALUE(LEFT($F312,10))+TIMEVALUE(MID($F312,12,8))+Settings!$C$7/24,"")))</f>
        <v/>
      </c>
      <c r="P312" s="106" t="str">
        <f>IF($G312="","",IF(ISNUMBER($G312),$G312+Settings!$C$7/24,IFERROR(DATEVALUE(LEFT($G312,10))+TIMEVALUE(MID($G312,12,8))+Settings!$C$7/24,"")))</f>
        <v/>
      </c>
      <c r="Q312" s="39" t="str">
        <f t="shared" si="73"/>
        <v/>
      </c>
      <c r="R312" s="39" t="str">
        <f t="shared" si="74"/>
        <v/>
      </c>
      <c r="S312" s="107" t="str">
        <f t="shared" si="75"/>
        <v/>
      </c>
      <c r="T312" s="39" t="str">
        <f>IF($C312="","",IF(COUNTIF($C$2:$C312,$C312)=1,1,0))</f>
        <v/>
      </c>
      <c r="U312" s="39" t="str">
        <f>IF($T312=1,COUNTIF($T$2:$T312,1),"")</f>
        <v/>
      </c>
      <c r="V312" s="39" t="str">
        <f>IF($B312="","",IF(COUNTIF($B$2:$B312,$B312)=1,1,0))</f>
        <v/>
      </c>
      <c r="W312" s="39" t="str">
        <f>IF($V312=1,COUNTIF($V$2:$V312,1),"")</f>
        <v/>
      </c>
      <c r="X312" s="39" t="str">
        <f>IF($A312="","",IF(COUNTIF($A$2:$A312,$A312)=1,1,0))</f>
        <v/>
      </c>
      <c r="Y312" s="39" t="str">
        <f>IF($X312=1,COUNTIF($X$2:$X312,1),"")</f>
        <v/>
      </c>
      <c r="Z312" s="39">
        <f>IF(AND($E312="timed",$N312&gt;Settings!$C$8),1,0)</f>
        <v>0</v>
      </c>
      <c r="AA312" s="39">
        <f t="shared" si="76"/>
        <v>0</v>
      </c>
      <c r="AB312" s="39">
        <f t="shared" si="77"/>
        <v>0</v>
      </c>
      <c r="AC312" s="39" t="str">
        <f t="shared" si="78"/>
        <v/>
      </c>
      <c r="AD312" s="39" t="str">
        <f t="shared" si="79"/>
        <v/>
      </c>
      <c r="AE312" s="39" t="str">
        <f t="shared" si="80"/>
        <v/>
      </c>
      <c r="AF312" s="106" t="str">
        <f t="shared" si="81"/>
        <v/>
      </c>
      <c r="AG312" s="39">
        <f t="shared" si="82"/>
        <v>0</v>
      </c>
      <c r="AH312" s="39" t="str">
        <f t="shared" si="83"/>
        <v/>
      </c>
      <c r="AI312" s="39">
        <f>IF(AND($E312="timed",$N312&gt;=Settings!$C$9),1,0)</f>
        <v>0</v>
      </c>
      <c r="AJ312" s="39" t="str">
        <f>IF(OR($S312="",Settings!$C$16=""),"",IF($S312&lt;=Settings!$C$16,1,2))</f>
        <v/>
      </c>
      <c r="AK312" s="39" t="str">
        <f>IF($C312="","",IFERROR(IF(INDEX(Settings!$C$20:$C$59,MATCH($C312,Settings!$B$20:$B$59,0))="",Settings!$C$10,INDEX(Settings!$C$20:$C$59,MATCH($C312,Settings!$B$20:$B$59,0))),Settings!$C$10))</f>
        <v/>
      </c>
      <c r="AL312" s="108">
        <f t="shared" si="84"/>
        <v>0</v>
      </c>
      <c r="AM312" s="39" t="str">
        <f t="shared" si="85"/>
        <v/>
      </c>
      <c r="AN312" s="39" t="str">
        <f t="shared" si="86"/>
        <v/>
      </c>
      <c r="AO312" s="39" t="str">
        <f t="shared" si="87"/>
        <v/>
      </c>
      <c r="AP312" s="39">
        <f t="shared" si="88"/>
        <v>0</v>
      </c>
      <c r="AQ312" s="39">
        <f t="shared" si="89"/>
        <v>0</v>
      </c>
    </row>
    <row r="313" spans="14:43" x14ac:dyDescent="0.25">
      <c r="N313" s="105">
        <f t="shared" si="72"/>
        <v>0</v>
      </c>
      <c r="O313" s="106" t="str">
        <f>IF($F313="","",IF(ISNUMBER($F313),$F313+Settings!$C$7/24,IFERROR(DATEVALUE(LEFT($F313,10))+TIMEVALUE(MID($F313,12,8))+Settings!$C$7/24,"")))</f>
        <v/>
      </c>
      <c r="P313" s="106" t="str">
        <f>IF($G313="","",IF(ISNUMBER($G313),$G313+Settings!$C$7/24,IFERROR(DATEVALUE(LEFT($G313,10))+TIMEVALUE(MID($G313,12,8))+Settings!$C$7/24,"")))</f>
        <v/>
      </c>
      <c r="Q313" s="39" t="str">
        <f t="shared" si="73"/>
        <v/>
      </c>
      <c r="R313" s="39" t="str">
        <f t="shared" si="74"/>
        <v/>
      </c>
      <c r="S313" s="107" t="str">
        <f t="shared" si="75"/>
        <v/>
      </c>
      <c r="T313" s="39" t="str">
        <f>IF($C313="","",IF(COUNTIF($C$2:$C313,$C313)=1,1,0))</f>
        <v/>
      </c>
      <c r="U313" s="39" t="str">
        <f>IF($T313=1,COUNTIF($T$2:$T313,1),"")</f>
        <v/>
      </c>
      <c r="V313" s="39" t="str">
        <f>IF($B313="","",IF(COUNTIF($B$2:$B313,$B313)=1,1,0))</f>
        <v/>
      </c>
      <c r="W313" s="39" t="str">
        <f>IF($V313=1,COUNTIF($V$2:$V313,1),"")</f>
        <v/>
      </c>
      <c r="X313" s="39" t="str">
        <f>IF($A313="","",IF(COUNTIF($A$2:$A313,$A313)=1,1,0))</f>
        <v/>
      </c>
      <c r="Y313" s="39" t="str">
        <f>IF($X313=1,COUNTIF($X$2:$X313,1),"")</f>
        <v/>
      </c>
      <c r="Z313" s="39">
        <f>IF(AND($E313="timed",$N313&gt;Settings!$C$8),1,0)</f>
        <v>0</v>
      </c>
      <c r="AA313" s="39">
        <f t="shared" si="76"/>
        <v>0</v>
      </c>
      <c r="AB313" s="39">
        <f t="shared" si="77"/>
        <v>0</v>
      </c>
      <c r="AC313" s="39" t="str">
        <f t="shared" si="78"/>
        <v/>
      </c>
      <c r="AD313" s="39" t="str">
        <f t="shared" si="79"/>
        <v/>
      </c>
      <c r="AE313" s="39" t="str">
        <f t="shared" si="80"/>
        <v/>
      </c>
      <c r="AF313" s="106" t="str">
        <f t="shared" si="81"/>
        <v/>
      </c>
      <c r="AG313" s="39">
        <f t="shared" si="82"/>
        <v>0</v>
      </c>
      <c r="AH313" s="39" t="str">
        <f t="shared" si="83"/>
        <v/>
      </c>
      <c r="AI313" s="39">
        <f>IF(AND($E313="timed",$N313&gt;=Settings!$C$9),1,0)</f>
        <v>0</v>
      </c>
      <c r="AJ313" s="39" t="str">
        <f>IF(OR($S313="",Settings!$C$16=""),"",IF($S313&lt;=Settings!$C$16,1,2))</f>
        <v/>
      </c>
      <c r="AK313" s="39" t="str">
        <f>IF($C313="","",IFERROR(IF(INDEX(Settings!$C$20:$C$59,MATCH($C313,Settings!$B$20:$B$59,0))="",Settings!$C$10,INDEX(Settings!$C$20:$C$59,MATCH($C313,Settings!$B$20:$B$59,0))),Settings!$C$10))</f>
        <v/>
      </c>
      <c r="AL313" s="108">
        <f t="shared" si="84"/>
        <v>0</v>
      </c>
      <c r="AM313" s="39" t="str">
        <f t="shared" si="85"/>
        <v/>
      </c>
      <c r="AN313" s="39" t="str">
        <f t="shared" si="86"/>
        <v/>
      </c>
      <c r="AO313" s="39" t="str">
        <f t="shared" si="87"/>
        <v/>
      </c>
      <c r="AP313" s="39">
        <f t="shared" si="88"/>
        <v>0</v>
      </c>
      <c r="AQ313" s="39">
        <f t="shared" si="89"/>
        <v>0</v>
      </c>
    </row>
    <row r="314" spans="14:43" x14ac:dyDescent="0.25">
      <c r="N314" s="105">
        <f t="shared" si="72"/>
        <v>0</v>
      </c>
      <c r="O314" s="106" t="str">
        <f>IF($F314="","",IF(ISNUMBER($F314),$F314+Settings!$C$7/24,IFERROR(DATEVALUE(LEFT($F314,10))+TIMEVALUE(MID($F314,12,8))+Settings!$C$7/24,"")))</f>
        <v/>
      </c>
      <c r="P314" s="106" t="str">
        <f>IF($G314="","",IF(ISNUMBER($G314),$G314+Settings!$C$7/24,IFERROR(DATEVALUE(LEFT($G314,10))+TIMEVALUE(MID($G314,12,8))+Settings!$C$7/24,"")))</f>
        <v/>
      </c>
      <c r="Q314" s="39" t="str">
        <f t="shared" si="73"/>
        <v/>
      </c>
      <c r="R314" s="39" t="str">
        <f t="shared" si="74"/>
        <v/>
      </c>
      <c r="S314" s="107" t="str">
        <f t="shared" si="75"/>
        <v/>
      </c>
      <c r="T314" s="39" t="str">
        <f>IF($C314="","",IF(COUNTIF($C$2:$C314,$C314)=1,1,0))</f>
        <v/>
      </c>
      <c r="U314" s="39" t="str">
        <f>IF($T314=1,COUNTIF($T$2:$T314,1),"")</f>
        <v/>
      </c>
      <c r="V314" s="39" t="str">
        <f>IF($B314="","",IF(COUNTIF($B$2:$B314,$B314)=1,1,0))</f>
        <v/>
      </c>
      <c r="W314" s="39" t="str">
        <f>IF($V314=1,COUNTIF($V$2:$V314,1),"")</f>
        <v/>
      </c>
      <c r="X314" s="39" t="str">
        <f>IF($A314="","",IF(COUNTIF($A$2:$A314,$A314)=1,1,0))</f>
        <v/>
      </c>
      <c r="Y314" s="39" t="str">
        <f>IF($X314=1,COUNTIF($X$2:$X314,1),"")</f>
        <v/>
      </c>
      <c r="Z314" s="39">
        <f>IF(AND($E314="timed",$N314&gt;Settings!$C$8),1,0)</f>
        <v>0</v>
      </c>
      <c r="AA314" s="39">
        <f t="shared" si="76"/>
        <v>0</v>
      </c>
      <c r="AB314" s="39">
        <f t="shared" si="77"/>
        <v>0</v>
      </c>
      <c r="AC314" s="39" t="str">
        <f t="shared" si="78"/>
        <v/>
      </c>
      <c r="AD314" s="39" t="str">
        <f t="shared" si="79"/>
        <v/>
      </c>
      <c r="AE314" s="39" t="str">
        <f t="shared" si="80"/>
        <v/>
      </c>
      <c r="AF314" s="106" t="str">
        <f t="shared" si="81"/>
        <v/>
      </c>
      <c r="AG314" s="39">
        <f t="shared" si="82"/>
        <v>0</v>
      </c>
      <c r="AH314" s="39" t="str">
        <f t="shared" si="83"/>
        <v/>
      </c>
      <c r="AI314" s="39">
        <f>IF(AND($E314="timed",$N314&gt;=Settings!$C$9),1,0)</f>
        <v>0</v>
      </c>
      <c r="AJ314" s="39" t="str">
        <f>IF(OR($S314="",Settings!$C$16=""),"",IF($S314&lt;=Settings!$C$16,1,2))</f>
        <v/>
      </c>
      <c r="AK314" s="39" t="str">
        <f>IF($C314="","",IFERROR(IF(INDEX(Settings!$C$20:$C$59,MATCH($C314,Settings!$B$20:$B$59,0))="",Settings!$C$10,INDEX(Settings!$C$20:$C$59,MATCH($C314,Settings!$B$20:$B$59,0))),Settings!$C$10))</f>
        <v/>
      </c>
      <c r="AL314" s="108">
        <f t="shared" si="84"/>
        <v>0</v>
      </c>
      <c r="AM314" s="39" t="str">
        <f t="shared" si="85"/>
        <v/>
      </c>
      <c r="AN314" s="39" t="str">
        <f t="shared" si="86"/>
        <v/>
      </c>
      <c r="AO314" s="39" t="str">
        <f t="shared" si="87"/>
        <v/>
      </c>
      <c r="AP314" s="39">
        <f t="shared" si="88"/>
        <v>0</v>
      </c>
      <c r="AQ314" s="39">
        <f t="shared" si="89"/>
        <v>0</v>
      </c>
    </row>
    <row r="315" spans="14:43" x14ac:dyDescent="0.25">
      <c r="N315" s="105">
        <f t="shared" si="72"/>
        <v>0</v>
      </c>
      <c r="O315" s="106" t="str">
        <f>IF($F315="","",IF(ISNUMBER($F315),$F315+Settings!$C$7/24,IFERROR(DATEVALUE(LEFT($F315,10))+TIMEVALUE(MID($F315,12,8))+Settings!$C$7/24,"")))</f>
        <v/>
      </c>
      <c r="P315" s="106" t="str">
        <f>IF($G315="","",IF(ISNUMBER($G315),$G315+Settings!$C$7/24,IFERROR(DATEVALUE(LEFT($G315,10))+TIMEVALUE(MID($G315,12,8))+Settings!$C$7/24,"")))</f>
        <v/>
      </c>
      <c r="Q315" s="39" t="str">
        <f t="shared" si="73"/>
        <v/>
      </c>
      <c r="R315" s="39" t="str">
        <f t="shared" si="74"/>
        <v/>
      </c>
      <c r="S315" s="107" t="str">
        <f t="shared" si="75"/>
        <v/>
      </c>
      <c r="T315" s="39" t="str">
        <f>IF($C315="","",IF(COUNTIF($C$2:$C315,$C315)=1,1,0))</f>
        <v/>
      </c>
      <c r="U315" s="39" t="str">
        <f>IF($T315=1,COUNTIF($T$2:$T315,1),"")</f>
        <v/>
      </c>
      <c r="V315" s="39" t="str">
        <f>IF($B315="","",IF(COUNTIF($B$2:$B315,$B315)=1,1,0))</f>
        <v/>
      </c>
      <c r="W315" s="39" t="str">
        <f>IF($V315=1,COUNTIF($V$2:$V315,1),"")</f>
        <v/>
      </c>
      <c r="X315" s="39" t="str">
        <f>IF($A315="","",IF(COUNTIF($A$2:$A315,$A315)=1,1,0))</f>
        <v/>
      </c>
      <c r="Y315" s="39" t="str">
        <f>IF($X315=1,COUNTIF($X$2:$X315,1),"")</f>
        <v/>
      </c>
      <c r="Z315" s="39">
        <f>IF(AND($E315="timed",$N315&gt;Settings!$C$8),1,0)</f>
        <v>0</v>
      </c>
      <c r="AA315" s="39">
        <f t="shared" si="76"/>
        <v>0</v>
      </c>
      <c r="AB315" s="39">
        <f t="shared" si="77"/>
        <v>0</v>
      </c>
      <c r="AC315" s="39" t="str">
        <f t="shared" si="78"/>
        <v/>
      </c>
      <c r="AD315" s="39" t="str">
        <f t="shared" si="79"/>
        <v/>
      </c>
      <c r="AE315" s="39" t="str">
        <f t="shared" si="80"/>
        <v/>
      </c>
      <c r="AF315" s="106" t="str">
        <f t="shared" si="81"/>
        <v/>
      </c>
      <c r="AG315" s="39">
        <f t="shared" si="82"/>
        <v>0</v>
      </c>
      <c r="AH315" s="39" t="str">
        <f t="shared" si="83"/>
        <v/>
      </c>
      <c r="AI315" s="39">
        <f>IF(AND($E315="timed",$N315&gt;=Settings!$C$9),1,0)</f>
        <v>0</v>
      </c>
      <c r="AJ315" s="39" t="str">
        <f>IF(OR($S315="",Settings!$C$16=""),"",IF($S315&lt;=Settings!$C$16,1,2))</f>
        <v/>
      </c>
      <c r="AK315" s="39" t="str">
        <f>IF($C315="","",IFERROR(IF(INDEX(Settings!$C$20:$C$59,MATCH($C315,Settings!$B$20:$B$59,0))="",Settings!$C$10,INDEX(Settings!$C$20:$C$59,MATCH($C315,Settings!$B$20:$B$59,0))),Settings!$C$10))</f>
        <v/>
      </c>
      <c r="AL315" s="108">
        <f t="shared" si="84"/>
        <v>0</v>
      </c>
      <c r="AM315" s="39" t="str">
        <f t="shared" si="85"/>
        <v/>
      </c>
      <c r="AN315" s="39" t="str">
        <f t="shared" si="86"/>
        <v/>
      </c>
      <c r="AO315" s="39" t="str">
        <f t="shared" si="87"/>
        <v/>
      </c>
      <c r="AP315" s="39">
        <f t="shared" si="88"/>
        <v>0</v>
      </c>
      <c r="AQ315" s="39">
        <f t="shared" si="89"/>
        <v>0</v>
      </c>
    </row>
    <row r="316" spans="14:43" x14ac:dyDescent="0.25">
      <c r="N316" s="105">
        <f t="shared" si="72"/>
        <v>0</v>
      </c>
      <c r="O316" s="106" t="str">
        <f>IF($F316="","",IF(ISNUMBER($F316),$F316+Settings!$C$7/24,IFERROR(DATEVALUE(LEFT($F316,10))+TIMEVALUE(MID($F316,12,8))+Settings!$C$7/24,"")))</f>
        <v/>
      </c>
      <c r="P316" s="106" t="str">
        <f>IF($G316="","",IF(ISNUMBER($G316),$G316+Settings!$C$7/24,IFERROR(DATEVALUE(LEFT($G316,10))+TIMEVALUE(MID($G316,12,8))+Settings!$C$7/24,"")))</f>
        <v/>
      </c>
      <c r="Q316" s="39" t="str">
        <f t="shared" si="73"/>
        <v/>
      </c>
      <c r="R316" s="39" t="str">
        <f t="shared" si="74"/>
        <v/>
      </c>
      <c r="S316" s="107" t="str">
        <f t="shared" si="75"/>
        <v/>
      </c>
      <c r="T316" s="39" t="str">
        <f>IF($C316="","",IF(COUNTIF($C$2:$C316,$C316)=1,1,0))</f>
        <v/>
      </c>
      <c r="U316" s="39" t="str">
        <f>IF($T316=1,COUNTIF($T$2:$T316,1),"")</f>
        <v/>
      </c>
      <c r="V316" s="39" t="str">
        <f>IF($B316="","",IF(COUNTIF($B$2:$B316,$B316)=1,1,0))</f>
        <v/>
      </c>
      <c r="W316" s="39" t="str">
        <f>IF($V316=1,COUNTIF($V$2:$V316,1),"")</f>
        <v/>
      </c>
      <c r="X316" s="39" t="str">
        <f>IF($A316="","",IF(COUNTIF($A$2:$A316,$A316)=1,1,0))</f>
        <v/>
      </c>
      <c r="Y316" s="39" t="str">
        <f>IF($X316=1,COUNTIF($X$2:$X316,1),"")</f>
        <v/>
      </c>
      <c r="Z316" s="39">
        <f>IF(AND($E316="timed",$N316&gt;Settings!$C$8),1,0)</f>
        <v>0</v>
      </c>
      <c r="AA316" s="39">
        <f t="shared" si="76"/>
        <v>0</v>
      </c>
      <c r="AB316" s="39">
        <f t="shared" si="77"/>
        <v>0</v>
      </c>
      <c r="AC316" s="39" t="str">
        <f t="shared" si="78"/>
        <v/>
      </c>
      <c r="AD316" s="39" t="str">
        <f t="shared" si="79"/>
        <v/>
      </c>
      <c r="AE316" s="39" t="str">
        <f t="shared" si="80"/>
        <v/>
      </c>
      <c r="AF316" s="106" t="str">
        <f t="shared" si="81"/>
        <v/>
      </c>
      <c r="AG316" s="39">
        <f t="shared" si="82"/>
        <v>0</v>
      </c>
      <c r="AH316" s="39" t="str">
        <f t="shared" si="83"/>
        <v/>
      </c>
      <c r="AI316" s="39">
        <f>IF(AND($E316="timed",$N316&gt;=Settings!$C$9),1,0)</f>
        <v>0</v>
      </c>
      <c r="AJ316" s="39" t="str">
        <f>IF(OR($S316="",Settings!$C$16=""),"",IF($S316&lt;=Settings!$C$16,1,2))</f>
        <v/>
      </c>
      <c r="AK316" s="39" t="str">
        <f>IF($C316="","",IFERROR(IF(INDEX(Settings!$C$20:$C$59,MATCH($C316,Settings!$B$20:$B$59,0))="",Settings!$C$10,INDEX(Settings!$C$20:$C$59,MATCH($C316,Settings!$B$20:$B$59,0))),Settings!$C$10))</f>
        <v/>
      </c>
      <c r="AL316" s="108">
        <f t="shared" si="84"/>
        <v>0</v>
      </c>
      <c r="AM316" s="39" t="str">
        <f t="shared" si="85"/>
        <v/>
      </c>
      <c r="AN316" s="39" t="str">
        <f t="shared" si="86"/>
        <v/>
      </c>
      <c r="AO316" s="39" t="str">
        <f t="shared" si="87"/>
        <v/>
      </c>
      <c r="AP316" s="39">
        <f t="shared" si="88"/>
        <v>0</v>
      </c>
      <c r="AQ316" s="39">
        <f t="shared" si="89"/>
        <v>0</v>
      </c>
    </row>
    <row r="317" spans="14:43" x14ac:dyDescent="0.25">
      <c r="N317" s="105">
        <f t="shared" si="72"/>
        <v>0</v>
      </c>
      <c r="O317" s="106" t="str">
        <f>IF($F317="","",IF(ISNUMBER($F317),$F317+Settings!$C$7/24,IFERROR(DATEVALUE(LEFT($F317,10))+TIMEVALUE(MID($F317,12,8))+Settings!$C$7/24,"")))</f>
        <v/>
      </c>
      <c r="P317" s="106" t="str">
        <f>IF($G317="","",IF(ISNUMBER($G317),$G317+Settings!$C$7/24,IFERROR(DATEVALUE(LEFT($G317,10))+TIMEVALUE(MID($G317,12,8))+Settings!$C$7/24,"")))</f>
        <v/>
      </c>
      <c r="Q317" s="39" t="str">
        <f t="shared" si="73"/>
        <v/>
      </c>
      <c r="R317" s="39" t="str">
        <f t="shared" si="74"/>
        <v/>
      </c>
      <c r="S317" s="107" t="str">
        <f t="shared" si="75"/>
        <v/>
      </c>
      <c r="T317" s="39" t="str">
        <f>IF($C317="","",IF(COUNTIF($C$2:$C317,$C317)=1,1,0))</f>
        <v/>
      </c>
      <c r="U317" s="39" t="str">
        <f>IF($T317=1,COUNTIF($T$2:$T317,1),"")</f>
        <v/>
      </c>
      <c r="V317" s="39" t="str">
        <f>IF($B317="","",IF(COUNTIF($B$2:$B317,$B317)=1,1,0))</f>
        <v/>
      </c>
      <c r="W317" s="39" t="str">
        <f>IF($V317=1,COUNTIF($V$2:$V317,1),"")</f>
        <v/>
      </c>
      <c r="X317" s="39" t="str">
        <f>IF($A317="","",IF(COUNTIF($A$2:$A317,$A317)=1,1,0))</f>
        <v/>
      </c>
      <c r="Y317" s="39" t="str">
        <f>IF($X317=1,COUNTIF($X$2:$X317,1),"")</f>
        <v/>
      </c>
      <c r="Z317" s="39">
        <f>IF(AND($E317="timed",$N317&gt;Settings!$C$8),1,0)</f>
        <v>0</v>
      </c>
      <c r="AA317" s="39">
        <f t="shared" si="76"/>
        <v>0</v>
      </c>
      <c r="AB317" s="39">
        <f t="shared" si="77"/>
        <v>0</v>
      </c>
      <c r="AC317" s="39" t="str">
        <f t="shared" si="78"/>
        <v/>
      </c>
      <c r="AD317" s="39" t="str">
        <f t="shared" si="79"/>
        <v/>
      </c>
      <c r="AE317" s="39" t="str">
        <f t="shared" si="80"/>
        <v/>
      </c>
      <c r="AF317" s="106" t="str">
        <f t="shared" si="81"/>
        <v/>
      </c>
      <c r="AG317" s="39">
        <f t="shared" si="82"/>
        <v>0</v>
      </c>
      <c r="AH317" s="39" t="str">
        <f t="shared" si="83"/>
        <v/>
      </c>
      <c r="AI317" s="39">
        <f>IF(AND($E317="timed",$N317&gt;=Settings!$C$9),1,0)</f>
        <v>0</v>
      </c>
      <c r="AJ317" s="39" t="str">
        <f>IF(OR($S317="",Settings!$C$16=""),"",IF($S317&lt;=Settings!$C$16,1,2))</f>
        <v/>
      </c>
      <c r="AK317" s="39" t="str">
        <f>IF($C317="","",IFERROR(IF(INDEX(Settings!$C$20:$C$59,MATCH($C317,Settings!$B$20:$B$59,0))="",Settings!$C$10,INDEX(Settings!$C$20:$C$59,MATCH($C317,Settings!$B$20:$B$59,0))),Settings!$C$10))</f>
        <v/>
      </c>
      <c r="AL317" s="108">
        <f t="shared" si="84"/>
        <v>0</v>
      </c>
      <c r="AM317" s="39" t="str">
        <f t="shared" si="85"/>
        <v/>
      </c>
      <c r="AN317" s="39" t="str">
        <f t="shared" si="86"/>
        <v/>
      </c>
      <c r="AO317" s="39" t="str">
        <f t="shared" si="87"/>
        <v/>
      </c>
      <c r="AP317" s="39">
        <f t="shared" si="88"/>
        <v>0</v>
      </c>
      <c r="AQ317" s="39">
        <f t="shared" si="89"/>
        <v>0</v>
      </c>
    </row>
    <row r="318" spans="14:43" x14ac:dyDescent="0.25">
      <c r="N318" s="105">
        <f t="shared" si="72"/>
        <v>0</v>
      </c>
      <c r="O318" s="106" t="str">
        <f>IF($F318="","",IF(ISNUMBER($F318),$F318+Settings!$C$7/24,IFERROR(DATEVALUE(LEFT($F318,10))+TIMEVALUE(MID($F318,12,8))+Settings!$C$7/24,"")))</f>
        <v/>
      </c>
      <c r="P318" s="106" t="str">
        <f>IF($G318="","",IF(ISNUMBER($G318),$G318+Settings!$C$7/24,IFERROR(DATEVALUE(LEFT($G318,10))+TIMEVALUE(MID($G318,12,8))+Settings!$C$7/24,"")))</f>
        <v/>
      </c>
      <c r="Q318" s="39" t="str">
        <f t="shared" si="73"/>
        <v/>
      </c>
      <c r="R318" s="39" t="str">
        <f t="shared" si="74"/>
        <v/>
      </c>
      <c r="S318" s="107" t="str">
        <f t="shared" si="75"/>
        <v/>
      </c>
      <c r="T318" s="39" t="str">
        <f>IF($C318="","",IF(COUNTIF($C$2:$C318,$C318)=1,1,0))</f>
        <v/>
      </c>
      <c r="U318" s="39" t="str">
        <f>IF($T318=1,COUNTIF($T$2:$T318,1),"")</f>
        <v/>
      </c>
      <c r="V318" s="39" t="str">
        <f>IF($B318="","",IF(COUNTIF($B$2:$B318,$B318)=1,1,0))</f>
        <v/>
      </c>
      <c r="W318" s="39" t="str">
        <f>IF($V318=1,COUNTIF($V$2:$V318,1),"")</f>
        <v/>
      </c>
      <c r="X318" s="39" t="str">
        <f>IF($A318="","",IF(COUNTIF($A$2:$A318,$A318)=1,1,0))</f>
        <v/>
      </c>
      <c r="Y318" s="39" t="str">
        <f>IF($X318=1,COUNTIF($X$2:$X318,1),"")</f>
        <v/>
      </c>
      <c r="Z318" s="39">
        <f>IF(AND($E318="timed",$N318&gt;Settings!$C$8),1,0)</f>
        <v>0</v>
      </c>
      <c r="AA318" s="39">
        <f t="shared" si="76"/>
        <v>0</v>
      </c>
      <c r="AB318" s="39">
        <f t="shared" si="77"/>
        <v>0</v>
      </c>
      <c r="AC318" s="39" t="str">
        <f t="shared" si="78"/>
        <v/>
      </c>
      <c r="AD318" s="39" t="str">
        <f t="shared" si="79"/>
        <v/>
      </c>
      <c r="AE318" s="39" t="str">
        <f t="shared" si="80"/>
        <v/>
      </c>
      <c r="AF318" s="106" t="str">
        <f t="shared" si="81"/>
        <v/>
      </c>
      <c r="AG318" s="39">
        <f t="shared" si="82"/>
        <v>0</v>
      </c>
      <c r="AH318" s="39" t="str">
        <f t="shared" si="83"/>
        <v/>
      </c>
      <c r="AI318" s="39">
        <f>IF(AND($E318="timed",$N318&gt;=Settings!$C$9),1,0)</f>
        <v>0</v>
      </c>
      <c r="AJ318" s="39" t="str">
        <f>IF(OR($S318="",Settings!$C$16=""),"",IF($S318&lt;=Settings!$C$16,1,2))</f>
        <v/>
      </c>
      <c r="AK318" s="39" t="str">
        <f>IF($C318="","",IFERROR(IF(INDEX(Settings!$C$20:$C$59,MATCH($C318,Settings!$B$20:$B$59,0))="",Settings!$C$10,INDEX(Settings!$C$20:$C$59,MATCH($C318,Settings!$B$20:$B$59,0))),Settings!$C$10))</f>
        <v/>
      </c>
      <c r="AL318" s="108">
        <f t="shared" si="84"/>
        <v>0</v>
      </c>
      <c r="AM318" s="39" t="str">
        <f t="shared" si="85"/>
        <v/>
      </c>
      <c r="AN318" s="39" t="str">
        <f t="shared" si="86"/>
        <v/>
      </c>
      <c r="AO318" s="39" t="str">
        <f t="shared" si="87"/>
        <v/>
      </c>
      <c r="AP318" s="39">
        <f t="shared" si="88"/>
        <v>0</v>
      </c>
      <c r="AQ318" s="39">
        <f t="shared" si="89"/>
        <v>0</v>
      </c>
    </row>
    <row r="319" spans="14:43" x14ac:dyDescent="0.25">
      <c r="N319" s="105">
        <f t="shared" si="72"/>
        <v>0</v>
      </c>
      <c r="O319" s="106" t="str">
        <f>IF($F319="","",IF(ISNUMBER($F319),$F319+Settings!$C$7/24,IFERROR(DATEVALUE(LEFT($F319,10))+TIMEVALUE(MID($F319,12,8))+Settings!$C$7/24,"")))</f>
        <v/>
      </c>
      <c r="P319" s="106" t="str">
        <f>IF($G319="","",IF(ISNUMBER($G319),$G319+Settings!$C$7/24,IFERROR(DATEVALUE(LEFT($G319,10))+TIMEVALUE(MID($G319,12,8))+Settings!$C$7/24,"")))</f>
        <v/>
      </c>
      <c r="Q319" s="39" t="str">
        <f t="shared" si="73"/>
        <v/>
      </c>
      <c r="R319" s="39" t="str">
        <f t="shared" si="74"/>
        <v/>
      </c>
      <c r="S319" s="107" t="str">
        <f t="shared" si="75"/>
        <v/>
      </c>
      <c r="T319" s="39" t="str">
        <f>IF($C319="","",IF(COUNTIF($C$2:$C319,$C319)=1,1,0))</f>
        <v/>
      </c>
      <c r="U319" s="39" t="str">
        <f>IF($T319=1,COUNTIF($T$2:$T319,1),"")</f>
        <v/>
      </c>
      <c r="V319" s="39" t="str">
        <f>IF($B319="","",IF(COUNTIF($B$2:$B319,$B319)=1,1,0))</f>
        <v/>
      </c>
      <c r="W319" s="39" t="str">
        <f>IF($V319=1,COUNTIF($V$2:$V319,1),"")</f>
        <v/>
      </c>
      <c r="X319" s="39" t="str">
        <f>IF($A319="","",IF(COUNTIF($A$2:$A319,$A319)=1,1,0))</f>
        <v/>
      </c>
      <c r="Y319" s="39" t="str">
        <f>IF($X319=1,COUNTIF($X$2:$X319,1),"")</f>
        <v/>
      </c>
      <c r="Z319" s="39">
        <f>IF(AND($E319="timed",$N319&gt;Settings!$C$8),1,0)</f>
        <v>0</v>
      </c>
      <c r="AA319" s="39">
        <f t="shared" si="76"/>
        <v>0</v>
      </c>
      <c r="AB319" s="39">
        <f t="shared" si="77"/>
        <v>0</v>
      </c>
      <c r="AC319" s="39" t="str">
        <f t="shared" si="78"/>
        <v/>
      </c>
      <c r="AD319" s="39" t="str">
        <f t="shared" si="79"/>
        <v/>
      </c>
      <c r="AE319" s="39" t="str">
        <f t="shared" si="80"/>
        <v/>
      </c>
      <c r="AF319" s="106" t="str">
        <f t="shared" si="81"/>
        <v/>
      </c>
      <c r="AG319" s="39">
        <f t="shared" si="82"/>
        <v>0</v>
      </c>
      <c r="AH319" s="39" t="str">
        <f t="shared" si="83"/>
        <v/>
      </c>
      <c r="AI319" s="39">
        <f>IF(AND($E319="timed",$N319&gt;=Settings!$C$9),1,0)</f>
        <v>0</v>
      </c>
      <c r="AJ319" s="39" t="str">
        <f>IF(OR($S319="",Settings!$C$16=""),"",IF($S319&lt;=Settings!$C$16,1,2))</f>
        <v/>
      </c>
      <c r="AK319" s="39" t="str">
        <f>IF($C319="","",IFERROR(IF(INDEX(Settings!$C$20:$C$59,MATCH($C319,Settings!$B$20:$B$59,0))="",Settings!$C$10,INDEX(Settings!$C$20:$C$59,MATCH($C319,Settings!$B$20:$B$59,0))),Settings!$C$10))</f>
        <v/>
      </c>
      <c r="AL319" s="108">
        <f t="shared" si="84"/>
        <v>0</v>
      </c>
      <c r="AM319" s="39" t="str">
        <f t="shared" si="85"/>
        <v/>
      </c>
      <c r="AN319" s="39" t="str">
        <f t="shared" si="86"/>
        <v/>
      </c>
      <c r="AO319" s="39" t="str">
        <f t="shared" si="87"/>
        <v/>
      </c>
      <c r="AP319" s="39">
        <f t="shared" si="88"/>
        <v>0</v>
      </c>
      <c r="AQ319" s="39">
        <f t="shared" si="89"/>
        <v>0</v>
      </c>
    </row>
    <row r="320" spans="14:43" x14ac:dyDescent="0.25">
      <c r="N320" s="105">
        <f t="shared" si="72"/>
        <v>0</v>
      </c>
      <c r="O320" s="106" t="str">
        <f>IF($F320="","",IF(ISNUMBER($F320),$F320+Settings!$C$7/24,IFERROR(DATEVALUE(LEFT($F320,10))+TIMEVALUE(MID($F320,12,8))+Settings!$C$7/24,"")))</f>
        <v/>
      </c>
      <c r="P320" s="106" t="str">
        <f>IF($G320="","",IF(ISNUMBER($G320),$G320+Settings!$C$7/24,IFERROR(DATEVALUE(LEFT($G320,10))+TIMEVALUE(MID($G320,12,8))+Settings!$C$7/24,"")))</f>
        <v/>
      </c>
      <c r="Q320" s="39" t="str">
        <f t="shared" si="73"/>
        <v/>
      </c>
      <c r="R320" s="39" t="str">
        <f t="shared" si="74"/>
        <v/>
      </c>
      <c r="S320" s="107" t="str">
        <f t="shared" si="75"/>
        <v/>
      </c>
      <c r="T320" s="39" t="str">
        <f>IF($C320="","",IF(COUNTIF($C$2:$C320,$C320)=1,1,0))</f>
        <v/>
      </c>
      <c r="U320" s="39" t="str">
        <f>IF($T320=1,COUNTIF($T$2:$T320,1),"")</f>
        <v/>
      </c>
      <c r="V320" s="39" t="str">
        <f>IF($B320="","",IF(COUNTIF($B$2:$B320,$B320)=1,1,0))</f>
        <v/>
      </c>
      <c r="W320" s="39" t="str">
        <f>IF($V320=1,COUNTIF($V$2:$V320,1),"")</f>
        <v/>
      </c>
      <c r="X320" s="39" t="str">
        <f>IF($A320="","",IF(COUNTIF($A$2:$A320,$A320)=1,1,0))</f>
        <v/>
      </c>
      <c r="Y320" s="39" t="str">
        <f>IF($X320=1,COUNTIF($X$2:$X320,1),"")</f>
        <v/>
      </c>
      <c r="Z320" s="39">
        <f>IF(AND($E320="timed",$N320&gt;Settings!$C$8),1,0)</f>
        <v>0</v>
      </c>
      <c r="AA320" s="39">
        <f t="shared" si="76"/>
        <v>0</v>
      </c>
      <c r="AB320" s="39">
        <f t="shared" si="77"/>
        <v>0</v>
      </c>
      <c r="AC320" s="39" t="str">
        <f t="shared" si="78"/>
        <v/>
      </c>
      <c r="AD320" s="39" t="str">
        <f t="shared" si="79"/>
        <v/>
      </c>
      <c r="AE320" s="39" t="str">
        <f t="shared" si="80"/>
        <v/>
      </c>
      <c r="AF320" s="106" t="str">
        <f t="shared" si="81"/>
        <v/>
      </c>
      <c r="AG320" s="39">
        <f t="shared" si="82"/>
        <v>0</v>
      </c>
      <c r="AH320" s="39" t="str">
        <f t="shared" si="83"/>
        <v/>
      </c>
      <c r="AI320" s="39">
        <f>IF(AND($E320="timed",$N320&gt;=Settings!$C$9),1,0)</f>
        <v>0</v>
      </c>
      <c r="AJ320" s="39" t="str">
        <f>IF(OR($S320="",Settings!$C$16=""),"",IF($S320&lt;=Settings!$C$16,1,2))</f>
        <v/>
      </c>
      <c r="AK320" s="39" t="str">
        <f>IF($C320="","",IFERROR(IF(INDEX(Settings!$C$20:$C$59,MATCH($C320,Settings!$B$20:$B$59,0))="",Settings!$C$10,INDEX(Settings!$C$20:$C$59,MATCH($C320,Settings!$B$20:$B$59,0))),Settings!$C$10))</f>
        <v/>
      </c>
      <c r="AL320" s="108">
        <f t="shared" si="84"/>
        <v>0</v>
      </c>
      <c r="AM320" s="39" t="str">
        <f t="shared" si="85"/>
        <v/>
      </c>
      <c r="AN320" s="39" t="str">
        <f t="shared" si="86"/>
        <v/>
      </c>
      <c r="AO320" s="39" t="str">
        <f t="shared" si="87"/>
        <v/>
      </c>
      <c r="AP320" s="39">
        <f t="shared" si="88"/>
        <v>0</v>
      </c>
      <c r="AQ320" s="39">
        <f t="shared" si="89"/>
        <v>0</v>
      </c>
    </row>
    <row r="321" spans="14:43" x14ac:dyDescent="0.25">
      <c r="N321" s="105">
        <f t="shared" si="72"/>
        <v>0</v>
      </c>
      <c r="O321" s="106" t="str">
        <f>IF($F321="","",IF(ISNUMBER($F321),$F321+Settings!$C$7/24,IFERROR(DATEVALUE(LEFT($F321,10))+TIMEVALUE(MID($F321,12,8))+Settings!$C$7/24,"")))</f>
        <v/>
      </c>
      <c r="P321" s="106" t="str">
        <f>IF($G321="","",IF(ISNUMBER($G321),$G321+Settings!$C$7/24,IFERROR(DATEVALUE(LEFT($G321,10))+TIMEVALUE(MID($G321,12,8))+Settings!$C$7/24,"")))</f>
        <v/>
      </c>
      <c r="Q321" s="39" t="str">
        <f t="shared" si="73"/>
        <v/>
      </c>
      <c r="R321" s="39" t="str">
        <f t="shared" si="74"/>
        <v/>
      </c>
      <c r="S321" s="107" t="str">
        <f t="shared" si="75"/>
        <v/>
      </c>
      <c r="T321" s="39" t="str">
        <f>IF($C321="","",IF(COUNTIF($C$2:$C321,$C321)=1,1,0))</f>
        <v/>
      </c>
      <c r="U321" s="39" t="str">
        <f>IF($T321=1,COUNTIF($T$2:$T321,1),"")</f>
        <v/>
      </c>
      <c r="V321" s="39" t="str">
        <f>IF($B321="","",IF(COUNTIF($B$2:$B321,$B321)=1,1,0))</f>
        <v/>
      </c>
      <c r="W321" s="39" t="str">
        <f>IF($V321=1,COUNTIF($V$2:$V321,1),"")</f>
        <v/>
      </c>
      <c r="X321" s="39" t="str">
        <f>IF($A321="","",IF(COUNTIF($A$2:$A321,$A321)=1,1,0))</f>
        <v/>
      </c>
      <c r="Y321" s="39" t="str">
        <f>IF($X321=1,COUNTIF($X$2:$X321,1),"")</f>
        <v/>
      </c>
      <c r="Z321" s="39">
        <f>IF(AND($E321="timed",$N321&gt;Settings!$C$8),1,0)</f>
        <v>0</v>
      </c>
      <c r="AA321" s="39">
        <f t="shared" si="76"/>
        <v>0</v>
      </c>
      <c r="AB321" s="39">
        <f t="shared" si="77"/>
        <v>0</v>
      </c>
      <c r="AC321" s="39" t="str">
        <f t="shared" si="78"/>
        <v/>
      </c>
      <c r="AD321" s="39" t="str">
        <f t="shared" si="79"/>
        <v/>
      </c>
      <c r="AE321" s="39" t="str">
        <f t="shared" si="80"/>
        <v/>
      </c>
      <c r="AF321" s="106" t="str">
        <f t="shared" si="81"/>
        <v/>
      </c>
      <c r="AG321" s="39">
        <f t="shared" si="82"/>
        <v>0</v>
      </c>
      <c r="AH321" s="39" t="str">
        <f t="shared" si="83"/>
        <v/>
      </c>
      <c r="AI321" s="39">
        <f>IF(AND($E321="timed",$N321&gt;=Settings!$C$9),1,0)</f>
        <v>0</v>
      </c>
      <c r="AJ321" s="39" t="str">
        <f>IF(OR($S321="",Settings!$C$16=""),"",IF($S321&lt;=Settings!$C$16,1,2))</f>
        <v/>
      </c>
      <c r="AK321" s="39" t="str">
        <f>IF($C321="","",IFERROR(IF(INDEX(Settings!$C$20:$C$59,MATCH($C321,Settings!$B$20:$B$59,0))="",Settings!$C$10,INDEX(Settings!$C$20:$C$59,MATCH($C321,Settings!$B$20:$B$59,0))),Settings!$C$10))</f>
        <v/>
      </c>
      <c r="AL321" s="108">
        <f t="shared" si="84"/>
        <v>0</v>
      </c>
      <c r="AM321" s="39" t="str">
        <f t="shared" si="85"/>
        <v/>
      </c>
      <c r="AN321" s="39" t="str">
        <f t="shared" si="86"/>
        <v/>
      </c>
      <c r="AO321" s="39" t="str">
        <f t="shared" si="87"/>
        <v/>
      </c>
      <c r="AP321" s="39">
        <f t="shared" si="88"/>
        <v>0</v>
      </c>
      <c r="AQ321" s="39">
        <f t="shared" si="89"/>
        <v>0</v>
      </c>
    </row>
    <row r="322" spans="14:43" x14ac:dyDescent="0.25">
      <c r="N322" s="105">
        <f t="shared" ref="N322:N385" si="90">IF($E322&lt;&gt;"timed",0,IF(ISNUMBER($H322),$H322,IFERROR(VALUE($H322),0)))</f>
        <v>0</v>
      </c>
      <c r="O322" s="106" t="str">
        <f>IF($F322="","",IF(ISNUMBER($F322),$F322+Settings!$C$7/24,IFERROR(DATEVALUE(LEFT($F322,10))+TIMEVALUE(MID($F322,12,8))+Settings!$C$7/24,"")))</f>
        <v/>
      </c>
      <c r="P322" s="106" t="str">
        <f>IF($G322="","",IF(ISNUMBER($G322),$G322+Settings!$C$7/24,IFERROR(DATEVALUE(LEFT($G322,10))+TIMEVALUE(MID($G322,12,8))+Settings!$C$7/24,"")))</f>
        <v/>
      </c>
      <c r="Q322" s="39" t="str">
        <f t="shared" ref="Q322:Q385" si="91">IF($O322="","",HOUR($O322))</f>
        <v/>
      </c>
      <c r="R322" s="39" t="str">
        <f t="shared" ref="R322:R385" si="92">IF($O322="","",WEEKDAY($O322,2))</f>
        <v/>
      </c>
      <c r="S322" s="107" t="str">
        <f t="shared" ref="S322:S385" si="93">IF($A322="","",IF(ISNUMBER($A322),INT($A322),IFERROR(DATEVALUE($A322),"")))</f>
        <v/>
      </c>
      <c r="T322" s="39" t="str">
        <f>IF($C322="","",IF(COUNTIF($C$2:$C322,$C322)=1,1,0))</f>
        <v/>
      </c>
      <c r="U322" s="39" t="str">
        <f>IF($T322=1,COUNTIF($T$2:$T322,1),"")</f>
        <v/>
      </c>
      <c r="V322" s="39" t="str">
        <f>IF($B322="","",IF(COUNTIF($B$2:$B322,$B322)=1,1,0))</f>
        <v/>
      </c>
      <c r="W322" s="39" t="str">
        <f>IF($V322=1,COUNTIF($V$2:$V322,1),"")</f>
        <v/>
      </c>
      <c r="X322" s="39" t="str">
        <f>IF($A322="","",IF(COUNTIF($A$2:$A322,$A322)=1,1,0))</f>
        <v/>
      </c>
      <c r="Y322" s="39" t="str">
        <f>IF($X322=1,COUNTIF($X$2:$X322,1),"")</f>
        <v/>
      </c>
      <c r="Z322" s="39">
        <f>IF(AND($E322="timed",$N322&gt;Settings!$C$8),1,0)</f>
        <v>0</v>
      </c>
      <c r="AA322" s="39">
        <f t="shared" ref="AA322:AA385" si="94">IF(AND($E322="timed",$G322=""),1,0)</f>
        <v>0</v>
      </c>
      <c r="AB322" s="39">
        <f t="shared" ref="AB322:AB385" si="95">IF($E322&lt;&gt;"timed",0,IF(ISNUMBER($I322),$I322,IFERROR(VALUE($I322),0)))</f>
        <v>0</v>
      </c>
      <c r="AC322" s="39" t="str">
        <f t="shared" ref="AC322:AC385" si="96">IF(OR($E322&lt;&gt;"timed",$O322=""),"",ROUND($O322*86400,0)*10000+ROW())</f>
        <v/>
      </c>
      <c r="AD322" s="39" t="str">
        <f t="shared" ref="AD322:AD385" si="97">IF($AC322="","",COUNTIF($AC$2:$AC$1201,"&lt;"&amp;$AC322)+1)</f>
        <v/>
      </c>
      <c r="AE322" s="39" t="str">
        <f t="shared" ref="AE322:AE385" si="98">IF($AD322="","",IFERROR(IF(INDEX($S$2:$S$1201,MATCH($AD322-1,$AD$2:$AD$1201,0))=$S322,INDEX($C$2:$C$1201,MATCH($AD322-1,$AD$2:$AD$1201,0)),""),""))</f>
        <v/>
      </c>
      <c r="AF322" s="106" t="str">
        <f t="shared" ref="AF322:AF385" si="99">IF($AD322="","",IFERROR(IF(INDEX($S$2:$S$1201,MATCH($AD322-1,$AD$2:$AD$1201,0))=$S322,INDEX($P$2:$P$1201,MATCH($AD322-1,$AD$2:$AD$1201,0)),""),""))</f>
        <v/>
      </c>
      <c r="AG322" s="39">
        <f t="shared" ref="AG322:AG385" si="100">IF(OR($E322&lt;&gt;"timed",$AE322=""),0,IF($AE322=$C322,0,1))</f>
        <v>0</v>
      </c>
      <c r="AH322" s="39" t="str">
        <f t="shared" ref="AH322:AH385" si="101">IF(OR($AF322="",$O322=""),"",MAX(0,ROUND(($O322-$AF322)*1440,0)))</f>
        <v/>
      </c>
      <c r="AI322" s="39">
        <f>IF(AND($E322="timed",$N322&gt;=Settings!$C$9),1,0)</f>
        <v>0</v>
      </c>
      <c r="AJ322" s="39" t="str">
        <f>IF(OR($S322="",Settings!$C$16=""),"",IF($S322&lt;=Settings!$C$16,1,2))</f>
        <v/>
      </c>
      <c r="AK322" s="39" t="str">
        <f>IF($C322="","",IFERROR(IF(INDEX(Settings!$C$20:$C$59,MATCH($C322,Settings!$B$20:$B$59,0))="",Settings!$C$10,INDEX(Settings!$C$20:$C$59,MATCH($C322,Settings!$B$20:$B$59,0))),Settings!$C$10))</f>
        <v/>
      </c>
      <c r="AL322" s="108">
        <f t="shared" ref="AL322:AL385" si="102">IF(OR($N322=0,$AK322=""),0,ROUND($N322/60*$AK322,2))</f>
        <v>0</v>
      </c>
      <c r="AM322" s="39" t="str">
        <f t="shared" ref="AM322:AM385" si="103">IF($AD322="","",IFERROR(INDEX($S$2:$S$1201,MATCH($AD322-1,$AD$2:$AD$1201,0)),""))</f>
        <v/>
      </c>
      <c r="AN322" s="39" t="str">
        <f t="shared" ref="AN322:AN385" si="104">IF($Z322=1,$N322+ROW()/1000000,"")</f>
        <v/>
      </c>
      <c r="AO322" s="39" t="str">
        <f t="shared" ref="AO322:AO385" si="105">IF(OR($E322&lt;&gt;"timed",$P322=""),"",ROUND($P322*86400,0)*10000+ROW())</f>
        <v/>
      </c>
      <c r="AP322" s="39">
        <f t="shared" ref="AP322:AP385" si="106">IF($AC322="",0,IF(COUNTIFS($S$2:$S$1201,$S322,$AC$2:$AC$1201,"&lt;"&amp;$AC322)=0,1,0))</f>
        <v>0</v>
      </c>
      <c r="AQ322" s="39">
        <f t="shared" ref="AQ322:AQ385" si="107">IF($AO322="",0,IF(COUNTIFS($S$2:$S$1201,$S322,$AO$2:$AO$1201,"&gt;"&amp;$AO322)=0,1,0))</f>
        <v>0</v>
      </c>
    </row>
    <row r="323" spans="14:43" x14ac:dyDescent="0.25">
      <c r="N323" s="105">
        <f t="shared" si="90"/>
        <v>0</v>
      </c>
      <c r="O323" s="106" t="str">
        <f>IF($F323="","",IF(ISNUMBER($F323),$F323+Settings!$C$7/24,IFERROR(DATEVALUE(LEFT($F323,10))+TIMEVALUE(MID($F323,12,8))+Settings!$C$7/24,"")))</f>
        <v/>
      </c>
      <c r="P323" s="106" t="str">
        <f>IF($G323="","",IF(ISNUMBER($G323),$G323+Settings!$C$7/24,IFERROR(DATEVALUE(LEFT($G323,10))+TIMEVALUE(MID($G323,12,8))+Settings!$C$7/24,"")))</f>
        <v/>
      </c>
      <c r="Q323" s="39" t="str">
        <f t="shared" si="91"/>
        <v/>
      </c>
      <c r="R323" s="39" t="str">
        <f t="shared" si="92"/>
        <v/>
      </c>
      <c r="S323" s="107" t="str">
        <f t="shared" si="93"/>
        <v/>
      </c>
      <c r="T323" s="39" t="str">
        <f>IF($C323="","",IF(COUNTIF($C$2:$C323,$C323)=1,1,0))</f>
        <v/>
      </c>
      <c r="U323" s="39" t="str">
        <f>IF($T323=1,COUNTIF($T$2:$T323,1),"")</f>
        <v/>
      </c>
      <c r="V323" s="39" t="str">
        <f>IF($B323="","",IF(COUNTIF($B$2:$B323,$B323)=1,1,0))</f>
        <v/>
      </c>
      <c r="W323" s="39" t="str">
        <f>IF($V323=1,COUNTIF($V$2:$V323,1),"")</f>
        <v/>
      </c>
      <c r="X323" s="39" t="str">
        <f>IF($A323="","",IF(COUNTIF($A$2:$A323,$A323)=1,1,0))</f>
        <v/>
      </c>
      <c r="Y323" s="39" t="str">
        <f>IF($X323=1,COUNTIF($X$2:$X323,1),"")</f>
        <v/>
      </c>
      <c r="Z323" s="39">
        <f>IF(AND($E323="timed",$N323&gt;Settings!$C$8),1,0)</f>
        <v>0</v>
      </c>
      <c r="AA323" s="39">
        <f t="shared" si="94"/>
        <v>0</v>
      </c>
      <c r="AB323" s="39">
        <f t="shared" si="95"/>
        <v>0</v>
      </c>
      <c r="AC323" s="39" t="str">
        <f t="shared" si="96"/>
        <v/>
      </c>
      <c r="AD323" s="39" t="str">
        <f t="shared" si="97"/>
        <v/>
      </c>
      <c r="AE323" s="39" t="str">
        <f t="shared" si="98"/>
        <v/>
      </c>
      <c r="AF323" s="106" t="str">
        <f t="shared" si="99"/>
        <v/>
      </c>
      <c r="AG323" s="39">
        <f t="shared" si="100"/>
        <v>0</v>
      </c>
      <c r="AH323" s="39" t="str">
        <f t="shared" si="101"/>
        <v/>
      </c>
      <c r="AI323" s="39">
        <f>IF(AND($E323="timed",$N323&gt;=Settings!$C$9),1,0)</f>
        <v>0</v>
      </c>
      <c r="AJ323" s="39" t="str">
        <f>IF(OR($S323="",Settings!$C$16=""),"",IF($S323&lt;=Settings!$C$16,1,2))</f>
        <v/>
      </c>
      <c r="AK323" s="39" t="str">
        <f>IF($C323="","",IFERROR(IF(INDEX(Settings!$C$20:$C$59,MATCH($C323,Settings!$B$20:$B$59,0))="",Settings!$C$10,INDEX(Settings!$C$20:$C$59,MATCH($C323,Settings!$B$20:$B$59,0))),Settings!$C$10))</f>
        <v/>
      </c>
      <c r="AL323" s="108">
        <f t="shared" si="102"/>
        <v>0</v>
      </c>
      <c r="AM323" s="39" t="str">
        <f t="shared" si="103"/>
        <v/>
      </c>
      <c r="AN323" s="39" t="str">
        <f t="shared" si="104"/>
        <v/>
      </c>
      <c r="AO323" s="39" t="str">
        <f t="shared" si="105"/>
        <v/>
      </c>
      <c r="AP323" s="39">
        <f t="shared" si="106"/>
        <v>0</v>
      </c>
      <c r="AQ323" s="39">
        <f t="shared" si="107"/>
        <v>0</v>
      </c>
    </row>
    <row r="324" spans="14:43" x14ac:dyDescent="0.25">
      <c r="N324" s="105">
        <f t="shared" si="90"/>
        <v>0</v>
      </c>
      <c r="O324" s="106" t="str">
        <f>IF($F324="","",IF(ISNUMBER($F324),$F324+Settings!$C$7/24,IFERROR(DATEVALUE(LEFT($F324,10))+TIMEVALUE(MID($F324,12,8))+Settings!$C$7/24,"")))</f>
        <v/>
      </c>
      <c r="P324" s="106" t="str">
        <f>IF($G324="","",IF(ISNUMBER($G324),$G324+Settings!$C$7/24,IFERROR(DATEVALUE(LEFT($G324,10))+TIMEVALUE(MID($G324,12,8))+Settings!$C$7/24,"")))</f>
        <v/>
      </c>
      <c r="Q324" s="39" t="str">
        <f t="shared" si="91"/>
        <v/>
      </c>
      <c r="R324" s="39" t="str">
        <f t="shared" si="92"/>
        <v/>
      </c>
      <c r="S324" s="107" t="str">
        <f t="shared" si="93"/>
        <v/>
      </c>
      <c r="T324" s="39" t="str">
        <f>IF($C324="","",IF(COUNTIF($C$2:$C324,$C324)=1,1,0))</f>
        <v/>
      </c>
      <c r="U324" s="39" t="str">
        <f>IF($T324=1,COUNTIF($T$2:$T324,1),"")</f>
        <v/>
      </c>
      <c r="V324" s="39" t="str">
        <f>IF($B324="","",IF(COUNTIF($B$2:$B324,$B324)=1,1,0))</f>
        <v/>
      </c>
      <c r="W324" s="39" t="str">
        <f>IF($V324=1,COUNTIF($V$2:$V324,1),"")</f>
        <v/>
      </c>
      <c r="X324" s="39" t="str">
        <f>IF($A324="","",IF(COUNTIF($A$2:$A324,$A324)=1,1,0))</f>
        <v/>
      </c>
      <c r="Y324" s="39" t="str">
        <f>IF($X324=1,COUNTIF($X$2:$X324,1),"")</f>
        <v/>
      </c>
      <c r="Z324" s="39">
        <f>IF(AND($E324="timed",$N324&gt;Settings!$C$8),1,0)</f>
        <v>0</v>
      </c>
      <c r="AA324" s="39">
        <f t="shared" si="94"/>
        <v>0</v>
      </c>
      <c r="AB324" s="39">
        <f t="shared" si="95"/>
        <v>0</v>
      </c>
      <c r="AC324" s="39" t="str">
        <f t="shared" si="96"/>
        <v/>
      </c>
      <c r="AD324" s="39" t="str">
        <f t="shared" si="97"/>
        <v/>
      </c>
      <c r="AE324" s="39" t="str">
        <f t="shared" si="98"/>
        <v/>
      </c>
      <c r="AF324" s="106" t="str">
        <f t="shared" si="99"/>
        <v/>
      </c>
      <c r="AG324" s="39">
        <f t="shared" si="100"/>
        <v>0</v>
      </c>
      <c r="AH324" s="39" t="str">
        <f t="shared" si="101"/>
        <v/>
      </c>
      <c r="AI324" s="39">
        <f>IF(AND($E324="timed",$N324&gt;=Settings!$C$9),1,0)</f>
        <v>0</v>
      </c>
      <c r="AJ324" s="39" t="str">
        <f>IF(OR($S324="",Settings!$C$16=""),"",IF($S324&lt;=Settings!$C$16,1,2))</f>
        <v/>
      </c>
      <c r="AK324" s="39" t="str">
        <f>IF($C324="","",IFERROR(IF(INDEX(Settings!$C$20:$C$59,MATCH($C324,Settings!$B$20:$B$59,0))="",Settings!$C$10,INDEX(Settings!$C$20:$C$59,MATCH($C324,Settings!$B$20:$B$59,0))),Settings!$C$10))</f>
        <v/>
      </c>
      <c r="AL324" s="108">
        <f t="shared" si="102"/>
        <v>0</v>
      </c>
      <c r="AM324" s="39" t="str">
        <f t="shared" si="103"/>
        <v/>
      </c>
      <c r="AN324" s="39" t="str">
        <f t="shared" si="104"/>
        <v/>
      </c>
      <c r="AO324" s="39" t="str">
        <f t="shared" si="105"/>
        <v/>
      </c>
      <c r="AP324" s="39">
        <f t="shared" si="106"/>
        <v>0</v>
      </c>
      <c r="AQ324" s="39">
        <f t="shared" si="107"/>
        <v>0</v>
      </c>
    </row>
    <row r="325" spans="14:43" x14ac:dyDescent="0.25">
      <c r="N325" s="105">
        <f t="shared" si="90"/>
        <v>0</v>
      </c>
      <c r="O325" s="106" t="str">
        <f>IF($F325="","",IF(ISNUMBER($F325),$F325+Settings!$C$7/24,IFERROR(DATEVALUE(LEFT($F325,10))+TIMEVALUE(MID($F325,12,8))+Settings!$C$7/24,"")))</f>
        <v/>
      </c>
      <c r="P325" s="106" t="str">
        <f>IF($G325="","",IF(ISNUMBER($G325),$G325+Settings!$C$7/24,IFERROR(DATEVALUE(LEFT($G325,10))+TIMEVALUE(MID($G325,12,8))+Settings!$C$7/24,"")))</f>
        <v/>
      </c>
      <c r="Q325" s="39" t="str">
        <f t="shared" si="91"/>
        <v/>
      </c>
      <c r="R325" s="39" t="str">
        <f t="shared" si="92"/>
        <v/>
      </c>
      <c r="S325" s="107" t="str">
        <f t="shared" si="93"/>
        <v/>
      </c>
      <c r="T325" s="39" t="str">
        <f>IF($C325="","",IF(COUNTIF($C$2:$C325,$C325)=1,1,0))</f>
        <v/>
      </c>
      <c r="U325" s="39" t="str">
        <f>IF($T325=1,COUNTIF($T$2:$T325,1),"")</f>
        <v/>
      </c>
      <c r="V325" s="39" t="str">
        <f>IF($B325="","",IF(COUNTIF($B$2:$B325,$B325)=1,1,0))</f>
        <v/>
      </c>
      <c r="W325" s="39" t="str">
        <f>IF($V325=1,COUNTIF($V$2:$V325,1),"")</f>
        <v/>
      </c>
      <c r="X325" s="39" t="str">
        <f>IF($A325="","",IF(COUNTIF($A$2:$A325,$A325)=1,1,0))</f>
        <v/>
      </c>
      <c r="Y325" s="39" t="str">
        <f>IF($X325=1,COUNTIF($X$2:$X325,1),"")</f>
        <v/>
      </c>
      <c r="Z325" s="39">
        <f>IF(AND($E325="timed",$N325&gt;Settings!$C$8),1,0)</f>
        <v>0</v>
      </c>
      <c r="AA325" s="39">
        <f t="shared" si="94"/>
        <v>0</v>
      </c>
      <c r="AB325" s="39">
        <f t="shared" si="95"/>
        <v>0</v>
      </c>
      <c r="AC325" s="39" t="str">
        <f t="shared" si="96"/>
        <v/>
      </c>
      <c r="AD325" s="39" t="str">
        <f t="shared" si="97"/>
        <v/>
      </c>
      <c r="AE325" s="39" t="str">
        <f t="shared" si="98"/>
        <v/>
      </c>
      <c r="AF325" s="106" t="str">
        <f t="shared" si="99"/>
        <v/>
      </c>
      <c r="AG325" s="39">
        <f t="shared" si="100"/>
        <v>0</v>
      </c>
      <c r="AH325" s="39" t="str">
        <f t="shared" si="101"/>
        <v/>
      </c>
      <c r="AI325" s="39">
        <f>IF(AND($E325="timed",$N325&gt;=Settings!$C$9),1,0)</f>
        <v>0</v>
      </c>
      <c r="AJ325" s="39" t="str">
        <f>IF(OR($S325="",Settings!$C$16=""),"",IF($S325&lt;=Settings!$C$16,1,2))</f>
        <v/>
      </c>
      <c r="AK325" s="39" t="str">
        <f>IF($C325="","",IFERROR(IF(INDEX(Settings!$C$20:$C$59,MATCH($C325,Settings!$B$20:$B$59,0))="",Settings!$C$10,INDEX(Settings!$C$20:$C$59,MATCH($C325,Settings!$B$20:$B$59,0))),Settings!$C$10))</f>
        <v/>
      </c>
      <c r="AL325" s="108">
        <f t="shared" si="102"/>
        <v>0</v>
      </c>
      <c r="AM325" s="39" t="str">
        <f t="shared" si="103"/>
        <v/>
      </c>
      <c r="AN325" s="39" t="str">
        <f t="shared" si="104"/>
        <v/>
      </c>
      <c r="AO325" s="39" t="str">
        <f t="shared" si="105"/>
        <v/>
      </c>
      <c r="AP325" s="39">
        <f t="shared" si="106"/>
        <v>0</v>
      </c>
      <c r="AQ325" s="39">
        <f t="shared" si="107"/>
        <v>0</v>
      </c>
    </row>
    <row r="326" spans="14:43" x14ac:dyDescent="0.25">
      <c r="N326" s="105">
        <f t="shared" si="90"/>
        <v>0</v>
      </c>
      <c r="O326" s="106" t="str">
        <f>IF($F326="","",IF(ISNUMBER($F326),$F326+Settings!$C$7/24,IFERROR(DATEVALUE(LEFT($F326,10))+TIMEVALUE(MID($F326,12,8))+Settings!$C$7/24,"")))</f>
        <v/>
      </c>
      <c r="P326" s="106" t="str">
        <f>IF($G326="","",IF(ISNUMBER($G326),$G326+Settings!$C$7/24,IFERROR(DATEVALUE(LEFT($G326,10))+TIMEVALUE(MID($G326,12,8))+Settings!$C$7/24,"")))</f>
        <v/>
      </c>
      <c r="Q326" s="39" t="str">
        <f t="shared" si="91"/>
        <v/>
      </c>
      <c r="R326" s="39" t="str">
        <f t="shared" si="92"/>
        <v/>
      </c>
      <c r="S326" s="107" t="str">
        <f t="shared" si="93"/>
        <v/>
      </c>
      <c r="T326" s="39" t="str">
        <f>IF($C326="","",IF(COUNTIF($C$2:$C326,$C326)=1,1,0))</f>
        <v/>
      </c>
      <c r="U326" s="39" t="str">
        <f>IF($T326=1,COUNTIF($T$2:$T326,1),"")</f>
        <v/>
      </c>
      <c r="V326" s="39" t="str">
        <f>IF($B326="","",IF(COUNTIF($B$2:$B326,$B326)=1,1,0))</f>
        <v/>
      </c>
      <c r="W326" s="39" t="str">
        <f>IF($V326=1,COUNTIF($V$2:$V326,1),"")</f>
        <v/>
      </c>
      <c r="X326" s="39" t="str">
        <f>IF($A326="","",IF(COUNTIF($A$2:$A326,$A326)=1,1,0))</f>
        <v/>
      </c>
      <c r="Y326" s="39" t="str">
        <f>IF($X326=1,COUNTIF($X$2:$X326,1),"")</f>
        <v/>
      </c>
      <c r="Z326" s="39">
        <f>IF(AND($E326="timed",$N326&gt;Settings!$C$8),1,0)</f>
        <v>0</v>
      </c>
      <c r="AA326" s="39">
        <f t="shared" si="94"/>
        <v>0</v>
      </c>
      <c r="AB326" s="39">
        <f t="shared" si="95"/>
        <v>0</v>
      </c>
      <c r="AC326" s="39" t="str">
        <f t="shared" si="96"/>
        <v/>
      </c>
      <c r="AD326" s="39" t="str">
        <f t="shared" si="97"/>
        <v/>
      </c>
      <c r="AE326" s="39" t="str">
        <f t="shared" si="98"/>
        <v/>
      </c>
      <c r="AF326" s="106" t="str">
        <f t="shared" si="99"/>
        <v/>
      </c>
      <c r="AG326" s="39">
        <f t="shared" si="100"/>
        <v>0</v>
      </c>
      <c r="AH326" s="39" t="str">
        <f t="shared" si="101"/>
        <v/>
      </c>
      <c r="AI326" s="39">
        <f>IF(AND($E326="timed",$N326&gt;=Settings!$C$9),1,0)</f>
        <v>0</v>
      </c>
      <c r="AJ326" s="39" t="str">
        <f>IF(OR($S326="",Settings!$C$16=""),"",IF($S326&lt;=Settings!$C$16,1,2))</f>
        <v/>
      </c>
      <c r="AK326" s="39" t="str">
        <f>IF($C326="","",IFERROR(IF(INDEX(Settings!$C$20:$C$59,MATCH($C326,Settings!$B$20:$B$59,0))="",Settings!$C$10,INDEX(Settings!$C$20:$C$59,MATCH($C326,Settings!$B$20:$B$59,0))),Settings!$C$10))</f>
        <v/>
      </c>
      <c r="AL326" s="108">
        <f t="shared" si="102"/>
        <v>0</v>
      </c>
      <c r="AM326" s="39" t="str">
        <f t="shared" si="103"/>
        <v/>
      </c>
      <c r="AN326" s="39" t="str">
        <f t="shared" si="104"/>
        <v/>
      </c>
      <c r="AO326" s="39" t="str">
        <f t="shared" si="105"/>
        <v/>
      </c>
      <c r="AP326" s="39">
        <f t="shared" si="106"/>
        <v>0</v>
      </c>
      <c r="AQ326" s="39">
        <f t="shared" si="107"/>
        <v>0</v>
      </c>
    </row>
    <row r="327" spans="14:43" x14ac:dyDescent="0.25">
      <c r="N327" s="105">
        <f t="shared" si="90"/>
        <v>0</v>
      </c>
      <c r="O327" s="106" t="str">
        <f>IF($F327="","",IF(ISNUMBER($F327),$F327+Settings!$C$7/24,IFERROR(DATEVALUE(LEFT($F327,10))+TIMEVALUE(MID($F327,12,8))+Settings!$C$7/24,"")))</f>
        <v/>
      </c>
      <c r="P327" s="106" t="str">
        <f>IF($G327="","",IF(ISNUMBER($G327),$G327+Settings!$C$7/24,IFERROR(DATEVALUE(LEFT($G327,10))+TIMEVALUE(MID($G327,12,8))+Settings!$C$7/24,"")))</f>
        <v/>
      </c>
      <c r="Q327" s="39" t="str">
        <f t="shared" si="91"/>
        <v/>
      </c>
      <c r="R327" s="39" t="str">
        <f t="shared" si="92"/>
        <v/>
      </c>
      <c r="S327" s="107" t="str">
        <f t="shared" si="93"/>
        <v/>
      </c>
      <c r="T327" s="39" t="str">
        <f>IF($C327="","",IF(COUNTIF($C$2:$C327,$C327)=1,1,0))</f>
        <v/>
      </c>
      <c r="U327" s="39" t="str">
        <f>IF($T327=1,COUNTIF($T$2:$T327,1),"")</f>
        <v/>
      </c>
      <c r="V327" s="39" t="str">
        <f>IF($B327="","",IF(COUNTIF($B$2:$B327,$B327)=1,1,0))</f>
        <v/>
      </c>
      <c r="W327" s="39" t="str">
        <f>IF($V327=1,COUNTIF($V$2:$V327,1),"")</f>
        <v/>
      </c>
      <c r="X327" s="39" t="str">
        <f>IF($A327="","",IF(COUNTIF($A$2:$A327,$A327)=1,1,0))</f>
        <v/>
      </c>
      <c r="Y327" s="39" t="str">
        <f>IF($X327=1,COUNTIF($X$2:$X327,1),"")</f>
        <v/>
      </c>
      <c r="Z327" s="39">
        <f>IF(AND($E327="timed",$N327&gt;Settings!$C$8),1,0)</f>
        <v>0</v>
      </c>
      <c r="AA327" s="39">
        <f t="shared" si="94"/>
        <v>0</v>
      </c>
      <c r="AB327" s="39">
        <f t="shared" si="95"/>
        <v>0</v>
      </c>
      <c r="AC327" s="39" t="str">
        <f t="shared" si="96"/>
        <v/>
      </c>
      <c r="AD327" s="39" t="str">
        <f t="shared" si="97"/>
        <v/>
      </c>
      <c r="AE327" s="39" t="str">
        <f t="shared" si="98"/>
        <v/>
      </c>
      <c r="AF327" s="106" t="str">
        <f t="shared" si="99"/>
        <v/>
      </c>
      <c r="AG327" s="39">
        <f t="shared" si="100"/>
        <v>0</v>
      </c>
      <c r="AH327" s="39" t="str">
        <f t="shared" si="101"/>
        <v/>
      </c>
      <c r="AI327" s="39">
        <f>IF(AND($E327="timed",$N327&gt;=Settings!$C$9),1,0)</f>
        <v>0</v>
      </c>
      <c r="AJ327" s="39" t="str">
        <f>IF(OR($S327="",Settings!$C$16=""),"",IF($S327&lt;=Settings!$C$16,1,2))</f>
        <v/>
      </c>
      <c r="AK327" s="39" t="str">
        <f>IF($C327="","",IFERROR(IF(INDEX(Settings!$C$20:$C$59,MATCH($C327,Settings!$B$20:$B$59,0))="",Settings!$C$10,INDEX(Settings!$C$20:$C$59,MATCH($C327,Settings!$B$20:$B$59,0))),Settings!$C$10))</f>
        <v/>
      </c>
      <c r="AL327" s="108">
        <f t="shared" si="102"/>
        <v>0</v>
      </c>
      <c r="AM327" s="39" t="str">
        <f t="shared" si="103"/>
        <v/>
      </c>
      <c r="AN327" s="39" t="str">
        <f t="shared" si="104"/>
        <v/>
      </c>
      <c r="AO327" s="39" t="str">
        <f t="shared" si="105"/>
        <v/>
      </c>
      <c r="AP327" s="39">
        <f t="shared" si="106"/>
        <v>0</v>
      </c>
      <c r="AQ327" s="39">
        <f t="shared" si="107"/>
        <v>0</v>
      </c>
    </row>
    <row r="328" spans="14:43" x14ac:dyDescent="0.25">
      <c r="N328" s="105">
        <f t="shared" si="90"/>
        <v>0</v>
      </c>
      <c r="O328" s="106" t="str">
        <f>IF($F328="","",IF(ISNUMBER($F328),$F328+Settings!$C$7/24,IFERROR(DATEVALUE(LEFT($F328,10))+TIMEVALUE(MID($F328,12,8))+Settings!$C$7/24,"")))</f>
        <v/>
      </c>
      <c r="P328" s="106" t="str">
        <f>IF($G328="","",IF(ISNUMBER($G328),$G328+Settings!$C$7/24,IFERROR(DATEVALUE(LEFT($G328,10))+TIMEVALUE(MID($G328,12,8))+Settings!$C$7/24,"")))</f>
        <v/>
      </c>
      <c r="Q328" s="39" t="str">
        <f t="shared" si="91"/>
        <v/>
      </c>
      <c r="R328" s="39" t="str">
        <f t="shared" si="92"/>
        <v/>
      </c>
      <c r="S328" s="107" t="str">
        <f t="shared" si="93"/>
        <v/>
      </c>
      <c r="T328" s="39" t="str">
        <f>IF($C328="","",IF(COUNTIF($C$2:$C328,$C328)=1,1,0))</f>
        <v/>
      </c>
      <c r="U328" s="39" t="str">
        <f>IF($T328=1,COUNTIF($T$2:$T328,1),"")</f>
        <v/>
      </c>
      <c r="V328" s="39" t="str">
        <f>IF($B328="","",IF(COUNTIF($B$2:$B328,$B328)=1,1,0))</f>
        <v/>
      </c>
      <c r="W328" s="39" t="str">
        <f>IF($V328=1,COUNTIF($V$2:$V328,1),"")</f>
        <v/>
      </c>
      <c r="X328" s="39" t="str">
        <f>IF($A328="","",IF(COUNTIF($A$2:$A328,$A328)=1,1,0))</f>
        <v/>
      </c>
      <c r="Y328" s="39" t="str">
        <f>IF($X328=1,COUNTIF($X$2:$X328,1),"")</f>
        <v/>
      </c>
      <c r="Z328" s="39">
        <f>IF(AND($E328="timed",$N328&gt;Settings!$C$8),1,0)</f>
        <v>0</v>
      </c>
      <c r="AA328" s="39">
        <f t="shared" si="94"/>
        <v>0</v>
      </c>
      <c r="AB328" s="39">
        <f t="shared" si="95"/>
        <v>0</v>
      </c>
      <c r="AC328" s="39" t="str">
        <f t="shared" si="96"/>
        <v/>
      </c>
      <c r="AD328" s="39" t="str">
        <f t="shared" si="97"/>
        <v/>
      </c>
      <c r="AE328" s="39" t="str">
        <f t="shared" si="98"/>
        <v/>
      </c>
      <c r="AF328" s="106" t="str">
        <f t="shared" si="99"/>
        <v/>
      </c>
      <c r="AG328" s="39">
        <f t="shared" si="100"/>
        <v>0</v>
      </c>
      <c r="AH328" s="39" t="str">
        <f t="shared" si="101"/>
        <v/>
      </c>
      <c r="AI328" s="39">
        <f>IF(AND($E328="timed",$N328&gt;=Settings!$C$9),1,0)</f>
        <v>0</v>
      </c>
      <c r="AJ328" s="39" t="str">
        <f>IF(OR($S328="",Settings!$C$16=""),"",IF($S328&lt;=Settings!$C$16,1,2))</f>
        <v/>
      </c>
      <c r="AK328" s="39" t="str">
        <f>IF($C328="","",IFERROR(IF(INDEX(Settings!$C$20:$C$59,MATCH($C328,Settings!$B$20:$B$59,0))="",Settings!$C$10,INDEX(Settings!$C$20:$C$59,MATCH($C328,Settings!$B$20:$B$59,0))),Settings!$C$10))</f>
        <v/>
      </c>
      <c r="AL328" s="108">
        <f t="shared" si="102"/>
        <v>0</v>
      </c>
      <c r="AM328" s="39" t="str">
        <f t="shared" si="103"/>
        <v/>
      </c>
      <c r="AN328" s="39" t="str">
        <f t="shared" si="104"/>
        <v/>
      </c>
      <c r="AO328" s="39" t="str">
        <f t="shared" si="105"/>
        <v/>
      </c>
      <c r="AP328" s="39">
        <f t="shared" si="106"/>
        <v>0</v>
      </c>
      <c r="AQ328" s="39">
        <f t="shared" si="107"/>
        <v>0</v>
      </c>
    </row>
    <row r="329" spans="14:43" x14ac:dyDescent="0.25">
      <c r="N329" s="105">
        <f t="shared" si="90"/>
        <v>0</v>
      </c>
      <c r="O329" s="106" t="str">
        <f>IF($F329="","",IF(ISNUMBER($F329),$F329+Settings!$C$7/24,IFERROR(DATEVALUE(LEFT($F329,10))+TIMEVALUE(MID($F329,12,8))+Settings!$C$7/24,"")))</f>
        <v/>
      </c>
      <c r="P329" s="106" t="str">
        <f>IF($G329="","",IF(ISNUMBER($G329),$G329+Settings!$C$7/24,IFERROR(DATEVALUE(LEFT($G329,10))+TIMEVALUE(MID($G329,12,8))+Settings!$C$7/24,"")))</f>
        <v/>
      </c>
      <c r="Q329" s="39" t="str">
        <f t="shared" si="91"/>
        <v/>
      </c>
      <c r="R329" s="39" t="str">
        <f t="shared" si="92"/>
        <v/>
      </c>
      <c r="S329" s="107" t="str">
        <f t="shared" si="93"/>
        <v/>
      </c>
      <c r="T329" s="39" t="str">
        <f>IF($C329="","",IF(COUNTIF($C$2:$C329,$C329)=1,1,0))</f>
        <v/>
      </c>
      <c r="U329" s="39" t="str">
        <f>IF($T329=1,COUNTIF($T$2:$T329,1),"")</f>
        <v/>
      </c>
      <c r="V329" s="39" t="str">
        <f>IF($B329="","",IF(COUNTIF($B$2:$B329,$B329)=1,1,0))</f>
        <v/>
      </c>
      <c r="W329" s="39" t="str">
        <f>IF($V329=1,COUNTIF($V$2:$V329,1),"")</f>
        <v/>
      </c>
      <c r="X329" s="39" t="str">
        <f>IF($A329="","",IF(COUNTIF($A$2:$A329,$A329)=1,1,0))</f>
        <v/>
      </c>
      <c r="Y329" s="39" t="str">
        <f>IF($X329=1,COUNTIF($X$2:$X329,1),"")</f>
        <v/>
      </c>
      <c r="Z329" s="39">
        <f>IF(AND($E329="timed",$N329&gt;Settings!$C$8),1,0)</f>
        <v>0</v>
      </c>
      <c r="AA329" s="39">
        <f t="shared" si="94"/>
        <v>0</v>
      </c>
      <c r="AB329" s="39">
        <f t="shared" si="95"/>
        <v>0</v>
      </c>
      <c r="AC329" s="39" t="str">
        <f t="shared" si="96"/>
        <v/>
      </c>
      <c r="AD329" s="39" t="str">
        <f t="shared" si="97"/>
        <v/>
      </c>
      <c r="AE329" s="39" t="str">
        <f t="shared" si="98"/>
        <v/>
      </c>
      <c r="AF329" s="106" t="str">
        <f t="shared" si="99"/>
        <v/>
      </c>
      <c r="AG329" s="39">
        <f t="shared" si="100"/>
        <v>0</v>
      </c>
      <c r="AH329" s="39" t="str">
        <f t="shared" si="101"/>
        <v/>
      </c>
      <c r="AI329" s="39">
        <f>IF(AND($E329="timed",$N329&gt;=Settings!$C$9),1,0)</f>
        <v>0</v>
      </c>
      <c r="AJ329" s="39" t="str">
        <f>IF(OR($S329="",Settings!$C$16=""),"",IF($S329&lt;=Settings!$C$16,1,2))</f>
        <v/>
      </c>
      <c r="AK329" s="39" t="str">
        <f>IF($C329="","",IFERROR(IF(INDEX(Settings!$C$20:$C$59,MATCH($C329,Settings!$B$20:$B$59,0))="",Settings!$C$10,INDEX(Settings!$C$20:$C$59,MATCH($C329,Settings!$B$20:$B$59,0))),Settings!$C$10))</f>
        <v/>
      </c>
      <c r="AL329" s="108">
        <f t="shared" si="102"/>
        <v>0</v>
      </c>
      <c r="AM329" s="39" t="str">
        <f t="shared" si="103"/>
        <v/>
      </c>
      <c r="AN329" s="39" t="str">
        <f t="shared" si="104"/>
        <v/>
      </c>
      <c r="AO329" s="39" t="str">
        <f t="shared" si="105"/>
        <v/>
      </c>
      <c r="AP329" s="39">
        <f t="shared" si="106"/>
        <v>0</v>
      </c>
      <c r="AQ329" s="39">
        <f t="shared" si="107"/>
        <v>0</v>
      </c>
    </row>
    <row r="330" spans="14:43" x14ac:dyDescent="0.25">
      <c r="N330" s="105">
        <f t="shared" si="90"/>
        <v>0</v>
      </c>
      <c r="O330" s="106" t="str">
        <f>IF($F330="","",IF(ISNUMBER($F330),$F330+Settings!$C$7/24,IFERROR(DATEVALUE(LEFT($F330,10))+TIMEVALUE(MID($F330,12,8))+Settings!$C$7/24,"")))</f>
        <v/>
      </c>
      <c r="P330" s="106" t="str">
        <f>IF($G330="","",IF(ISNUMBER($G330),$G330+Settings!$C$7/24,IFERROR(DATEVALUE(LEFT($G330,10))+TIMEVALUE(MID($G330,12,8))+Settings!$C$7/24,"")))</f>
        <v/>
      </c>
      <c r="Q330" s="39" t="str">
        <f t="shared" si="91"/>
        <v/>
      </c>
      <c r="R330" s="39" t="str">
        <f t="shared" si="92"/>
        <v/>
      </c>
      <c r="S330" s="107" t="str">
        <f t="shared" si="93"/>
        <v/>
      </c>
      <c r="T330" s="39" t="str">
        <f>IF($C330="","",IF(COUNTIF($C$2:$C330,$C330)=1,1,0))</f>
        <v/>
      </c>
      <c r="U330" s="39" t="str">
        <f>IF($T330=1,COUNTIF($T$2:$T330,1),"")</f>
        <v/>
      </c>
      <c r="V330" s="39" t="str">
        <f>IF($B330="","",IF(COUNTIF($B$2:$B330,$B330)=1,1,0))</f>
        <v/>
      </c>
      <c r="W330" s="39" t="str">
        <f>IF($V330=1,COUNTIF($V$2:$V330,1),"")</f>
        <v/>
      </c>
      <c r="X330" s="39" t="str">
        <f>IF($A330="","",IF(COUNTIF($A$2:$A330,$A330)=1,1,0))</f>
        <v/>
      </c>
      <c r="Y330" s="39" t="str">
        <f>IF($X330=1,COUNTIF($X$2:$X330,1),"")</f>
        <v/>
      </c>
      <c r="Z330" s="39">
        <f>IF(AND($E330="timed",$N330&gt;Settings!$C$8),1,0)</f>
        <v>0</v>
      </c>
      <c r="AA330" s="39">
        <f t="shared" si="94"/>
        <v>0</v>
      </c>
      <c r="AB330" s="39">
        <f t="shared" si="95"/>
        <v>0</v>
      </c>
      <c r="AC330" s="39" t="str">
        <f t="shared" si="96"/>
        <v/>
      </c>
      <c r="AD330" s="39" t="str">
        <f t="shared" si="97"/>
        <v/>
      </c>
      <c r="AE330" s="39" t="str">
        <f t="shared" si="98"/>
        <v/>
      </c>
      <c r="AF330" s="106" t="str">
        <f t="shared" si="99"/>
        <v/>
      </c>
      <c r="AG330" s="39">
        <f t="shared" si="100"/>
        <v>0</v>
      </c>
      <c r="AH330" s="39" t="str">
        <f t="shared" si="101"/>
        <v/>
      </c>
      <c r="AI330" s="39">
        <f>IF(AND($E330="timed",$N330&gt;=Settings!$C$9),1,0)</f>
        <v>0</v>
      </c>
      <c r="AJ330" s="39" t="str">
        <f>IF(OR($S330="",Settings!$C$16=""),"",IF($S330&lt;=Settings!$C$16,1,2))</f>
        <v/>
      </c>
      <c r="AK330" s="39" t="str">
        <f>IF($C330="","",IFERROR(IF(INDEX(Settings!$C$20:$C$59,MATCH($C330,Settings!$B$20:$B$59,0))="",Settings!$C$10,INDEX(Settings!$C$20:$C$59,MATCH($C330,Settings!$B$20:$B$59,0))),Settings!$C$10))</f>
        <v/>
      </c>
      <c r="AL330" s="108">
        <f t="shared" si="102"/>
        <v>0</v>
      </c>
      <c r="AM330" s="39" t="str">
        <f t="shared" si="103"/>
        <v/>
      </c>
      <c r="AN330" s="39" t="str">
        <f t="shared" si="104"/>
        <v/>
      </c>
      <c r="AO330" s="39" t="str">
        <f t="shared" si="105"/>
        <v/>
      </c>
      <c r="AP330" s="39">
        <f t="shared" si="106"/>
        <v>0</v>
      </c>
      <c r="AQ330" s="39">
        <f t="shared" si="107"/>
        <v>0</v>
      </c>
    </row>
    <row r="331" spans="14:43" x14ac:dyDescent="0.25">
      <c r="N331" s="105">
        <f t="shared" si="90"/>
        <v>0</v>
      </c>
      <c r="O331" s="106" t="str">
        <f>IF($F331="","",IF(ISNUMBER($F331),$F331+Settings!$C$7/24,IFERROR(DATEVALUE(LEFT($F331,10))+TIMEVALUE(MID($F331,12,8))+Settings!$C$7/24,"")))</f>
        <v/>
      </c>
      <c r="P331" s="106" t="str">
        <f>IF($G331="","",IF(ISNUMBER($G331),$G331+Settings!$C$7/24,IFERROR(DATEVALUE(LEFT($G331,10))+TIMEVALUE(MID($G331,12,8))+Settings!$C$7/24,"")))</f>
        <v/>
      </c>
      <c r="Q331" s="39" t="str">
        <f t="shared" si="91"/>
        <v/>
      </c>
      <c r="R331" s="39" t="str">
        <f t="shared" si="92"/>
        <v/>
      </c>
      <c r="S331" s="107" t="str">
        <f t="shared" si="93"/>
        <v/>
      </c>
      <c r="T331" s="39" t="str">
        <f>IF($C331="","",IF(COUNTIF($C$2:$C331,$C331)=1,1,0))</f>
        <v/>
      </c>
      <c r="U331" s="39" t="str">
        <f>IF($T331=1,COUNTIF($T$2:$T331,1),"")</f>
        <v/>
      </c>
      <c r="V331" s="39" t="str">
        <f>IF($B331="","",IF(COUNTIF($B$2:$B331,$B331)=1,1,0))</f>
        <v/>
      </c>
      <c r="W331" s="39" t="str">
        <f>IF($V331=1,COUNTIF($V$2:$V331,1),"")</f>
        <v/>
      </c>
      <c r="X331" s="39" t="str">
        <f>IF($A331="","",IF(COUNTIF($A$2:$A331,$A331)=1,1,0))</f>
        <v/>
      </c>
      <c r="Y331" s="39" t="str">
        <f>IF($X331=1,COUNTIF($X$2:$X331,1),"")</f>
        <v/>
      </c>
      <c r="Z331" s="39">
        <f>IF(AND($E331="timed",$N331&gt;Settings!$C$8),1,0)</f>
        <v>0</v>
      </c>
      <c r="AA331" s="39">
        <f t="shared" si="94"/>
        <v>0</v>
      </c>
      <c r="AB331" s="39">
        <f t="shared" si="95"/>
        <v>0</v>
      </c>
      <c r="AC331" s="39" t="str">
        <f t="shared" si="96"/>
        <v/>
      </c>
      <c r="AD331" s="39" t="str">
        <f t="shared" si="97"/>
        <v/>
      </c>
      <c r="AE331" s="39" t="str">
        <f t="shared" si="98"/>
        <v/>
      </c>
      <c r="AF331" s="106" t="str">
        <f t="shared" si="99"/>
        <v/>
      </c>
      <c r="AG331" s="39">
        <f t="shared" si="100"/>
        <v>0</v>
      </c>
      <c r="AH331" s="39" t="str">
        <f t="shared" si="101"/>
        <v/>
      </c>
      <c r="AI331" s="39">
        <f>IF(AND($E331="timed",$N331&gt;=Settings!$C$9),1,0)</f>
        <v>0</v>
      </c>
      <c r="AJ331" s="39" t="str">
        <f>IF(OR($S331="",Settings!$C$16=""),"",IF($S331&lt;=Settings!$C$16,1,2))</f>
        <v/>
      </c>
      <c r="AK331" s="39" t="str">
        <f>IF($C331="","",IFERROR(IF(INDEX(Settings!$C$20:$C$59,MATCH($C331,Settings!$B$20:$B$59,0))="",Settings!$C$10,INDEX(Settings!$C$20:$C$59,MATCH($C331,Settings!$B$20:$B$59,0))),Settings!$C$10))</f>
        <v/>
      </c>
      <c r="AL331" s="108">
        <f t="shared" si="102"/>
        <v>0</v>
      </c>
      <c r="AM331" s="39" t="str">
        <f t="shared" si="103"/>
        <v/>
      </c>
      <c r="AN331" s="39" t="str">
        <f t="shared" si="104"/>
        <v/>
      </c>
      <c r="AO331" s="39" t="str">
        <f t="shared" si="105"/>
        <v/>
      </c>
      <c r="AP331" s="39">
        <f t="shared" si="106"/>
        <v>0</v>
      </c>
      <c r="AQ331" s="39">
        <f t="shared" si="107"/>
        <v>0</v>
      </c>
    </row>
    <row r="332" spans="14:43" x14ac:dyDescent="0.25">
      <c r="N332" s="105">
        <f t="shared" si="90"/>
        <v>0</v>
      </c>
      <c r="O332" s="106" t="str">
        <f>IF($F332="","",IF(ISNUMBER($F332),$F332+Settings!$C$7/24,IFERROR(DATEVALUE(LEFT($F332,10))+TIMEVALUE(MID($F332,12,8))+Settings!$C$7/24,"")))</f>
        <v/>
      </c>
      <c r="P332" s="106" t="str">
        <f>IF($G332="","",IF(ISNUMBER($G332),$G332+Settings!$C$7/24,IFERROR(DATEVALUE(LEFT($G332,10))+TIMEVALUE(MID($G332,12,8))+Settings!$C$7/24,"")))</f>
        <v/>
      </c>
      <c r="Q332" s="39" t="str">
        <f t="shared" si="91"/>
        <v/>
      </c>
      <c r="R332" s="39" t="str">
        <f t="shared" si="92"/>
        <v/>
      </c>
      <c r="S332" s="107" t="str">
        <f t="shared" si="93"/>
        <v/>
      </c>
      <c r="T332" s="39" t="str">
        <f>IF($C332="","",IF(COUNTIF($C$2:$C332,$C332)=1,1,0))</f>
        <v/>
      </c>
      <c r="U332" s="39" t="str">
        <f>IF($T332=1,COUNTIF($T$2:$T332,1),"")</f>
        <v/>
      </c>
      <c r="V332" s="39" t="str">
        <f>IF($B332="","",IF(COUNTIF($B$2:$B332,$B332)=1,1,0))</f>
        <v/>
      </c>
      <c r="W332" s="39" t="str">
        <f>IF($V332=1,COUNTIF($V$2:$V332,1),"")</f>
        <v/>
      </c>
      <c r="X332" s="39" t="str">
        <f>IF($A332="","",IF(COUNTIF($A$2:$A332,$A332)=1,1,0))</f>
        <v/>
      </c>
      <c r="Y332" s="39" t="str">
        <f>IF($X332=1,COUNTIF($X$2:$X332,1),"")</f>
        <v/>
      </c>
      <c r="Z332" s="39">
        <f>IF(AND($E332="timed",$N332&gt;Settings!$C$8),1,0)</f>
        <v>0</v>
      </c>
      <c r="AA332" s="39">
        <f t="shared" si="94"/>
        <v>0</v>
      </c>
      <c r="AB332" s="39">
        <f t="shared" si="95"/>
        <v>0</v>
      </c>
      <c r="AC332" s="39" t="str">
        <f t="shared" si="96"/>
        <v/>
      </c>
      <c r="AD332" s="39" t="str">
        <f t="shared" si="97"/>
        <v/>
      </c>
      <c r="AE332" s="39" t="str">
        <f t="shared" si="98"/>
        <v/>
      </c>
      <c r="AF332" s="106" t="str">
        <f t="shared" si="99"/>
        <v/>
      </c>
      <c r="AG332" s="39">
        <f t="shared" si="100"/>
        <v>0</v>
      </c>
      <c r="AH332" s="39" t="str">
        <f t="shared" si="101"/>
        <v/>
      </c>
      <c r="AI332" s="39">
        <f>IF(AND($E332="timed",$N332&gt;=Settings!$C$9),1,0)</f>
        <v>0</v>
      </c>
      <c r="AJ332" s="39" t="str">
        <f>IF(OR($S332="",Settings!$C$16=""),"",IF($S332&lt;=Settings!$C$16,1,2))</f>
        <v/>
      </c>
      <c r="AK332" s="39" t="str">
        <f>IF($C332="","",IFERROR(IF(INDEX(Settings!$C$20:$C$59,MATCH($C332,Settings!$B$20:$B$59,0))="",Settings!$C$10,INDEX(Settings!$C$20:$C$59,MATCH($C332,Settings!$B$20:$B$59,0))),Settings!$C$10))</f>
        <v/>
      </c>
      <c r="AL332" s="108">
        <f t="shared" si="102"/>
        <v>0</v>
      </c>
      <c r="AM332" s="39" t="str">
        <f t="shared" si="103"/>
        <v/>
      </c>
      <c r="AN332" s="39" t="str">
        <f t="shared" si="104"/>
        <v/>
      </c>
      <c r="AO332" s="39" t="str">
        <f t="shared" si="105"/>
        <v/>
      </c>
      <c r="AP332" s="39">
        <f t="shared" si="106"/>
        <v>0</v>
      </c>
      <c r="AQ332" s="39">
        <f t="shared" si="107"/>
        <v>0</v>
      </c>
    </row>
    <row r="333" spans="14:43" x14ac:dyDescent="0.25">
      <c r="N333" s="105">
        <f t="shared" si="90"/>
        <v>0</v>
      </c>
      <c r="O333" s="106" t="str">
        <f>IF($F333="","",IF(ISNUMBER($F333),$F333+Settings!$C$7/24,IFERROR(DATEVALUE(LEFT($F333,10))+TIMEVALUE(MID($F333,12,8))+Settings!$C$7/24,"")))</f>
        <v/>
      </c>
      <c r="P333" s="106" t="str">
        <f>IF($G333="","",IF(ISNUMBER($G333),$G333+Settings!$C$7/24,IFERROR(DATEVALUE(LEFT($G333,10))+TIMEVALUE(MID($G333,12,8))+Settings!$C$7/24,"")))</f>
        <v/>
      </c>
      <c r="Q333" s="39" t="str">
        <f t="shared" si="91"/>
        <v/>
      </c>
      <c r="R333" s="39" t="str">
        <f t="shared" si="92"/>
        <v/>
      </c>
      <c r="S333" s="107" t="str">
        <f t="shared" si="93"/>
        <v/>
      </c>
      <c r="T333" s="39" t="str">
        <f>IF($C333="","",IF(COUNTIF($C$2:$C333,$C333)=1,1,0))</f>
        <v/>
      </c>
      <c r="U333" s="39" t="str">
        <f>IF($T333=1,COUNTIF($T$2:$T333,1),"")</f>
        <v/>
      </c>
      <c r="V333" s="39" t="str">
        <f>IF($B333="","",IF(COUNTIF($B$2:$B333,$B333)=1,1,0))</f>
        <v/>
      </c>
      <c r="W333" s="39" t="str">
        <f>IF($V333=1,COUNTIF($V$2:$V333,1),"")</f>
        <v/>
      </c>
      <c r="X333" s="39" t="str">
        <f>IF($A333="","",IF(COUNTIF($A$2:$A333,$A333)=1,1,0))</f>
        <v/>
      </c>
      <c r="Y333" s="39" t="str">
        <f>IF($X333=1,COUNTIF($X$2:$X333,1),"")</f>
        <v/>
      </c>
      <c r="Z333" s="39">
        <f>IF(AND($E333="timed",$N333&gt;Settings!$C$8),1,0)</f>
        <v>0</v>
      </c>
      <c r="AA333" s="39">
        <f t="shared" si="94"/>
        <v>0</v>
      </c>
      <c r="AB333" s="39">
        <f t="shared" si="95"/>
        <v>0</v>
      </c>
      <c r="AC333" s="39" t="str">
        <f t="shared" si="96"/>
        <v/>
      </c>
      <c r="AD333" s="39" t="str">
        <f t="shared" si="97"/>
        <v/>
      </c>
      <c r="AE333" s="39" t="str">
        <f t="shared" si="98"/>
        <v/>
      </c>
      <c r="AF333" s="106" t="str">
        <f t="shared" si="99"/>
        <v/>
      </c>
      <c r="AG333" s="39">
        <f t="shared" si="100"/>
        <v>0</v>
      </c>
      <c r="AH333" s="39" t="str">
        <f t="shared" si="101"/>
        <v/>
      </c>
      <c r="AI333" s="39">
        <f>IF(AND($E333="timed",$N333&gt;=Settings!$C$9),1,0)</f>
        <v>0</v>
      </c>
      <c r="AJ333" s="39" t="str">
        <f>IF(OR($S333="",Settings!$C$16=""),"",IF($S333&lt;=Settings!$C$16,1,2))</f>
        <v/>
      </c>
      <c r="AK333" s="39" t="str">
        <f>IF($C333="","",IFERROR(IF(INDEX(Settings!$C$20:$C$59,MATCH($C333,Settings!$B$20:$B$59,0))="",Settings!$C$10,INDEX(Settings!$C$20:$C$59,MATCH($C333,Settings!$B$20:$B$59,0))),Settings!$C$10))</f>
        <v/>
      </c>
      <c r="AL333" s="108">
        <f t="shared" si="102"/>
        <v>0</v>
      </c>
      <c r="AM333" s="39" t="str">
        <f t="shared" si="103"/>
        <v/>
      </c>
      <c r="AN333" s="39" t="str">
        <f t="shared" si="104"/>
        <v/>
      </c>
      <c r="AO333" s="39" t="str">
        <f t="shared" si="105"/>
        <v/>
      </c>
      <c r="AP333" s="39">
        <f t="shared" si="106"/>
        <v>0</v>
      </c>
      <c r="AQ333" s="39">
        <f t="shared" si="107"/>
        <v>0</v>
      </c>
    </row>
    <row r="334" spans="14:43" x14ac:dyDescent="0.25">
      <c r="N334" s="105">
        <f t="shared" si="90"/>
        <v>0</v>
      </c>
      <c r="O334" s="106" t="str">
        <f>IF($F334="","",IF(ISNUMBER($F334),$F334+Settings!$C$7/24,IFERROR(DATEVALUE(LEFT($F334,10))+TIMEVALUE(MID($F334,12,8))+Settings!$C$7/24,"")))</f>
        <v/>
      </c>
      <c r="P334" s="106" t="str">
        <f>IF($G334="","",IF(ISNUMBER($G334),$G334+Settings!$C$7/24,IFERROR(DATEVALUE(LEFT($G334,10))+TIMEVALUE(MID($G334,12,8))+Settings!$C$7/24,"")))</f>
        <v/>
      </c>
      <c r="Q334" s="39" t="str">
        <f t="shared" si="91"/>
        <v/>
      </c>
      <c r="R334" s="39" t="str">
        <f t="shared" si="92"/>
        <v/>
      </c>
      <c r="S334" s="107" t="str">
        <f t="shared" si="93"/>
        <v/>
      </c>
      <c r="T334" s="39" t="str">
        <f>IF($C334="","",IF(COUNTIF($C$2:$C334,$C334)=1,1,0))</f>
        <v/>
      </c>
      <c r="U334" s="39" t="str">
        <f>IF($T334=1,COUNTIF($T$2:$T334,1),"")</f>
        <v/>
      </c>
      <c r="V334" s="39" t="str">
        <f>IF($B334="","",IF(COUNTIF($B$2:$B334,$B334)=1,1,0))</f>
        <v/>
      </c>
      <c r="W334" s="39" t="str">
        <f>IF($V334=1,COUNTIF($V$2:$V334,1),"")</f>
        <v/>
      </c>
      <c r="X334" s="39" t="str">
        <f>IF($A334="","",IF(COUNTIF($A$2:$A334,$A334)=1,1,0))</f>
        <v/>
      </c>
      <c r="Y334" s="39" t="str">
        <f>IF($X334=1,COUNTIF($X$2:$X334,1),"")</f>
        <v/>
      </c>
      <c r="Z334" s="39">
        <f>IF(AND($E334="timed",$N334&gt;Settings!$C$8),1,0)</f>
        <v>0</v>
      </c>
      <c r="AA334" s="39">
        <f t="shared" si="94"/>
        <v>0</v>
      </c>
      <c r="AB334" s="39">
        <f t="shared" si="95"/>
        <v>0</v>
      </c>
      <c r="AC334" s="39" t="str">
        <f t="shared" si="96"/>
        <v/>
      </c>
      <c r="AD334" s="39" t="str">
        <f t="shared" si="97"/>
        <v/>
      </c>
      <c r="AE334" s="39" t="str">
        <f t="shared" si="98"/>
        <v/>
      </c>
      <c r="AF334" s="106" t="str">
        <f t="shared" si="99"/>
        <v/>
      </c>
      <c r="AG334" s="39">
        <f t="shared" si="100"/>
        <v>0</v>
      </c>
      <c r="AH334" s="39" t="str">
        <f t="shared" si="101"/>
        <v/>
      </c>
      <c r="AI334" s="39">
        <f>IF(AND($E334="timed",$N334&gt;=Settings!$C$9),1,0)</f>
        <v>0</v>
      </c>
      <c r="AJ334" s="39" t="str">
        <f>IF(OR($S334="",Settings!$C$16=""),"",IF($S334&lt;=Settings!$C$16,1,2))</f>
        <v/>
      </c>
      <c r="AK334" s="39" t="str">
        <f>IF($C334="","",IFERROR(IF(INDEX(Settings!$C$20:$C$59,MATCH($C334,Settings!$B$20:$B$59,0))="",Settings!$C$10,INDEX(Settings!$C$20:$C$59,MATCH($C334,Settings!$B$20:$B$59,0))),Settings!$C$10))</f>
        <v/>
      </c>
      <c r="AL334" s="108">
        <f t="shared" si="102"/>
        <v>0</v>
      </c>
      <c r="AM334" s="39" t="str">
        <f t="shared" si="103"/>
        <v/>
      </c>
      <c r="AN334" s="39" t="str">
        <f t="shared" si="104"/>
        <v/>
      </c>
      <c r="AO334" s="39" t="str">
        <f t="shared" si="105"/>
        <v/>
      </c>
      <c r="AP334" s="39">
        <f t="shared" si="106"/>
        <v>0</v>
      </c>
      <c r="AQ334" s="39">
        <f t="shared" si="107"/>
        <v>0</v>
      </c>
    </row>
    <row r="335" spans="14:43" x14ac:dyDescent="0.25">
      <c r="N335" s="105">
        <f t="shared" si="90"/>
        <v>0</v>
      </c>
      <c r="O335" s="106" t="str">
        <f>IF($F335="","",IF(ISNUMBER($F335),$F335+Settings!$C$7/24,IFERROR(DATEVALUE(LEFT($F335,10))+TIMEVALUE(MID($F335,12,8))+Settings!$C$7/24,"")))</f>
        <v/>
      </c>
      <c r="P335" s="106" t="str">
        <f>IF($G335="","",IF(ISNUMBER($G335),$G335+Settings!$C$7/24,IFERROR(DATEVALUE(LEFT($G335,10))+TIMEVALUE(MID($G335,12,8))+Settings!$C$7/24,"")))</f>
        <v/>
      </c>
      <c r="Q335" s="39" t="str">
        <f t="shared" si="91"/>
        <v/>
      </c>
      <c r="R335" s="39" t="str">
        <f t="shared" si="92"/>
        <v/>
      </c>
      <c r="S335" s="107" t="str">
        <f t="shared" si="93"/>
        <v/>
      </c>
      <c r="T335" s="39" t="str">
        <f>IF($C335="","",IF(COUNTIF($C$2:$C335,$C335)=1,1,0))</f>
        <v/>
      </c>
      <c r="U335" s="39" t="str">
        <f>IF($T335=1,COUNTIF($T$2:$T335,1),"")</f>
        <v/>
      </c>
      <c r="V335" s="39" t="str">
        <f>IF($B335="","",IF(COUNTIF($B$2:$B335,$B335)=1,1,0))</f>
        <v/>
      </c>
      <c r="W335" s="39" t="str">
        <f>IF($V335=1,COUNTIF($V$2:$V335,1),"")</f>
        <v/>
      </c>
      <c r="X335" s="39" t="str">
        <f>IF($A335="","",IF(COUNTIF($A$2:$A335,$A335)=1,1,0))</f>
        <v/>
      </c>
      <c r="Y335" s="39" t="str">
        <f>IF($X335=1,COUNTIF($X$2:$X335,1),"")</f>
        <v/>
      </c>
      <c r="Z335" s="39">
        <f>IF(AND($E335="timed",$N335&gt;Settings!$C$8),1,0)</f>
        <v>0</v>
      </c>
      <c r="AA335" s="39">
        <f t="shared" si="94"/>
        <v>0</v>
      </c>
      <c r="AB335" s="39">
        <f t="shared" si="95"/>
        <v>0</v>
      </c>
      <c r="AC335" s="39" t="str">
        <f t="shared" si="96"/>
        <v/>
      </c>
      <c r="AD335" s="39" t="str">
        <f t="shared" si="97"/>
        <v/>
      </c>
      <c r="AE335" s="39" t="str">
        <f t="shared" si="98"/>
        <v/>
      </c>
      <c r="AF335" s="106" t="str">
        <f t="shared" si="99"/>
        <v/>
      </c>
      <c r="AG335" s="39">
        <f t="shared" si="100"/>
        <v>0</v>
      </c>
      <c r="AH335" s="39" t="str">
        <f t="shared" si="101"/>
        <v/>
      </c>
      <c r="AI335" s="39">
        <f>IF(AND($E335="timed",$N335&gt;=Settings!$C$9),1,0)</f>
        <v>0</v>
      </c>
      <c r="AJ335" s="39" t="str">
        <f>IF(OR($S335="",Settings!$C$16=""),"",IF($S335&lt;=Settings!$C$16,1,2))</f>
        <v/>
      </c>
      <c r="AK335" s="39" t="str">
        <f>IF($C335="","",IFERROR(IF(INDEX(Settings!$C$20:$C$59,MATCH($C335,Settings!$B$20:$B$59,0))="",Settings!$C$10,INDEX(Settings!$C$20:$C$59,MATCH($C335,Settings!$B$20:$B$59,0))),Settings!$C$10))</f>
        <v/>
      </c>
      <c r="AL335" s="108">
        <f t="shared" si="102"/>
        <v>0</v>
      </c>
      <c r="AM335" s="39" t="str">
        <f t="shared" si="103"/>
        <v/>
      </c>
      <c r="AN335" s="39" t="str">
        <f t="shared" si="104"/>
        <v/>
      </c>
      <c r="AO335" s="39" t="str">
        <f t="shared" si="105"/>
        <v/>
      </c>
      <c r="AP335" s="39">
        <f t="shared" si="106"/>
        <v>0</v>
      </c>
      <c r="AQ335" s="39">
        <f t="shared" si="107"/>
        <v>0</v>
      </c>
    </row>
    <row r="336" spans="14:43" x14ac:dyDescent="0.25">
      <c r="N336" s="105">
        <f t="shared" si="90"/>
        <v>0</v>
      </c>
      <c r="O336" s="106" t="str">
        <f>IF($F336="","",IF(ISNUMBER($F336),$F336+Settings!$C$7/24,IFERROR(DATEVALUE(LEFT($F336,10))+TIMEVALUE(MID($F336,12,8))+Settings!$C$7/24,"")))</f>
        <v/>
      </c>
      <c r="P336" s="106" t="str">
        <f>IF($G336="","",IF(ISNUMBER($G336),$G336+Settings!$C$7/24,IFERROR(DATEVALUE(LEFT($G336,10))+TIMEVALUE(MID($G336,12,8))+Settings!$C$7/24,"")))</f>
        <v/>
      </c>
      <c r="Q336" s="39" t="str">
        <f t="shared" si="91"/>
        <v/>
      </c>
      <c r="R336" s="39" t="str">
        <f t="shared" si="92"/>
        <v/>
      </c>
      <c r="S336" s="107" t="str">
        <f t="shared" si="93"/>
        <v/>
      </c>
      <c r="T336" s="39" t="str">
        <f>IF($C336="","",IF(COUNTIF($C$2:$C336,$C336)=1,1,0))</f>
        <v/>
      </c>
      <c r="U336" s="39" t="str">
        <f>IF($T336=1,COUNTIF($T$2:$T336,1),"")</f>
        <v/>
      </c>
      <c r="V336" s="39" t="str">
        <f>IF($B336="","",IF(COUNTIF($B$2:$B336,$B336)=1,1,0))</f>
        <v/>
      </c>
      <c r="W336" s="39" t="str">
        <f>IF($V336=1,COUNTIF($V$2:$V336,1),"")</f>
        <v/>
      </c>
      <c r="X336" s="39" t="str">
        <f>IF($A336="","",IF(COUNTIF($A$2:$A336,$A336)=1,1,0))</f>
        <v/>
      </c>
      <c r="Y336" s="39" t="str">
        <f>IF($X336=1,COUNTIF($X$2:$X336,1),"")</f>
        <v/>
      </c>
      <c r="Z336" s="39">
        <f>IF(AND($E336="timed",$N336&gt;Settings!$C$8),1,0)</f>
        <v>0</v>
      </c>
      <c r="AA336" s="39">
        <f t="shared" si="94"/>
        <v>0</v>
      </c>
      <c r="AB336" s="39">
        <f t="shared" si="95"/>
        <v>0</v>
      </c>
      <c r="AC336" s="39" t="str">
        <f t="shared" si="96"/>
        <v/>
      </c>
      <c r="AD336" s="39" t="str">
        <f t="shared" si="97"/>
        <v/>
      </c>
      <c r="AE336" s="39" t="str">
        <f t="shared" si="98"/>
        <v/>
      </c>
      <c r="AF336" s="106" t="str">
        <f t="shared" si="99"/>
        <v/>
      </c>
      <c r="AG336" s="39">
        <f t="shared" si="100"/>
        <v>0</v>
      </c>
      <c r="AH336" s="39" t="str">
        <f t="shared" si="101"/>
        <v/>
      </c>
      <c r="AI336" s="39">
        <f>IF(AND($E336="timed",$N336&gt;=Settings!$C$9),1,0)</f>
        <v>0</v>
      </c>
      <c r="AJ336" s="39" t="str">
        <f>IF(OR($S336="",Settings!$C$16=""),"",IF($S336&lt;=Settings!$C$16,1,2))</f>
        <v/>
      </c>
      <c r="AK336" s="39" t="str">
        <f>IF($C336="","",IFERROR(IF(INDEX(Settings!$C$20:$C$59,MATCH($C336,Settings!$B$20:$B$59,0))="",Settings!$C$10,INDEX(Settings!$C$20:$C$59,MATCH($C336,Settings!$B$20:$B$59,0))),Settings!$C$10))</f>
        <v/>
      </c>
      <c r="AL336" s="108">
        <f t="shared" si="102"/>
        <v>0</v>
      </c>
      <c r="AM336" s="39" t="str">
        <f t="shared" si="103"/>
        <v/>
      </c>
      <c r="AN336" s="39" t="str">
        <f t="shared" si="104"/>
        <v/>
      </c>
      <c r="AO336" s="39" t="str">
        <f t="shared" si="105"/>
        <v/>
      </c>
      <c r="AP336" s="39">
        <f t="shared" si="106"/>
        <v>0</v>
      </c>
      <c r="AQ336" s="39">
        <f t="shared" si="107"/>
        <v>0</v>
      </c>
    </row>
    <row r="337" spans="14:43" x14ac:dyDescent="0.25">
      <c r="N337" s="105">
        <f t="shared" si="90"/>
        <v>0</v>
      </c>
      <c r="O337" s="106" t="str">
        <f>IF($F337="","",IF(ISNUMBER($F337),$F337+Settings!$C$7/24,IFERROR(DATEVALUE(LEFT($F337,10))+TIMEVALUE(MID($F337,12,8))+Settings!$C$7/24,"")))</f>
        <v/>
      </c>
      <c r="P337" s="106" t="str">
        <f>IF($G337="","",IF(ISNUMBER($G337),$G337+Settings!$C$7/24,IFERROR(DATEVALUE(LEFT($G337,10))+TIMEVALUE(MID($G337,12,8))+Settings!$C$7/24,"")))</f>
        <v/>
      </c>
      <c r="Q337" s="39" t="str">
        <f t="shared" si="91"/>
        <v/>
      </c>
      <c r="R337" s="39" t="str">
        <f t="shared" si="92"/>
        <v/>
      </c>
      <c r="S337" s="107" t="str">
        <f t="shared" si="93"/>
        <v/>
      </c>
      <c r="T337" s="39" t="str">
        <f>IF($C337="","",IF(COUNTIF($C$2:$C337,$C337)=1,1,0))</f>
        <v/>
      </c>
      <c r="U337" s="39" t="str">
        <f>IF($T337=1,COUNTIF($T$2:$T337,1),"")</f>
        <v/>
      </c>
      <c r="V337" s="39" t="str">
        <f>IF($B337="","",IF(COUNTIF($B$2:$B337,$B337)=1,1,0))</f>
        <v/>
      </c>
      <c r="W337" s="39" t="str">
        <f>IF($V337=1,COUNTIF($V$2:$V337,1),"")</f>
        <v/>
      </c>
      <c r="X337" s="39" t="str">
        <f>IF($A337="","",IF(COUNTIF($A$2:$A337,$A337)=1,1,0))</f>
        <v/>
      </c>
      <c r="Y337" s="39" t="str">
        <f>IF($X337=1,COUNTIF($X$2:$X337,1),"")</f>
        <v/>
      </c>
      <c r="Z337" s="39">
        <f>IF(AND($E337="timed",$N337&gt;Settings!$C$8),1,0)</f>
        <v>0</v>
      </c>
      <c r="AA337" s="39">
        <f t="shared" si="94"/>
        <v>0</v>
      </c>
      <c r="AB337" s="39">
        <f t="shared" si="95"/>
        <v>0</v>
      </c>
      <c r="AC337" s="39" t="str">
        <f t="shared" si="96"/>
        <v/>
      </c>
      <c r="AD337" s="39" t="str">
        <f t="shared" si="97"/>
        <v/>
      </c>
      <c r="AE337" s="39" t="str">
        <f t="shared" si="98"/>
        <v/>
      </c>
      <c r="AF337" s="106" t="str">
        <f t="shared" si="99"/>
        <v/>
      </c>
      <c r="AG337" s="39">
        <f t="shared" si="100"/>
        <v>0</v>
      </c>
      <c r="AH337" s="39" t="str">
        <f t="shared" si="101"/>
        <v/>
      </c>
      <c r="AI337" s="39">
        <f>IF(AND($E337="timed",$N337&gt;=Settings!$C$9),1,0)</f>
        <v>0</v>
      </c>
      <c r="AJ337" s="39" t="str">
        <f>IF(OR($S337="",Settings!$C$16=""),"",IF($S337&lt;=Settings!$C$16,1,2))</f>
        <v/>
      </c>
      <c r="AK337" s="39" t="str">
        <f>IF($C337="","",IFERROR(IF(INDEX(Settings!$C$20:$C$59,MATCH($C337,Settings!$B$20:$B$59,0))="",Settings!$C$10,INDEX(Settings!$C$20:$C$59,MATCH($C337,Settings!$B$20:$B$59,0))),Settings!$C$10))</f>
        <v/>
      </c>
      <c r="AL337" s="108">
        <f t="shared" si="102"/>
        <v>0</v>
      </c>
      <c r="AM337" s="39" t="str">
        <f t="shared" si="103"/>
        <v/>
      </c>
      <c r="AN337" s="39" t="str">
        <f t="shared" si="104"/>
        <v/>
      </c>
      <c r="AO337" s="39" t="str">
        <f t="shared" si="105"/>
        <v/>
      </c>
      <c r="AP337" s="39">
        <f t="shared" si="106"/>
        <v>0</v>
      </c>
      <c r="AQ337" s="39">
        <f t="shared" si="107"/>
        <v>0</v>
      </c>
    </row>
    <row r="338" spans="14:43" x14ac:dyDescent="0.25">
      <c r="N338" s="105">
        <f t="shared" si="90"/>
        <v>0</v>
      </c>
      <c r="O338" s="106" t="str">
        <f>IF($F338="","",IF(ISNUMBER($F338),$F338+Settings!$C$7/24,IFERROR(DATEVALUE(LEFT($F338,10))+TIMEVALUE(MID($F338,12,8))+Settings!$C$7/24,"")))</f>
        <v/>
      </c>
      <c r="P338" s="106" t="str">
        <f>IF($G338="","",IF(ISNUMBER($G338),$G338+Settings!$C$7/24,IFERROR(DATEVALUE(LEFT($G338,10))+TIMEVALUE(MID($G338,12,8))+Settings!$C$7/24,"")))</f>
        <v/>
      </c>
      <c r="Q338" s="39" t="str">
        <f t="shared" si="91"/>
        <v/>
      </c>
      <c r="R338" s="39" t="str">
        <f t="shared" si="92"/>
        <v/>
      </c>
      <c r="S338" s="107" t="str">
        <f t="shared" si="93"/>
        <v/>
      </c>
      <c r="T338" s="39" t="str">
        <f>IF($C338="","",IF(COUNTIF($C$2:$C338,$C338)=1,1,0))</f>
        <v/>
      </c>
      <c r="U338" s="39" t="str">
        <f>IF($T338=1,COUNTIF($T$2:$T338,1),"")</f>
        <v/>
      </c>
      <c r="V338" s="39" t="str">
        <f>IF($B338="","",IF(COUNTIF($B$2:$B338,$B338)=1,1,0))</f>
        <v/>
      </c>
      <c r="W338" s="39" t="str">
        <f>IF($V338=1,COUNTIF($V$2:$V338,1),"")</f>
        <v/>
      </c>
      <c r="X338" s="39" t="str">
        <f>IF($A338="","",IF(COUNTIF($A$2:$A338,$A338)=1,1,0))</f>
        <v/>
      </c>
      <c r="Y338" s="39" t="str">
        <f>IF($X338=1,COUNTIF($X$2:$X338,1),"")</f>
        <v/>
      </c>
      <c r="Z338" s="39">
        <f>IF(AND($E338="timed",$N338&gt;Settings!$C$8),1,0)</f>
        <v>0</v>
      </c>
      <c r="AA338" s="39">
        <f t="shared" si="94"/>
        <v>0</v>
      </c>
      <c r="AB338" s="39">
        <f t="shared" si="95"/>
        <v>0</v>
      </c>
      <c r="AC338" s="39" t="str">
        <f t="shared" si="96"/>
        <v/>
      </c>
      <c r="AD338" s="39" t="str">
        <f t="shared" si="97"/>
        <v/>
      </c>
      <c r="AE338" s="39" t="str">
        <f t="shared" si="98"/>
        <v/>
      </c>
      <c r="AF338" s="106" t="str">
        <f t="shared" si="99"/>
        <v/>
      </c>
      <c r="AG338" s="39">
        <f t="shared" si="100"/>
        <v>0</v>
      </c>
      <c r="AH338" s="39" t="str">
        <f t="shared" si="101"/>
        <v/>
      </c>
      <c r="AI338" s="39">
        <f>IF(AND($E338="timed",$N338&gt;=Settings!$C$9),1,0)</f>
        <v>0</v>
      </c>
      <c r="AJ338" s="39" t="str">
        <f>IF(OR($S338="",Settings!$C$16=""),"",IF($S338&lt;=Settings!$C$16,1,2))</f>
        <v/>
      </c>
      <c r="AK338" s="39" t="str">
        <f>IF($C338="","",IFERROR(IF(INDEX(Settings!$C$20:$C$59,MATCH($C338,Settings!$B$20:$B$59,0))="",Settings!$C$10,INDEX(Settings!$C$20:$C$59,MATCH($C338,Settings!$B$20:$B$59,0))),Settings!$C$10))</f>
        <v/>
      </c>
      <c r="AL338" s="108">
        <f t="shared" si="102"/>
        <v>0</v>
      </c>
      <c r="AM338" s="39" t="str">
        <f t="shared" si="103"/>
        <v/>
      </c>
      <c r="AN338" s="39" t="str">
        <f t="shared" si="104"/>
        <v/>
      </c>
      <c r="AO338" s="39" t="str">
        <f t="shared" si="105"/>
        <v/>
      </c>
      <c r="AP338" s="39">
        <f t="shared" si="106"/>
        <v>0</v>
      </c>
      <c r="AQ338" s="39">
        <f t="shared" si="107"/>
        <v>0</v>
      </c>
    </row>
    <row r="339" spans="14:43" x14ac:dyDescent="0.25">
      <c r="N339" s="105">
        <f t="shared" si="90"/>
        <v>0</v>
      </c>
      <c r="O339" s="106" t="str">
        <f>IF($F339="","",IF(ISNUMBER($F339),$F339+Settings!$C$7/24,IFERROR(DATEVALUE(LEFT($F339,10))+TIMEVALUE(MID($F339,12,8))+Settings!$C$7/24,"")))</f>
        <v/>
      </c>
      <c r="P339" s="106" t="str">
        <f>IF($G339="","",IF(ISNUMBER($G339),$G339+Settings!$C$7/24,IFERROR(DATEVALUE(LEFT($G339,10))+TIMEVALUE(MID($G339,12,8))+Settings!$C$7/24,"")))</f>
        <v/>
      </c>
      <c r="Q339" s="39" t="str">
        <f t="shared" si="91"/>
        <v/>
      </c>
      <c r="R339" s="39" t="str">
        <f t="shared" si="92"/>
        <v/>
      </c>
      <c r="S339" s="107" t="str">
        <f t="shared" si="93"/>
        <v/>
      </c>
      <c r="T339" s="39" t="str">
        <f>IF($C339="","",IF(COUNTIF($C$2:$C339,$C339)=1,1,0))</f>
        <v/>
      </c>
      <c r="U339" s="39" t="str">
        <f>IF($T339=1,COUNTIF($T$2:$T339,1),"")</f>
        <v/>
      </c>
      <c r="V339" s="39" t="str">
        <f>IF($B339="","",IF(COUNTIF($B$2:$B339,$B339)=1,1,0))</f>
        <v/>
      </c>
      <c r="W339" s="39" t="str">
        <f>IF($V339=1,COUNTIF($V$2:$V339,1),"")</f>
        <v/>
      </c>
      <c r="X339" s="39" t="str">
        <f>IF($A339="","",IF(COUNTIF($A$2:$A339,$A339)=1,1,0))</f>
        <v/>
      </c>
      <c r="Y339" s="39" t="str">
        <f>IF($X339=1,COUNTIF($X$2:$X339,1),"")</f>
        <v/>
      </c>
      <c r="Z339" s="39">
        <f>IF(AND($E339="timed",$N339&gt;Settings!$C$8),1,0)</f>
        <v>0</v>
      </c>
      <c r="AA339" s="39">
        <f t="shared" si="94"/>
        <v>0</v>
      </c>
      <c r="AB339" s="39">
        <f t="shared" si="95"/>
        <v>0</v>
      </c>
      <c r="AC339" s="39" t="str">
        <f t="shared" si="96"/>
        <v/>
      </c>
      <c r="AD339" s="39" t="str">
        <f t="shared" si="97"/>
        <v/>
      </c>
      <c r="AE339" s="39" t="str">
        <f t="shared" si="98"/>
        <v/>
      </c>
      <c r="AF339" s="106" t="str">
        <f t="shared" si="99"/>
        <v/>
      </c>
      <c r="AG339" s="39">
        <f t="shared" si="100"/>
        <v>0</v>
      </c>
      <c r="AH339" s="39" t="str">
        <f t="shared" si="101"/>
        <v/>
      </c>
      <c r="AI339" s="39">
        <f>IF(AND($E339="timed",$N339&gt;=Settings!$C$9),1,0)</f>
        <v>0</v>
      </c>
      <c r="AJ339" s="39" t="str">
        <f>IF(OR($S339="",Settings!$C$16=""),"",IF($S339&lt;=Settings!$C$16,1,2))</f>
        <v/>
      </c>
      <c r="AK339" s="39" t="str">
        <f>IF($C339="","",IFERROR(IF(INDEX(Settings!$C$20:$C$59,MATCH($C339,Settings!$B$20:$B$59,0))="",Settings!$C$10,INDEX(Settings!$C$20:$C$59,MATCH($C339,Settings!$B$20:$B$59,0))),Settings!$C$10))</f>
        <v/>
      </c>
      <c r="AL339" s="108">
        <f t="shared" si="102"/>
        <v>0</v>
      </c>
      <c r="AM339" s="39" t="str">
        <f t="shared" si="103"/>
        <v/>
      </c>
      <c r="AN339" s="39" t="str">
        <f t="shared" si="104"/>
        <v/>
      </c>
      <c r="AO339" s="39" t="str">
        <f t="shared" si="105"/>
        <v/>
      </c>
      <c r="AP339" s="39">
        <f t="shared" si="106"/>
        <v>0</v>
      </c>
      <c r="AQ339" s="39">
        <f t="shared" si="107"/>
        <v>0</v>
      </c>
    </row>
    <row r="340" spans="14:43" x14ac:dyDescent="0.25">
      <c r="N340" s="105">
        <f t="shared" si="90"/>
        <v>0</v>
      </c>
      <c r="O340" s="106" t="str">
        <f>IF($F340="","",IF(ISNUMBER($F340),$F340+Settings!$C$7/24,IFERROR(DATEVALUE(LEFT($F340,10))+TIMEVALUE(MID($F340,12,8))+Settings!$C$7/24,"")))</f>
        <v/>
      </c>
      <c r="P340" s="106" t="str">
        <f>IF($G340="","",IF(ISNUMBER($G340),$G340+Settings!$C$7/24,IFERROR(DATEVALUE(LEFT($G340,10))+TIMEVALUE(MID($G340,12,8))+Settings!$C$7/24,"")))</f>
        <v/>
      </c>
      <c r="Q340" s="39" t="str">
        <f t="shared" si="91"/>
        <v/>
      </c>
      <c r="R340" s="39" t="str">
        <f t="shared" si="92"/>
        <v/>
      </c>
      <c r="S340" s="107" t="str">
        <f t="shared" si="93"/>
        <v/>
      </c>
      <c r="T340" s="39" t="str">
        <f>IF($C340="","",IF(COUNTIF($C$2:$C340,$C340)=1,1,0))</f>
        <v/>
      </c>
      <c r="U340" s="39" t="str">
        <f>IF($T340=1,COUNTIF($T$2:$T340,1),"")</f>
        <v/>
      </c>
      <c r="V340" s="39" t="str">
        <f>IF($B340="","",IF(COUNTIF($B$2:$B340,$B340)=1,1,0))</f>
        <v/>
      </c>
      <c r="W340" s="39" t="str">
        <f>IF($V340=1,COUNTIF($V$2:$V340,1),"")</f>
        <v/>
      </c>
      <c r="X340" s="39" t="str">
        <f>IF($A340="","",IF(COUNTIF($A$2:$A340,$A340)=1,1,0))</f>
        <v/>
      </c>
      <c r="Y340" s="39" t="str">
        <f>IF($X340=1,COUNTIF($X$2:$X340,1),"")</f>
        <v/>
      </c>
      <c r="Z340" s="39">
        <f>IF(AND($E340="timed",$N340&gt;Settings!$C$8),1,0)</f>
        <v>0</v>
      </c>
      <c r="AA340" s="39">
        <f t="shared" si="94"/>
        <v>0</v>
      </c>
      <c r="AB340" s="39">
        <f t="shared" si="95"/>
        <v>0</v>
      </c>
      <c r="AC340" s="39" t="str">
        <f t="shared" si="96"/>
        <v/>
      </c>
      <c r="AD340" s="39" t="str">
        <f t="shared" si="97"/>
        <v/>
      </c>
      <c r="AE340" s="39" t="str">
        <f t="shared" si="98"/>
        <v/>
      </c>
      <c r="AF340" s="106" t="str">
        <f t="shared" si="99"/>
        <v/>
      </c>
      <c r="AG340" s="39">
        <f t="shared" si="100"/>
        <v>0</v>
      </c>
      <c r="AH340" s="39" t="str">
        <f t="shared" si="101"/>
        <v/>
      </c>
      <c r="AI340" s="39">
        <f>IF(AND($E340="timed",$N340&gt;=Settings!$C$9),1,0)</f>
        <v>0</v>
      </c>
      <c r="AJ340" s="39" t="str">
        <f>IF(OR($S340="",Settings!$C$16=""),"",IF($S340&lt;=Settings!$C$16,1,2))</f>
        <v/>
      </c>
      <c r="AK340" s="39" t="str">
        <f>IF($C340="","",IFERROR(IF(INDEX(Settings!$C$20:$C$59,MATCH($C340,Settings!$B$20:$B$59,0))="",Settings!$C$10,INDEX(Settings!$C$20:$C$59,MATCH($C340,Settings!$B$20:$B$59,0))),Settings!$C$10))</f>
        <v/>
      </c>
      <c r="AL340" s="108">
        <f t="shared" si="102"/>
        <v>0</v>
      </c>
      <c r="AM340" s="39" t="str">
        <f t="shared" si="103"/>
        <v/>
      </c>
      <c r="AN340" s="39" t="str">
        <f t="shared" si="104"/>
        <v/>
      </c>
      <c r="AO340" s="39" t="str">
        <f t="shared" si="105"/>
        <v/>
      </c>
      <c r="AP340" s="39">
        <f t="shared" si="106"/>
        <v>0</v>
      </c>
      <c r="AQ340" s="39">
        <f t="shared" si="107"/>
        <v>0</v>
      </c>
    </row>
    <row r="341" spans="14:43" x14ac:dyDescent="0.25">
      <c r="N341" s="105">
        <f t="shared" si="90"/>
        <v>0</v>
      </c>
      <c r="O341" s="106" t="str">
        <f>IF($F341="","",IF(ISNUMBER($F341),$F341+Settings!$C$7/24,IFERROR(DATEVALUE(LEFT($F341,10))+TIMEVALUE(MID($F341,12,8))+Settings!$C$7/24,"")))</f>
        <v/>
      </c>
      <c r="P341" s="106" t="str">
        <f>IF($G341="","",IF(ISNUMBER($G341),$G341+Settings!$C$7/24,IFERROR(DATEVALUE(LEFT($G341,10))+TIMEVALUE(MID($G341,12,8))+Settings!$C$7/24,"")))</f>
        <v/>
      </c>
      <c r="Q341" s="39" t="str">
        <f t="shared" si="91"/>
        <v/>
      </c>
      <c r="R341" s="39" t="str">
        <f t="shared" si="92"/>
        <v/>
      </c>
      <c r="S341" s="107" t="str">
        <f t="shared" si="93"/>
        <v/>
      </c>
      <c r="T341" s="39" t="str">
        <f>IF($C341="","",IF(COUNTIF($C$2:$C341,$C341)=1,1,0))</f>
        <v/>
      </c>
      <c r="U341" s="39" t="str">
        <f>IF($T341=1,COUNTIF($T$2:$T341,1),"")</f>
        <v/>
      </c>
      <c r="V341" s="39" t="str">
        <f>IF($B341="","",IF(COUNTIF($B$2:$B341,$B341)=1,1,0))</f>
        <v/>
      </c>
      <c r="W341" s="39" t="str">
        <f>IF($V341=1,COUNTIF($V$2:$V341,1),"")</f>
        <v/>
      </c>
      <c r="X341" s="39" t="str">
        <f>IF($A341="","",IF(COUNTIF($A$2:$A341,$A341)=1,1,0))</f>
        <v/>
      </c>
      <c r="Y341" s="39" t="str">
        <f>IF($X341=1,COUNTIF($X$2:$X341,1),"")</f>
        <v/>
      </c>
      <c r="Z341" s="39">
        <f>IF(AND($E341="timed",$N341&gt;Settings!$C$8),1,0)</f>
        <v>0</v>
      </c>
      <c r="AA341" s="39">
        <f t="shared" si="94"/>
        <v>0</v>
      </c>
      <c r="AB341" s="39">
        <f t="shared" si="95"/>
        <v>0</v>
      </c>
      <c r="AC341" s="39" t="str">
        <f t="shared" si="96"/>
        <v/>
      </c>
      <c r="AD341" s="39" t="str">
        <f t="shared" si="97"/>
        <v/>
      </c>
      <c r="AE341" s="39" t="str">
        <f t="shared" si="98"/>
        <v/>
      </c>
      <c r="AF341" s="106" t="str">
        <f t="shared" si="99"/>
        <v/>
      </c>
      <c r="AG341" s="39">
        <f t="shared" si="100"/>
        <v>0</v>
      </c>
      <c r="AH341" s="39" t="str">
        <f t="shared" si="101"/>
        <v/>
      </c>
      <c r="AI341" s="39">
        <f>IF(AND($E341="timed",$N341&gt;=Settings!$C$9),1,0)</f>
        <v>0</v>
      </c>
      <c r="AJ341" s="39" t="str">
        <f>IF(OR($S341="",Settings!$C$16=""),"",IF($S341&lt;=Settings!$C$16,1,2))</f>
        <v/>
      </c>
      <c r="AK341" s="39" t="str">
        <f>IF($C341="","",IFERROR(IF(INDEX(Settings!$C$20:$C$59,MATCH($C341,Settings!$B$20:$B$59,0))="",Settings!$C$10,INDEX(Settings!$C$20:$C$59,MATCH($C341,Settings!$B$20:$B$59,0))),Settings!$C$10))</f>
        <v/>
      </c>
      <c r="AL341" s="108">
        <f t="shared" si="102"/>
        <v>0</v>
      </c>
      <c r="AM341" s="39" t="str">
        <f t="shared" si="103"/>
        <v/>
      </c>
      <c r="AN341" s="39" t="str">
        <f t="shared" si="104"/>
        <v/>
      </c>
      <c r="AO341" s="39" t="str">
        <f t="shared" si="105"/>
        <v/>
      </c>
      <c r="AP341" s="39">
        <f t="shared" si="106"/>
        <v>0</v>
      </c>
      <c r="AQ341" s="39">
        <f t="shared" si="107"/>
        <v>0</v>
      </c>
    </row>
    <row r="342" spans="14:43" x14ac:dyDescent="0.25">
      <c r="N342" s="105">
        <f t="shared" si="90"/>
        <v>0</v>
      </c>
      <c r="O342" s="106" t="str">
        <f>IF($F342="","",IF(ISNUMBER($F342),$F342+Settings!$C$7/24,IFERROR(DATEVALUE(LEFT($F342,10))+TIMEVALUE(MID($F342,12,8))+Settings!$C$7/24,"")))</f>
        <v/>
      </c>
      <c r="P342" s="106" t="str">
        <f>IF($G342="","",IF(ISNUMBER($G342),$G342+Settings!$C$7/24,IFERROR(DATEVALUE(LEFT($G342,10))+TIMEVALUE(MID($G342,12,8))+Settings!$C$7/24,"")))</f>
        <v/>
      </c>
      <c r="Q342" s="39" t="str">
        <f t="shared" si="91"/>
        <v/>
      </c>
      <c r="R342" s="39" t="str">
        <f t="shared" si="92"/>
        <v/>
      </c>
      <c r="S342" s="107" t="str">
        <f t="shared" si="93"/>
        <v/>
      </c>
      <c r="T342" s="39" t="str">
        <f>IF($C342="","",IF(COUNTIF($C$2:$C342,$C342)=1,1,0))</f>
        <v/>
      </c>
      <c r="U342" s="39" t="str">
        <f>IF($T342=1,COUNTIF($T$2:$T342,1),"")</f>
        <v/>
      </c>
      <c r="V342" s="39" t="str">
        <f>IF($B342="","",IF(COUNTIF($B$2:$B342,$B342)=1,1,0))</f>
        <v/>
      </c>
      <c r="W342" s="39" t="str">
        <f>IF($V342=1,COUNTIF($V$2:$V342,1),"")</f>
        <v/>
      </c>
      <c r="X342" s="39" t="str">
        <f>IF($A342="","",IF(COUNTIF($A$2:$A342,$A342)=1,1,0))</f>
        <v/>
      </c>
      <c r="Y342" s="39" t="str">
        <f>IF($X342=1,COUNTIF($X$2:$X342,1),"")</f>
        <v/>
      </c>
      <c r="Z342" s="39">
        <f>IF(AND($E342="timed",$N342&gt;Settings!$C$8),1,0)</f>
        <v>0</v>
      </c>
      <c r="AA342" s="39">
        <f t="shared" si="94"/>
        <v>0</v>
      </c>
      <c r="AB342" s="39">
        <f t="shared" si="95"/>
        <v>0</v>
      </c>
      <c r="AC342" s="39" t="str">
        <f t="shared" si="96"/>
        <v/>
      </c>
      <c r="AD342" s="39" t="str">
        <f t="shared" si="97"/>
        <v/>
      </c>
      <c r="AE342" s="39" t="str">
        <f t="shared" si="98"/>
        <v/>
      </c>
      <c r="AF342" s="106" t="str">
        <f t="shared" si="99"/>
        <v/>
      </c>
      <c r="AG342" s="39">
        <f t="shared" si="100"/>
        <v>0</v>
      </c>
      <c r="AH342" s="39" t="str">
        <f t="shared" si="101"/>
        <v/>
      </c>
      <c r="AI342" s="39">
        <f>IF(AND($E342="timed",$N342&gt;=Settings!$C$9),1,0)</f>
        <v>0</v>
      </c>
      <c r="AJ342" s="39" t="str">
        <f>IF(OR($S342="",Settings!$C$16=""),"",IF($S342&lt;=Settings!$C$16,1,2))</f>
        <v/>
      </c>
      <c r="AK342" s="39" t="str">
        <f>IF($C342="","",IFERROR(IF(INDEX(Settings!$C$20:$C$59,MATCH($C342,Settings!$B$20:$B$59,0))="",Settings!$C$10,INDEX(Settings!$C$20:$C$59,MATCH($C342,Settings!$B$20:$B$59,0))),Settings!$C$10))</f>
        <v/>
      </c>
      <c r="AL342" s="108">
        <f t="shared" si="102"/>
        <v>0</v>
      </c>
      <c r="AM342" s="39" t="str">
        <f t="shared" si="103"/>
        <v/>
      </c>
      <c r="AN342" s="39" t="str">
        <f t="shared" si="104"/>
        <v/>
      </c>
      <c r="AO342" s="39" t="str">
        <f t="shared" si="105"/>
        <v/>
      </c>
      <c r="AP342" s="39">
        <f t="shared" si="106"/>
        <v>0</v>
      </c>
      <c r="AQ342" s="39">
        <f t="shared" si="107"/>
        <v>0</v>
      </c>
    </row>
    <row r="343" spans="14:43" x14ac:dyDescent="0.25">
      <c r="N343" s="105">
        <f t="shared" si="90"/>
        <v>0</v>
      </c>
      <c r="O343" s="106" t="str">
        <f>IF($F343="","",IF(ISNUMBER($F343),$F343+Settings!$C$7/24,IFERROR(DATEVALUE(LEFT($F343,10))+TIMEVALUE(MID($F343,12,8))+Settings!$C$7/24,"")))</f>
        <v/>
      </c>
      <c r="P343" s="106" t="str">
        <f>IF($G343="","",IF(ISNUMBER($G343),$G343+Settings!$C$7/24,IFERROR(DATEVALUE(LEFT($G343,10))+TIMEVALUE(MID($G343,12,8))+Settings!$C$7/24,"")))</f>
        <v/>
      </c>
      <c r="Q343" s="39" t="str">
        <f t="shared" si="91"/>
        <v/>
      </c>
      <c r="R343" s="39" t="str">
        <f t="shared" si="92"/>
        <v/>
      </c>
      <c r="S343" s="107" t="str">
        <f t="shared" si="93"/>
        <v/>
      </c>
      <c r="T343" s="39" t="str">
        <f>IF($C343="","",IF(COUNTIF($C$2:$C343,$C343)=1,1,0))</f>
        <v/>
      </c>
      <c r="U343" s="39" t="str">
        <f>IF($T343=1,COUNTIF($T$2:$T343,1),"")</f>
        <v/>
      </c>
      <c r="V343" s="39" t="str">
        <f>IF($B343="","",IF(COUNTIF($B$2:$B343,$B343)=1,1,0))</f>
        <v/>
      </c>
      <c r="W343" s="39" t="str">
        <f>IF($V343=1,COUNTIF($V$2:$V343,1),"")</f>
        <v/>
      </c>
      <c r="X343" s="39" t="str">
        <f>IF($A343="","",IF(COUNTIF($A$2:$A343,$A343)=1,1,0))</f>
        <v/>
      </c>
      <c r="Y343" s="39" t="str">
        <f>IF($X343=1,COUNTIF($X$2:$X343,1),"")</f>
        <v/>
      </c>
      <c r="Z343" s="39">
        <f>IF(AND($E343="timed",$N343&gt;Settings!$C$8),1,0)</f>
        <v>0</v>
      </c>
      <c r="AA343" s="39">
        <f t="shared" si="94"/>
        <v>0</v>
      </c>
      <c r="AB343" s="39">
        <f t="shared" si="95"/>
        <v>0</v>
      </c>
      <c r="AC343" s="39" t="str">
        <f t="shared" si="96"/>
        <v/>
      </c>
      <c r="AD343" s="39" t="str">
        <f t="shared" si="97"/>
        <v/>
      </c>
      <c r="AE343" s="39" t="str">
        <f t="shared" si="98"/>
        <v/>
      </c>
      <c r="AF343" s="106" t="str">
        <f t="shared" si="99"/>
        <v/>
      </c>
      <c r="AG343" s="39">
        <f t="shared" si="100"/>
        <v>0</v>
      </c>
      <c r="AH343" s="39" t="str">
        <f t="shared" si="101"/>
        <v/>
      </c>
      <c r="AI343" s="39">
        <f>IF(AND($E343="timed",$N343&gt;=Settings!$C$9),1,0)</f>
        <v>0</v>
      </c>
      <c r="AJ343" s="39" t="str">
        <f>IF(OR($S343="",Settings!$C$16=""),"",IF($S343&lt;=Settings!$C$16,1,2))</f>
        <v/>
      </c>
      <c r="AK343" s="39" t="str">
        <f>IF($C343="","",IFERROR(IF(INDEX(Settings!$C$20:$C$59,MATCH($C343,Settings!$B$20:$B$59,0))="",Settings!$C$10,INDEX(Settings!$C$20:$C$59,MATCH($C343,Settings!$B$20:$B$59,0))),Settings!$C$10))</f>
        <v/>
      </c>
      <c r="AL343" s="108">
        <f t="shared" si="102"/>
        <v>0</v>
      </c>
      <c r="AM343" s="39" t="str">
        <f t="shared" si="103"/>
        <v/>
      </c>
      <c r="AN343" s="39" t="str">
        <f t="shared" si="104"/>
        <v/>
      </c>
      <c r="AO343" s="39" t="str">
        <f t="shared" si="105"/>
        <v/>
      </c>
      <c r="AP343" s="39">
        <f t="shared" si="106"/>
        <v>0</v>
      </c>
      <c r="AQ343" s="39">
        <f t="shared" si="107"/>
        <v>0</v>
      </c>
    </row>
    <row r="344" spans="14:43" x14ac:dyDescent="0.25">
      <c r="N344" s="105">
        <f t="shared" si="90"/>
        <v>0</v>
      </c>
      <c r="O344" s="106" t="str">
        <f>IF($F344="","",IF(ISNUMBER($F344),$F344+Settings!$C$7/24,IFERROR(DATEVALUE(LEFT($F344,10))+TIMEVALUE(MID($F344,12,8))+Settings!$C$7/24,"")))</f>
        <v/>
      </c>
      <c r="P344" s="106" t="str">
        <f>IF($G344="","",IF(ISNUMBER($G344),$G344+Settings!$C$7/24,IFERROR(DATEVALUE(LEFT($G344,10))+TIMEVALUE(MID($G344,12,8))+Settings!$C$7/24,"")))</f>
        <v/>
      </c>
      <c r="Q344" s="39" t="str">
        <f t="shared" si="91"/>
        <v/>
      </c>
      <c r="R344" s="39" t="str">
        <f t="shared" si="92"/>
        <v/>
      </c>
      <c r="S344" s="107" t="str">
        <f t="shared" si="93"/>
        <v/>
      </c>
      <c r="T344" s="39" t="str">
        <f>IF($C344="","",IF(COUNTIF($C$2:$C344,$C344)=1,1,0))</f>
        <v/>
      </c>
      <c r="U344" s="39" t="str">
        <f>IF($T344=1,COUNTIF($T$2:$T344,1),"")</f>
        <v/>
      </c>
      <c r="V344" s="39" t="str">
        <f>IF($B344="","",IF(COUNTIF($B$2:$B344,$B344)=1,1,0))</f>
        <v/>
      </c>
      <c r="W344" s="39" t="str">
        <f>IF($V344=1,COUNTIF($V$2:$V344,1),"")</f>
        <v/>
      </c>
      <c r="X344" s="39" t="str">
        <f>IF($A344="","",IF(COUNTIF($A$2:$A344,$A344)=1,1,0))</f>
        <v/>
      </c>
      <c r="Y344" s="39" t="str">
        <f>IF($X344=1,COUNTIF($X$2:$X344,1),"")</f>
        <v/>
      </c>
      <c r="Z344" s="39">
        <f>IF(AND($E344="timed",$N344&gt;Settings!$C$8),1,0)</f>
        <v>0</v>
      </c>
      <c r="AA344" s="39">
        <f t="shared" si="94"/>
        <v>0</v>
      </c>
      <c r="AB344" s="39">
        <f t="shared" si="95"/>
        <v>0</v>
      </c>
      <c r="AC344" s="39" t="str">
        <f t="shared" si="96"/>
        <v/>
      </c>
      <c r="AD344" s="39" t="str">
        <f t="shared" si="97"/>
        <v/>
      </c>
      <c r="AE344" s="39" t="str">
        <f t="shared" si="98"/>
        <v/>
      </c>
      <c r="AF344" s="106" t="str">
        <f t="shared" si="99"/>
        <v/>
      </c>
      <c r="AG344" s="39">
        <f t="shared" si="100"/>
        <v>0</v>
      </c>
      <c r="AH344" s="39" t="str">
        <f t="shared" si="101"/>
        <v/>
      </c>
      <c r="AI344" s="39">
        <f>IF(AND($E344="timed",$N344&gt;=Settings!$C$9),1,0)</f>
        <v>0</v>
      </c>
      <c r="AJ344" s="39" t="str">
        <f>IF(OR($S344="",Settings!$C$16=""),"",IF($S344&lt;=Settings!$C$16,1,2))</f>
        <v/>
      </c>
      <c r="AK344" s="39" t="str">
        <f>IF($C344="","",IFERROR(IF(INDEX(Settings!$C$20:$C$59,MATCH($C344,Settings!$B$20:$B$59,0))="",Settings!$C$10,INDEX(Settings!$C$20:$C$59,MATCH($C344,Settings!$B$20:$B$59,0))),Settings!$C$10))</f>
        <v/>
      </c>
      <c r="AL344" s="108">
        <f t="shared" si="102"/>
        <v>0</v>
      </c>
      <c r="AM344" s="39" t="str">
        <f t="shared" si="103"/>
        <v/>
      </c>
      <c r="AN344" s="39" t="str">
        <f t="shared" si="104"/>
        <v/>
      </c>
      <c r="AO344" s="39" t="str">
        <f t="shared" si="105"/>
        <v/>
      </c>
      <c r="AP344" s="39">
        <f t="shared" si="106"/>
        <v>0</v>
      </c>
      <c r="AQ344" s="39">
        <f t="shared" si="107"/>
        <v>0</v>
      </c>
    </row>
    <row r="345" spans="14:43" x14ac:dyDescent="0.25">
      <c r="N345" s="105">
        <f t="shared" si="90"/>
        <v>0</v>
      </c>
      <c r="O345" s="106" t="str">
        <f>IF($F345="","",IF(ISNUMBER($F345),$F345+Settings!$C$7/24,IFERROR(DATEVALUE(LEFT($F345,10))+TIMEVALUE(MID($F345,12,8))+Settings!$C$7/24,"")))</f>
        <v/>
      </c>
      <c r="P345" s="106" t="str">
        <f>IF($G345="","",IF(ISNUMBER($G345),$G345+Settings!$C$7/24,IFERROR(DATEVALUE(LEFT($G345,10))+TIMEVALUE(MID($G345,12,8))+Settings!$C$7/24,"")))</f>
        <v/>
      </c>
      <c r="Q345" s="39" t="str">
        <f t="shared" si="91"/>
        <v/>
      </c>
      <c r="R345" s="39" t="str">
        <f t="shared" si="92"/>
        <v/>
      </c>
      <c r="S345" s="107" t="str">
        <f t="shared" si="93"/>
        <v/>
      </c>
      <c r="T345" s="39" t="str">
        <f>IF($C345="","",IF(COUNTIF($C$2:$C345,$C345)=1,1,0))</f>
        <v/>
      </c>
      <c r="U345" s="39" t="str">
        <f>IF($T345=1,COUNTIF($T$2:$T345,1),"")</f>
        <v/>
      </c>
      <c r="V345" s="39" t="str">
        <f>IF($B345="","",IF(COUNTIF($B$2:$B345,$B345)=1,1,0))</f>
        <v/>
      </c>
      <c r="W345" s="39" t="str">
        <f>IF($V345=1,COUNTIF($V$2:$V345,1),"")</f>
        <v/>
      </c>
      <c r="X345" s="39" t="str">
        <f>IF($A345="","",IF(COUNTIF($A$2:$A345,$A345)=1,1,0))</f>
        <v/>
      </c>
      <c r="Y345" s="39" t="str">
        <f>IF($X345=1,COUNTIF($X$2:$X345,1),"")</f>
        <v/>
      </c>
      <c r="Z345" s="39">
        <f>IF(AND($E345="timed",$N345&gt;Settings!$C$8),1,0)</f>
        <v>0</v>
      </c>
      <c r="AA345" s="39">
        <f t="shared" si="94"/>
        <v>0</v>
      </c>
      <c r="AB345" s="39">
        <f t="shared" si="95"/>
        <v>0</v>
      </c>
      <c r="AC345" s="39" t="str">
        <f t="shared" si="96"/>
        <v/>
      </c>
      <c r="AD345" s="39" t="str">
        <f t="shared" si="97"/>
        <v/>
      </c>
      <c r="AE345" s="39" t="str">
        <f t="shared" si="98"/>
        <v/>
      </c>
      <c r="AF345" s="106" t="str">
        <f t="shared" si="99"/>
        <v/>
      </c>
      <c r="AG345" s="39">
        <f t="shared" si="100"/>
        <v>0</v>
      </c>
      <c r="AH345" s="39" t="str">
        <f t="shared" si="101"/>
        <v/>
      </c>
      <c r="AI345" s="39">
        <f>IF(AND($E345="timed",$N345&gt;=Settings!$C$9),1,0)</f>
        <v>0</v>
      </c>
      <c r="AJ345" s="39" t="str">
        <f>IF(OR($S345="",Settings!$C$16=""),"",IF($S345&lt;=Settings!$C$16,1,2))</f>
        <v/>
      </c>
      <c r="AK345" s="39" t="str">
        <f>IF($C345="","",IFERROR(IF(INDEX(Settings!$C$20:$C$59,MATCH($C345,Settings!$B$20:$B$59,0))="",Settings!$C$10,INDEX(Settings!$C$20:$C$59,MATCH($C345,Settings!$B$20:$B$59,0))),Settings!$C$10))</f>
        <v/>
      </c>
      <c r="AL345" s="108">
        <f t="shared" si="102"/>
        <v>0</v>
      </c>
      <c r="AM345" s="39" t="str">
        <f t="shared" si="103"/>
        <v/>
      </c>
      <c r="AN345" s="39" t="str">
        <f t="shared" si="104"/>
        <v/>
      </c>
      <c r="AO345" s="39" t="str">
        <f t="shared" si="105"/>
        <v/>
      </c>
      <c r="AP345" s="39">
        <f t="shared" si="106"/>
        <v>0</v>
      </c>
      <c r="AQ345" s="39">
        <f t="shared" si="107"/>
        <v>0</v>
      </c>
    </row>
    <row r="346" spans="14:43" x14ac:dyDescent="0.25">
      <c r="N346" s="105">
        <f t="shared" si="90"/>
        <v>0</v>
      </c>
      <c r="O346" s="106" t="str">
        <f>IF($F346="","",IF(ISNUMBER($F346),$F346+Settings!$C$7/24,IFERROR(DATEVALUE(LEFT($F346,10))+TIMEVALUE(MID($F346,12,8))+Settings!$C$7/24,"")))</f>
        <v/>
      </c>
      <c r="P346" s="106" t="str">
        <f>IF($G346="","",IF(ISNUMBER($G346),$G346+Settings!$C$7/24,IFERROR(DATEVALUE(LEFT($G346,10))+TIMEVALUE(MID($G346,12,8))+Settings!$C$7/24,"")))</f>
        <v/>
      </c>
      <c r="Q346" s="39" t="str">
        <f t="shared" si="91"/>
        <v/>
      </c>
      <c r="R346" s="39" t="str">
        <f t="shared" si="92"/>
        <v/>
      </c>
      <c r="S346" s="107" t="str">
        <f t="shared" si="93"/>
        <v/>
      </c>
      <c r="T346" s="39" t="str">
        <f>IF($C346="","",IF(COUNTIF($C$2:$C346,$C346)=1,1,0))</f>
        <v/>
      </c>
      <c r="U346" s="39" t="str">
        <f>IF($T346=1,COUNTIF($T$2:$T346,1),"")</f>
        <v/>
      </c>
      <c r="V346" s="39" t="str">
        <f>IF($B346="","",IF(COUNTIF($B$2:$B346,$B346)=1,1,0))</f>
        <v/>
      </c>
      <c r="W346" s="39" t="str">
        <f>IF($V346=1,COUNTIF($V$2:$V346,1),"")</f>
        <v/>
      </c>
      <c r="X346" s="39" t="str">
        <f>IF($A346="","",IF(COUNTIF($A$2:$A346,$A346)=1,1,0))</f>
        <v/>
      </c>
      <c r="Y346" s="39" t="str">
        <f>IF($X346=1,COUNTIF($X$2:$X346,1),"")</f>
        <v/>
      </c>
      <c r="Z346" s="39">
        <f>IF(AND($E346="timed",$N346&gt;Settings!$C$8),1,0)</f>
        <v>0</v>
      </c>
      <c r="AA346" s="39">
        <f t="shared" si="94"/>
        <v>0</v>
      </c>
      <c r="AB346" s="39">
        <f t="shared" si="95"/>
        <v>0</v>
      </c>
      <c r="AC346" s="39" t="str">
        <f t="shared" si="96"/>
        <v/>
      </c>
      <c r="AD346" s="39" t="str">
        <f t="shared" si="97"/>
        <v/>
      </c>
      <c r="AE346" s="39" t="str">
        <f t="shared" si="98"/>
        <v/>
      </c>
      <c r="AF346" s="106" t="str">
        <f t="shared" si="99"/>
        <v/>
      </c>
      <c r="AG346" s="39">
        <f t="shared" si="100"/>
        <v>0</v>
      </c>
      <c r="AH346" s="39" t="str">
        <f t="shared" si="101"/>
        <v/>
      </c>
      <c r="AI346" s="39">
        <f>IF(AND($E346="timed",$N346&gt;=Settings!$C$9),1,0)</f>
        <v>0</v>
      </c>
      <c r="AJ346" s="39" t="str">
        <f>IF(OR($S346="",Settings!$C$16=""),"",IF($S346&lt;=Settings!$C$16,1,2))</f>
        <v/>
      </c>
      <c r="AK346" s="39" t="str">
        <f>IF($C346="","",IFERROR(IF(INDEX(Settings!$C$20:$C$59,MATCH($C346,Settings!$B$20:$B$59,0))="",Settings!$C$10,INDEX(Settings!$C$20:$C$59,MATCH($C346,Settings!$B$20:$B$59,0))),Settings!$C$10))</f>
        <v/>
      </c>
      <c r="AL346" s="108">
        <f t="shared" si="102"/>
        <v>0</v>
      </c>
      <c r="AM346" s="39" t="str">
        <f t="shared" si="103"/>
        <v/>
      </c>
      <c r="AN346" s="39" t="str">
        <f t="shared" si="104"/>
        <v/>
      </c>
      <c r="AO346" s="39" t="str">
        <f t="shared" si="105"/>
        <v/>
      </c>
      <c r="AP346" s="39">
        <f t="shared" si="106"/>
        <v>0</v>
      </c>
      <c r="AQ346" s="39">
        <f t="shared" si="107"/>
        <v>0</v>
      </c>
    </row>
    <row r="347" spans="14:43" x14ac:dyDescent="0.25">
      <c r="N347" s="105">
        <f t="shared" si="90"/>
        <v>0</v>
      </c>
      <c r="O347" s="106" t="str">
        <f>IF($F347="","",IF(ISNUMBER($F347),$F347+Settings!$C$7/24,IFERROR(DATEVALUE(LEFT($F347,10))+TIMEVALUE(MID($F347,12,8))+Settings!$C$7/24,"")))</f>
        <v/>
      </c>
      <c r="P347" s="106" t="str">
        <f>IF($G347="","",IF(ISNUMBER($G347),$G347+Settings!$C$7/24,IFERROR(DATEVALUE(LEFT($G347,10))+TIMEVALUE(MID($G347,12,8))+Settings!$C$7/24,"")))</f>
        <v/>
      </c>
      <c r="Q347" s="39" t="str">
        <f t="shared" si="91"/>
        <v/>
      </c>
      <c r="R347" s="39" t="str">
        <f t="shared" si="92"/>
        <v/>
      </c>
      <c r="S347" s="107" t="str">
        <f t="shared" si="93"/>
        <v/>
      </c>
      <c r="T347" s="39" t="str">
        <f>IF($C347="","",IF(COUNTIF($C$2:$C347,$C347)=1,1,0))</f>
        <v/>
      </c>
      <c r="U347" s="39" t="str">
        <f>IF($T347=1,COUNTIF($T$2:$T347,1),"")</f>
        <v/>
      </c>
      <c r="V347" s="39" t="str">
        <f>IF($B347="","",IF(COUNTIF($B$2:$B347,$B347)=1,1,0))</f>
        <v/>
      </c>
      <c r="W347" s="39" t="str">
        <f>IF($V347=1,COUNTIF($V$2:$V347,1),"")</f>
        <v/>
      </c>
      <c r="X347" s="39" t="str">
        <f>IF($A347="","",IF(COUNTIF($A$2:$A347,$A347)=1,1,0))</f>
        <v/>
      </c>
      <c r="Y347" s="39" t="str">
        <f>IF($X347=1,COUNTIF($X$2:$X347,1),"")</f>
        <v/>
      </c>
      <c r="Z347" s="39">
        <f>IF(AND($E347="timed",$N347&gt;Settings!$C$8),1,0)</f>
        <v>0</v>
      </c>
      <c r="AA347" s="39">
        <f t="shared" si="94"/>
        <v>0</v>
      </c>
      <c r="AB347" s="39">
        <f t="shared" si="95"/>
        <v>0</v>
      </c>
      <c r="AC347" s="39" t="str">
        <f t="shared" si="96"/>
        <v/>
      </c>
      <c r="AD347" s="39" t="str">
        <f t="shared" si="97"/>
        <v/>
      </c>
      <c r="AE347" s="39" t="str">
        <f t="shared" si="98"/>
        <v/>
      </c>
      <c r="AF347" s="106" t="str">
        <f t="shared" si="99"/>
        <v/>
      </c>
      <c r="AG347" s="39">
        <f t="shared" si="100"/>
        <v>0</v>
      </c>
      <c r="AH347" s="39" t="str">
        <f t="shared" si="101"/>
        <v/>
      </c>
      <c r="AI347" s="39">
        <f>IF(AND($E347="timed",$N347&gt;=Settings!$C$9),1,0)</f>
        <v>0</v>
      </c>
      <c r="AJ347" s="39" t="str">
        <f>IF(OR($S347="",Settings!$C$16=""),"",IF($S347&lt;=Settings!$C$16,1,2))</f>
        <v/>
      </c>
      <c r="AK347" s="39" t="str">
        <f>IF($C347="","",IFERROR(IF(INDEX(Settings!$C$20:$C$59,MATCH($C347,Settings!$B$20:$B$59,0))="",Settings!$C$10,INDEX(Settings!$C$20:$C$59,MATCH($C347,Settings!$B$20:$B$59,0))),Settings!$C$10))</f>
        <v/>
      </c>
      <c r="AL347" s="108">
        <f t="shared" si="102"/>
        <v>0</v>
      </c>
      <c r="AM347" s="39" t="str">
        <f t="shared" si="103"/>
        <v/>
      </c>
      <c r="AN347" s="39" t="str">
        <f t="shared" si="104"/>
        <v/>
      </c>
      <c r="AO347" s="39" t="str">
        <f t="shared" si="105"/>
        <v/>
      </c>
      <c r="AP347" s="39">
        <f t="shared" si="106"/>
        <v>0</v>
      </c>
      <c r="AQ347" s="39">
        <f t="shared" si="107"/>
        <v>0</v>
      </c>
    </row>
    <row r="348" spans="14:43" x14ac:dyDescent="0.25">
      <c r="N348" s="105">
        <f t="shared" si="90"/>
        <v>0</v>
      </c>
      <c r="O348" s="106" t="str">
        <f>IF($F348="","",IF(ISNUMBER($F348),$F348+Settings!$C$7/24,IFERROR(DATEVALUE(LEFT($F348,10))+TIMEVALUE(MID($F348,12,8))+Settings!$C$7/24,"")))</f>
        <v/>
      </c>
      <c r="P348" s="106" t="str">
        <f>IF($G348="","",IF(ISNUMBER($G348),$G348+Settings!$C$7/24,IFERROR(DATEVALUE(LEFT($G348,10))+TIMEVALUE(MID($G348,12,8))+Settings!$C$7/24,"")))</f>
        <v/>
      </c>
      <c r="Q348" s="39" t="str">
        <f t="shared" si="91"/>
        <v/>
      </c>
      <c r="R348" s="39" t="str">
        <f t="shared" si="92"/>
        <v/>
      </c>
      <c r="S348" s="107" t="str">
        <f t="shared" si="93"/>
        <v/>
      </c>
      <c r="T348" s="39" t="str">
        <f>IF($C348="","",IF(COUNTIF($C$2:$C348,$C348)=1,1,0))</f>
        <v/>
      </c>
      <c r="U348" s="39" t="str">
        <f>IF($T348=1,COUNTIF($T$2:$T348,1),"")</f>
        <v/>
      </c>
      <c r="V348" s="39" t="str">
        <f>IF($B348="","",IF(COUNTIF($B$2:$B348,$B348)=1,1,0))</f>
        <v/>
      </c>
      <c r="W348" s="39" t="str">
        <f>IF($V348=1,COUNTIF($V$2:$V348,1),"")</f>
        <v/>
      </c>
      <c r="X348" s="39" t="str">
        <f>IF($A348="","",IF(COUNTIF($A$2:$A348,$A348)=1,1,0))</f>
        <v/>
      </c>
      <c r="Y348" s="39" t="str">
        <f>IF($X348=1,COUNTIF($X$2:$X348,1),"")</f>
        <v/>
      </c>
      <c r="Z348" s="39">
        <f>IF(AND($E348="timed",$N348&gt;Settings!$C$8),1,0)</f>
        <v>0</v>
      </c>
      <c r="AA348" s="39">
        <f t="shared" si="94"/>
        <v>0</v>
      </c>
      <c r="AB348" s="39">
        <f t="shared" si="95"/>
        <v>0</v>
      </c>
      <c r="AC348" s="39" t="str">
        <f t="shared" si="96"/>
        <v/>
      </c>
      <c r="AD348" s="39" t="str">
        <f t="shared" si="97"/>
        <v/>
      </c>
      <c r="AE348" s="39" t="str">
        <f t="shared" si="98"/>
        <v/>
      </c>
      <c r="AF348" s="106" t="str">
        <f t="shared" si="99"/>
        <v/>
      </c>
      <c r="AG348" s="39">
        <f t="shared" si="100"/>
        <v>0</v>
      </c>
      <c r="AH348" s="39" t="str">
        <f t="shared" si="101"/>
        <v/>
      </c>
      <c r="AI348" s="39">
        <f>IF(AND($E348="timed",$N348&gt;=Settings!$C$9),1,0)</f>
        <v>0</v>
      </c>
      <c r="AJ348" s="39" t="str">
        <f>IF(OR($S348="",Settings!$C$16=""),"",IF($S348&lt;=Settings!$C$16,1,2))</f>
        <v/>
      </c>
      <c r="AK348" s="39" t="str">
        <f>IF($C348="","",IFERROR(IF(INDEX(Settings!$C$20:$C$59,MATCH($C348,Settings!$B$20:$B$59,0))="",Settings!$C$10,INDEX(Settings!$C$20:$C$59,MATCH($C348,Settings!$B$20:$B$59,0))),Settings!$C$10))</f>
        <v/>
      </c>
      <c r="AL348" s="108">
        <f t="shared" si="102"/>
        <v>0</v>
      </c>
      <c r="AM348" s="39" t="str">
        <f t="shared" si="103"/>
        <v/>
      </c>
      <c r="AN348" s="39" t="str">
        <f t="shared" si="104"/>
        <v/>
      </c>
      <c r="AO348" s="39" t="str">
        <f t="shared" si="105"/>
        <v/>
      </c>
      <c r="AP348" s="39">
        <f t="shared" si="106"/>
        <v>0</v>
      </c>
      <c r="AQ348" s="39">
        <f t="shared" si="107"/>
        <v>0</v>
      </c>
    </row>
    <row r="349" spans="14:43" x14ac:dyDescent="0.25">
      <c r="N349" s="105">
        <f t="shared" si="90"/>
        <v>0</v>
      </c>
      <c r="O349" s="106" t="str">
        <f>IF($F349="","",IF(ISNUMBER($F349),$F349+Settings!$C$7/24,IFERROR(DATEVALUE(LEFT($F349,10))+TIMEVALUE(MID($F349,12,8))+Settings!$C$7/24,"")))</f>
        <v/>
      </c>
      <c r="P349" s="106" t="str">
        <f>IF($G349="","",IF(ISNUMBER($G349),$G349+Settings!$C$7/24,IFERROR(DATEVALUE(LEFT($G349,10))+TIMEVALUE(MID($G349,12,8))+Settings!$C$7/24,"")))</f>
        <v/>
      </c>
      <c r="Q349" s="39" t="str">
        <f t="shared" si="91"/>
        <v/>
      </c>
      <c r="R349" s="39" t="str">
        <f t="shared" si="92"/>
        <v/>
      </c>
      <c r="S349" s="107" t="str">
        <f t="shared" si="93"/>
        <v/>
      </c>
      <c r="T349" s="39" t="str">
        <f>IF($C349="","",IF(COUNTIF($C$2:$C349,$C349)=1,1,0))</f>
        <v/>
      </c>
      <c r="U349" s="39" t="str">
        <f>IF($T349=1,COUNTIF($T$2:$T349,1),"")</f>
        <v/>
      </c>
      <c r="V349" s="39" t="str">
        <f>IF($B349="","",IF(COUNTIF($B$2:$B349,$B349)=1,1,0))</f>
        <v/>
      </c>
      <c r="W349" s="39" t="str">
        <f>IF($V349=1,COUNTIF($V$2:$V349,1),"")</f>
        <v/>
      </c>
      <c r="X349" s="39" t="str">
        <f>IF($A349="","",IF(COUNTIF($A$2:$A349,$A349)=1,1,0))</f>
        <v/>
      </c>
      <c r="Y349" s="39" t="str">
        <f>IF($X349=1,COUNTIF($X$2:$X349,1),"")</f>
        <v/>
      </c>
      <c r="Z349" s="39">
        <f>IF(AND($E349="timed",$N349&gt;Settings!$C$8),1,0)</f>
        <v>0</v>
      </c>
      <c r="AA349" s="39">
        <f t="shared" si="94"/>
        <v>0</v>
      </c>
      <c r="AB349" s="39">
        <f t="shared" si="95"/>
        <v>0</v>
      </c>
      <c r="AC349" s="39" t="str">
        <f t="shared" si="96"/>
        <v/>
      </c>
      <c r="AD349" s="39" t="str">
        <f t="shared" si="97"/>
        <v/>
      </c>
      <c r="AE349" s="39" t="str">
        <f t="shared" si="98"/>
        <v/>
      </c>
      <c r="AF349" s="106" t="str">
        <f t="shared" si="99"/>
        <v/>
      </c>
      <c r="AG349" s="39">
        <f t="shared" si="100"/>
        <v>0</v>
      </c>
      <c r="AH349" s="39" t="str">
        <f t="shared" si="101"/>
        <v/>
      </c>
      <c r="AI349" s="39">
        <f>IF(AND($E349="timed",$N349&gt;=Settings!$C$9),1,0)</f>
        <v>0</v>
      </c>
      <c r="AJ349" s="39" t="str">
        <f>IF(OR($S349="",Settings!$C$16=""),"",IF($S349&lt;=Settings!$C$16,1,2))</f>
        <v/>
      </c>
      <c r="AK349" s="39" t="str">
        <f>IF($C349="","",IFERROR(IF(INDEX(Settings!$C$20:$C$59,MATCH($C349,Settings!$B$20:$B$59,0))="",Settings!$C$10,INDEX(Settings!$C$20:$C$59,MATCH($C349,Settings!$B$20:$B$59,0))),Settings!$C$10))</f>
        <v/>
      </c>
      <c r="AL349" s="108">
        <f t="shared" si="102"/>
        <v>0</v>
      </c>
      <c r="AM349" s="39" t="str">
        <f t="shared" si="103"/>
        <v/>
      </c>
      <c r="AN349" s="39" t="str">
        <f t="shared" si="104"/>
        <v/>
      </c>
      <c r="AO349" s="39" t="str">
        <f t="shared" si="105"/>
        <v/>
      </c>
      <c r="AP349" s="39">
        <f t="shared" si="106"/>
        <v>0</v>
      </c>
      <c r="AQ349" s="39">
        <f t="shared" si="107"/>
        <v>0</v>
      </c>
    </row>
    <row r="350" spans="14:43" x14ac:dyDescent="0.25">
      <c r="N350" s="105">
        <f t="shared" si="90"/>
        <v>0</v>
      </c>
      <c r="O350" s="106" t="str">
        <f>IF($F350="","",IF(ISNUMBER($F350),$F350+Settings!$C$7/24,IFERROR(DATEVALUE(LEFT($F350,10))+TIMEVALUE(MID($F350,12,8))+Settings!$C$7/24,"")))</f>
        <v/>
      </c>
      <c r="P350" s="106" t="str">
        <f>IF($G350="","",IF(ISNUMBER($G350),$G350+Settings!$C$7/24,IFERROR(DATEVALUE(LEFT($G350,10))+TIMEVALUE(MID($G350,12,8))+Settings!$C$7/24,"")))</f>
        <v/>
      </c>
      <c r="Q350" s="39" t="str">
        <f t="shared" si="91"/>
        <v/>
      </c>
      <c r="R350" s="39" t="str">
        <f t="shared" si="92"/>
        <v/>
      </c>
      <c r="S350" s="107" t="str">
        <f t="shared" si="93"/>
        <v/>
      </c>
      <c r="T350" s="39" t="str">
        <f>IF($C350="","",IF(COUNTIF($C$2:$C350,$C350)=1,1,0))</f>
        <v/>
      </c>
      <c r="U350" s="39" t="str">
        <f>IF($T350=1,COUNTIF($T$2:$T350,1),"")</f>
        <v/>
      </c>
      <c r="V350" s="39" t="str">
        <f>IF($B350="","",IF(COUNTIF($B$2:$B350,$B350)=1,1,0))</f>
        <v/>
      </c>
      <c r="W350" s="39" t="str">
        <f>IF($V350=1,COUNTIF($V$2:$V350,1),"")</f>
        <v/>
      </c>
      <c r="X350" s="39" t="str">
        <f>IF($A350="","",IF(COUNTIF($A$2:$A350,$A350)=1,1,0))</f>
        <v/>
      </c>
      <c r="Y350" s="39" t="str">
        <f>IF($X350=1,COUNTIF($X$2:$X350,1),"")</f>
        <v/>
      </c>
      <c r="Z350" s="39">
        <f>IF(AND($E350="timed",$N350&gt;Settings!$C$8),1,0)</f>
        <v>0</v>
      </c>
      <c r="AA350" s="39">
        <f t="shared" si="94"/>
        <v>0</v>
      </c>
      <c r="AB350" s="39">
        <f t="shared" si="95"/>
        <v>0</v>
      </c>
      <c r="AC350" s="39" t="str">
        <f t="shared" si="96"/>
        <v/>
      </c>
      <c r="AD350" s="39" t="str">
        <f t="shared" si="97"/>
        <v/>
      </c>
      <c r="AE350" s="39" t="str">
        <f t="shared" si="98"/>
        <v/>
      </c>
      <c r="AF350" s="106" t="str">
        <f t="shared" si="99"/>
        <v/>
      </c>
      <c r="AG350" s="39">
        <f t="shared" si="100"/>
        <v>0</v>
      </c>
      <c r="AH350" s="39" t="str">
        <f t="shared" si="101"/>
        <v/>
      </c>
      <c r="AI350" s="39">
        <f>IF(AND($E350="timed",$N350&gt;=Settings!$C$9),1,0)</f>
        <v>0</v>
      </c>
      <c r="AJ350" s="39" t="str">
        <f>IF(OR($S350="",Settings!$C$16=""),"",IF($S350&lt;=Settings!$C$16,1,2))</f>
        <v/>
      </c>
      <c r="AK350" s="39" t="str">
        <f>IF($C350="","",IFERROR(IF(INDEX(Settings!$C$20:$C$59,MATCH($C350,Settings!$B$20:$B$59,0))="",Settings!$C$10,INDEX(Settings!$C$20:$C$59,MATCH($C350,Settings!$B$20:$B$59,0))),Settings!$C$10))</f>
        <v/>
      </c>
      <c r="AL350" s="108">
        <f t="shared" si="102"/>
        <v>0</v>
      </c>
      <c r="AM350" s="39" t="str">
        <f t="shared" si="103"/>
        <v/>
      </c>
      <c r="AN350" s="39" t="str">
        <f t="shared" si="104"/>
        <v/>
      </c>
      <c r="AO350" s="39" t="str">
        <f t="shared" si="105"/>
        <v/>
      </c>
      <c r="AP350" s="39">
        <f t="shared" si="106"/>
        <v>0</v>
      </c>
      <c r="AQ350" s="39">
        <f t="shared" si="107"/>
        <v>0</v>
      </c>
    </row>
    <row r="351" spans="14:43" x14ac:dyDescent="0.25">
      <c r="N351" s="105">
        <f t="shared" si="90"/>
        <v>0</v>
      </c>
      <c r="O351" s="106" t="str">
        <f>IF($F351="","",IF(ISNUMBER($F351),$F351+Settings!$C$7/24,IFERROR(DATEVALUE(LEFT($F351,10))+TIMEVALUE(MID($F351,12,8))+Settings!$C$7/24,"")))</f>
        <v/>
      </c>
      <c r="P351" s="106" t="str">
        <f>IF($G351="","",IF(ISNUMBER($G351),$G351+Settings!$C$7/24,IFERROR(DATEVALUE(LEFT($G351,10))+TIMEVALUE(MID($G351,12,8))+Settings!$C$7/24,"")))</f>
        <v/>
      </c>
      <c r="Q351" s="39" t="str">
        <f t="shared" si="91"/>
        <v/>
      </c>
      <c r="R351" s="39" t="str">
        <f t="shared" si="92"/>
        <v/>
      </c>
      <c r="S351" s="107" t="str">
        <f t="shared" si="93"/>
        <v/>
      </c>
      <c r="T351" s="39" t="str">
        <f>IF($C351="","",IF(COUNTIF($C$2:$C351,$C351)=1,1,0))</f>
        <v/>
      </c>
      <c r="U351" s="39" t="str">
        <f>IF($T351=1,COUNTIF($T$2:$T351,1),"")</f>
        <v/>
      </c>
      <c r="V351" s="39" t="str">
        <f>IF($B351="","",IF(COUNTIF($B$2:$B351,$B351)=1,1,0))</f>
        <v/>
      </c>
      <c r="W351" s="39" t="str">
        <f>IF($V351=1,COUNTIF($V$2:$V351,1),"")</f>
        <v/>
      </c>
      <c r="X351" s="39" t="str">
        <f>IF($A351="","",IF(COUNTIF($A$2:$A351,$A351)=1,1,0))</f>
        <v/>
      </c>
      <c r="Y351" s="39" t="str">
        <f>IF($X351=1,COUNTIF($X$2:$X351,1),"")</f>
        <v/>
      </c>
      <c r="Z351" s="39">
        <f>IF(AND($E351="timed",$N351&gt;Settings!$C$8),1,0)</f>
        <v>0</v>
      </c>
      <c r="AA351" s="39">
        <f t="shared" si="94"/>
        <v>0</v>
      </c>
      <c r="AB351" s="39">
        <f t="shared" si="95"/>
        <v>0</v>
      </c>
      <c r="AC351" s="39" t="str">
        <f t="shared" si="96"/>
        <v/>
      </c>
      <c r="AD351" s="39" t="str">
        <f t="shared" si="97"/>
        <v/>
      </c>
      <c r="AE351" s="39" t="str">
        <f t="shared" si="98"/>
        <v/>
      </c>
      <c r="AF351" s="106" t="str">
        <f t="shared" si="99"/>
        <v/>
      </c>
      <c r="AG351" s="39">
        <f t="shared" si="100"/>
        <v>0</v>
      </c>
      <c r="AH351" s="39" t="str">
        <f t="shared" si="101"/>
        <v/>
      </c>
      <c r="AI351" s="39">
        <f>IF(AND($E351="timed",$N351&gt;=Settings!$C$9),1,0)</f>
        <v>0</v>
      </c>
      <c r="AJ351" s="39" t="str">
        <f>IF(OR($S351="",Settings!$C$16=""),"",IF($S351&lt;=Settings!$C$16,1,2))</f>
        <v/>
      </c>
      <c r="AK351" s="39" t="str">
        <f>IF($C351="","",IFERROR(IF(INDEX(Settings!$C$20:$C$59,MATCH($C351,Settings!$B$20:$B$59,0))="",Settings!$C$10,INDEX(Settings!$C$20:$C$59,MATCH($C351,Settings!$B$20:$B$59,0))),Settings!$C$10))</f>
        <v/>
      </c>
      <c r="AL351" s="108">
        <f t="shared" si="102"/>
        <v>0</v>
      </c>
      <c r="AM351" s="39" t="str">
        <f t="shared" si="103"/>
        <v/>
      </c>
      <c r="AN351" s="39" t="str">
        <f t="shared" si="104"/>
        <v/>
      </c>
      <c r="AO351" s="39" t="str">
        <f t="shared" si="105"/>
        <v/>
      </c>
      <c r="AP351" s="39">
        <f t="shared" si="106"/>
        <v>0</v>
      </c>
      <c r="AQ351" s="39">
        <f t="shared" si="107"/>
        <v>0</v>
      </c>
    </row>
    <row r="352" spans="14:43" x14ac:dyDescent="0.25">
      <c r="N352" s="105">
        <f t="shared" si="90"/>
        <v>0</v>
      </c>
      <c r="O352" s="106" t="str">
        <f>IF($F352="","",IF(ISNUMBER($F352),$F352+Settings!$C$7/24,IFERROR(DATEVALUE(LEFT($F352,10))+TIMEVALUE(MID($F352,12,8))+Settings!$C$7/24,"")))</f>
        <v/>
      </c>
      <c r="P352" s="106" t="str">
        <f>IF($G352="","",IF(ISNUMBER($G352),$G352+Settings!$C$7/24,IFERROR(DATEVALUE(LEFT($G352,10))+TIMEVALUE(MID($G352,12,8))+Settings!$C$7/24,"")))</f>
        <v/>
      </c>
      <c r="Q352" s="39" t="str">
        <f t="shared" si="91"/>
        <v/>
      </c>
      <c r="R352" s="39" t="str">
        <f t="shared" si="92"/>
        <v/>
      </c>
      <c r="S352" s="107" t="str">
        <f t="shared" si="93"/>
        <v/>
      </c>
      <c r="T352" s="39" t="str">
        <f>IF($C352="","",IF(COUNTIF($C$2:$C352,$C352)=1,1,0))</f>
        <v/>
      </c>
      <c r="U352" s="39" t="str">
        <f>IF($T352=1,COUNTIF($T$2:$T352,1),"")</f>
        <v/>
      </c>
      <c r="V352" s="39" t="str">
        <f>IF($B352="","",IF(COUNTIF($B$2:$B352,$B352)=1,1,0))</f>
        <v/>
      </c>
      <c r="W352" s="39" t="str">
        <f>IF($V352=1,COUNTIF($V$2:$V352,1),"")</f>
        <v/>
      </c>
      <c r="X352" s="39" t="str">
        <f>IF($A352="","",IF(COUNTIF($A$2:$A352,$A352)=1,1,0))</f>
        <v/>
      </c>
      <c r="Y352" s="39" t="str">
        <f>IF($X352=1,COUNTIF($X$2:$X352,1),"")</f>
        <v/>
      </c>
      <c r="Z352" s="39">
        <f>IF(AND($E352="timed",$N352&gt;Settings!$C$8),1,0)</f>
        <v>0</v>
      </c>
      <c r="AA352" s="39">
        <f t="shared" si="94"/>
        <v>0</v>
      </c>
      <c r="AB352" s="39">
        <f t="shared" si="95"/>
        <v>0</v>
      </c>
      <c r="AC352" s="39" t="str">
        <f t="shared" si="96"/>
        <v/>
      </c>
      <c r="AD352" s="39" t="str">
        <f t="shared" si="97"/>
        <v/>
      </c>
      <c r="AE352" s="39" t="str">
        <f t="shared" si="98"/>
        <v/>
      </c>
      <c r="AF352" s="106" t="str">
        <f t="shared" si="99"/>
        <v/>
      </c>
      <c r="AG352" s="39">
        <f t="shared" si="100"/>
        <v>0</v>
      </c>
      <c r="AH352" s="39" t="str">
        <f t="shared" si="101"/>
        <v/>
      </c>
      <c r="AI352" s="39">
        <f>IF(AND($E352="timed",$N352&gt;=Settings!$C$9),1,0)</f>
        <v>0</v>
      </c>
      <c r="AJ352" s="39" t="str">
        <f>IF(OR($S352="",Settings!$C$16=""),"",IF($S352&lt;=Settings!$C$16,1,2))</f>
        <v/>
      </c>
      <c r="AK352" s="39" t="str">
        <f>IF($C352="","",IFERROR(IF(INDEX(Settings!$C$20:$C$59,MATCH($C352,Settings!$B$20:$B$59,0))="",Settings!$C$10,INDEX(Settings!$C$20:$C$59,MATCH($C352,Settings!$B$20:$B$59,0))),Settings!$C$10))</f>
        <v/>
      </c>
      <c r="AL352" s="108">
        <f t="shared" si="102"/>
        <v>0</v>
      </c>
      <c r="AM352" s="39" t="str">
        <f t="shared" si="103"/>
        <v/>
      </c>
      <c r="AN352" s="39" t="str">
        <f t="shared" si="104"/>
        <v/>
      </c>
      <c r="AO352" s="39" t="str">
        <f t="shared" si="105"/>
        <v/>
      </c>
      <c r="AP352" s="39">
        <f t="shared" si="106"/>
        <v>0</v>
      </c>
      <c r="AQ352" s="39">
        <f t="shared" si="107"/>
        <v>0</v>
      </c>
    </row>
    <row r="353" spans="14:43" x14ac:dyDescent="0.25">
      <c r="N353" s="105">
        <f t="shared" si="90"/>
        <v>0</v>
      </c>
      <c r="O353" s="106" t="str">
        <f>IF($F353="","",IF(ISNUMBER($F353),$F353+Settings!$C$7/24,IFERROR(DATEVALUE(LEFT($F353,10))+TIMEVALUE(MID($F353,12,8))+Settings!$C$7/24,"")))</f>
        <v/>
      </c>
      <c r="P353" s="106" t="str">
        <f>IF($G353="","",IF(ISNUMBER($G353),$G353+Settings!$C$7/24,IFERROR(DATEVALUE(LEFT($G353,10))+TIMEVALUE(MID($G353,12,8))+Settings!$C$7/24,"")))</f>
        <v/>
      </c>
      <c r="Q353" s="39" t="str">
        <f t="shared" si="91"/>
        <v/>
      </c>
      <c r="R353" s="39" t="str">
        <f t="shared" si="92"/>
        <v/>
      </c>
      <c r="S353" s="107" t="str">
        <f t="shared" si="93"/>
        <v/>
      </c>
      <c r="T353" s="39" t="str">
        <f>IF($C353="","",IF(COUNTIF($C$2:$C353,$C353)=1,1,0))</f>
        <v/>
      </c>
      <c r="U353" s="39" t="str">
        <f>IF($T353=1,COUNTIF($T$2:$T353,1),"")</f>
        <v/>
      </c>
      <c r="V353" s="39" t="str">
        <f>IF($B353="","",IF(COUNTIF($B$2:$B353,$B353)=1,1,0))</f>
        <v/>
      </c>
      <c r="W353" s="39" t="str">
        <f>IF($V353=1,COUNTIF($V$2:$V353,1),"")</f>
        <v/>
      </c>
      <c r="X353" s="39" t="str">
        <f>IF($A353="","",IF(COUNTIF($A$2:$A353,$A353)=1,1,0))</f>
        <v/>
      </c>
      <c r="Y353" s="39" t="str">
        <f>IF($X353=1,COUNTIF($X$2:$X353,1),"")</f>
        <v/>
      </c>
      <c r="Z353" s="39">
        <f>IF(AND($E353="timed",$N353&gt;Settings!$C$8),1,0)</f>
        <v>0</v>
      </c>
      <c r="AA353" s="39">
        <f t="shared" si="94"/>
        <v>0</v>
      </c>
      <c r="AB353" s="39">
        <f t="shared" si="95"/>
        <v>0</v>
      </c>
      <c r="AC353" s="39" t="str">
        <f t="shared" si="96"/>
        <v/>
      </c>
      <c r="AD353" s="39" t="str">
        <f t="shared" si="97"/>
        <v/>
      </c>
      <c r="AE353" s="39" t="str">
        <f t="shared" si="98"/>
        <v/>
      </c>
      <c r="AF353" s="106" t="str">
        <f t="shared" si="99"/>
        <v/>
      </c>
      <c r="AG353" s="39">
        <f t="shared" si="100"/>
        <v>0</v>
      </c>
      <c r="AH353" s="39" t="str">
        <f t="shared" si="101"/>
        <v/>
      </c>
      <c r="AI353" s="39">
        <f>IF(AND($E353="timed",$N353&gt;=Settings!$C$9),1,0)</f>
        <v>0</v>
      </c>
      <c r="AJ353" s="39" t="str">
        <f>IF(OR($S353="",Settings!$C$16=""),"",IF($S353&lt;=Settings!$C$16,1,2))</f>
        <v/>
      </c>
      <c r="AK353" s="39" t="str">
        <f>IF($C353="","",IFERROR(IF(INDEX(Settings!$C$20:$C$59,MATCH($C353,Settings!$B$20:$B$59,0))="",Settings!$C$10,INDEX(Settings!$C$20:$C$59,MATCH($C353,Settings!$B$20:$B$59,0))),Settings!$C$10))</f>
        <v/>
      </c>
      <c r="AL353" s="108">
        <f t="shared" si="102"/>
        <v>0</v>
      </c>
      <c r="AM353" s="39" t="str">
        <f t="shared" si="103"/>
        <v/>
      </c>
      <c r="AN353" s="39" t="str">
        <f t="shared" si="104"/>
        <v/>
      </c>
      <c r="AO353" s="39" t="str">
        <f t="shared" si="105"/>
        <v/>
      </c>
      <c r="AP353" s="39">
        <f t="shared" si="106"/>
        <v>0</v>
      </c>
      <c r="AQ353" s="39">
        <f t="shared" si="107"/>
        <v>0</v>
      </c>
    </row>
    <row r="354" spans="14:43" x14ac:dyDescent="0.25">
      <c r="N354" s="105">
        <f t="shared" si="90"/>
        <v>0</v>
      </c>
      <c r="O354" s="106" t="str">
        <f>IF($F354="","",IF(ISNUMBER($F354),$F354+Settings!$C$7/24,IFERROR(DATEVALUE(LEFT($F354,10))+TIMEVALUE(MID($F354,12,8))+Settings!$C$7/24,"")))</f>
        <v/>
      </c>
      <c r="P354" s="106" t="str">
        <f>IF($G354="","",IF(ISNUMBER($G354),$G354+Settings!$C$7/24,IFERROR(DATEVALUE(LEFT($G354,10))+TIMEVALUE(MID($G354,12,8))+Settings!$C$7/24,"")))</f>
        <v/>
      </c>
      <c r="Q354" s="39" t="str">
        <f t="shared" si="91"/>
        <v/>
      </c>
      <c r="R354" s="39" t="str">
        <f t="shared" si="92"/>
        <v/>
      </c>
      <c r="S354" s="107" t="str">
        <f t="shared" si="93"/>
        <v/>
      </c>
      <c r="T354" s="39" t="str">
        <f>IF($C354="","",IF(COUNTIF($C$2:$C354,$C354)=1,1,0))</f>
        <v/>
      </c>
      <c r="U354" s="39" t="str">
        <f>IF($T354=1,COUNTIF($T$2:$T354,1),"")</f>
        <v/>
      </c>
      <c r="V354" s="39" t="str">
        <f>IF($B354="","",IF(COUNTIF($B$2:$B354,$B354)=1,1,0))</f>
        <v/>
      </c>
      <c r="W354" s="39" t="str">
        <f>IF($V354=1,COUNTIF($V$2:$V354,1),"")</f>
        <v/>
      </c>
      <c r="X354" s="39" t="str">
        <f>IF($A354="","",IF(COUNTIF($A$2:$A354,$A354)=1,1,0))</f>
        <v/>
      </c>
      <c r="Y354" s="39" t="str">
        <f>IF($X354=1,COUNTIF($X$2:$X354,1),"")</f>
        <v/>
      </c>
      <c r="Z354" s="39">
        <f>IF(AND($E354="timed",$N354&gt;Settings!$C$8),1,0)</f>
        <v>0</v>
      </c>
      <c r="AA354" s="39">
        <f t="shared" si="94"/>
        <v>0</v>
      </c>
      <c r="AB354" s="39">
        <f t="shared" si="95"/>
        <v>0</v>
      </c>
      <c r="AC354" s="39" t="str">
        <f t="shared" si="96"/>
        <v/>
      </c>
      <c r="AD354" s="39" t="str">
        <f t="shared" si="97"/>
        <v/>
      </c>
      <c r="AE354" s="39" t="str">
        <f t="shared" si="98"/>
        <v/>
      </c>
      <c r="AF354" s="106" t="str">
        <f t="shared" si="99"/>
        <v/>
      </c>
      <c r="AG354" s="39">
        <f t="shared" si="100"/>
        <v>0</v>
      </c>
      <c r="AH354" s="39" t="str">
        <f t="shared" si="101"/>
        <v/>
      </c>
      <c r="AI354" s="39">
        <f>IF(AND($E354="timed",$N354&gt;=Settings!$C$9),1,0)</f>
        <v>0</v>
      </c>
      <c r="AJ354" s="39" t="str">
        <f>IF(OR($S354="",Settings!$C$16=""),"",IF($S354&lt;=Settings!$C$16,1,2))</f>
        <v/>
      </c>
      <c r="AK354" s="39" t="str">
        <f>IF($C354="","",IFERROR(IF(INDEX(Settings!$C$20:$C$59,MATCH($C354,Settings!$B$20:$B$59,0))="",Settings!$C$10,INDEX(Settings!$C$20:$C$59,MATCH($C354,Settings!$B$20:$B$59,0))),Settings!$C$10))</f>
        <v/>
      </c>
      <c r="AL354" s="108">
        <f t="shared" si="102"/>
        <v>0</v>
      </c>
      <c r="AM354" s="39" t="str">
        <f t="shared" si="103"/>
        <v/>
      </c>
      <c r="AN354" s="39" t="str">
        <f t="shared" si="104"/>
        <v/>
      </c>
      <c r="AO354" s="39" t="str">
        <f t="shared" si="105"/>
        <v/>
      </c>
      <c r="AP354" s="39">
        <f t="shared" si="106"/>
        <v>0</v>
      </c>
      <c r="AQ354" s="39">
        <f t="shared" si="107"/>
        <v>0</v>
      </c>
    </row>
    <row r="355" spans="14:43" x14ac:dyDescent="0.25">
      <c r="N355" s="105">
        <f t="shared" si="90"/>
        <v>0</v>
      </c>
      <c r="O355" s="106" t="str">
        <f>IF($F355="","",IF(ISNUMBER($F355),$F355+Settings!$C$7/24,IFERROR(DATEVALUE(LEFT($F355,10))+TIMEVALUE(MID($F355,12,8))+Settings!$C$7/24,"")))</f>
        <v/>
      </c>
      <c r="P355" s="106" t="str">
        <f>IF($G355="","",IF(ISNUMBER($G355),$G355+Settings!$C$7/24,IFERROR(DATEVALUE(LEFT($G355,10))+TIMEVALUE(MID($G355,12,8))+Settings!$C$7/24,"")))</f>
        <v/>
      </c>
      <c r="Q355" s="39" t="str">
        <f t="shared" si="91"/>
        <v/>
      </c>
      <c r="R355" s="39" t="str">
        <f t="shared" si="92"/>
        <v/>
      </c>
      <c r="S355" s="107" t="str">
        <f t="shared" si="93"/>
        <v/>
      </c>
      <c r="T355" s="39" t="str">
        <f>IF($C355="","",IF(COUNTIF($C$2:$C355,$C355)=1,1,0))</f>
        <v/>
      </c>
      <c r="U355" s="39" t="str">
        <f>IF($T355=1,COUNTIF($T$2:$T355,1),"")</f>
        <v/>
      </c>
      <c r="V355" s="39" t="str">
        <f>IF($B355="","",IF(COUNTIF($B$2:$B355,$B355)=1,1,0))</f>
        <v/>
      </c>
      <c r="W355" s="39" t="str">
        <f>IF($V355=1,COUNTIF($V$2:$V355,1),"")</f>
        <v/>
      </c>
      <c r="X355" s="39" t="str">
        <f>IF($A355="","",IF(COUNTIF($A$2:$A355,$A355)=1,1,0))</f>
        <v/>
      </c>
      <c r="Y355" s="39" t="str">
        <f>IF($X355=1,COUNTIF($X$2:$X355,1),"")</f>
        <v/>
      </c>
      <c r="Z355" s="39">
        <f>IF(AND($E355="timed",$N355&gt;Settings!$C$8),1,0)</f>
        <v>0</v>
      </c>
      <c r="AA355" s="39">
        <f t="shared" si="94"/>
        <v>0</v>
      </c>
      <c r="AB355" s="39">
        <f t="shared" si="95"/>
        <v>0</v>
      </c>
      <c r="AC355" s="39" t="str">
        <f t="shared" si="96"/>
        <v/>
      </c>
      <c r="AD355" s="39" t="str">
        <f t="shared" si="97"/>
        <v/>
      </c>
      <c r="AE355" s="39" t="str">
        <f t="shared" si="98"/>
        <v/>
      </c>
      <c r="AF355" s="106" t="str">
        <f t="shared" si="99"/>
        <v/>
      </c>
      <c r="AG355" s="39">
        <f t="shared" si="100"/>
        <v>0</v>
      </c>
      <c r="AH355" s="39" t="str">
        <f t="shared" si="101"/>
        <v/>
      </c>
      <c r="AI355" s="39">
        <f>IF(AND($E355="timed",$N355&gt;=Settings!$C$9),1,0)</f>
        <v>0</v>
      </c>
      <c r="AJ355" s="39" t="str">
        <f>IF(OR($S355="",Settings!$C$16=""),"",IF($S355&lt;=Settings!$C$16,1,2))</f>
        <v/>
      </c>
      <c r="AK355" s="39" t="str">
        <f>IF($C355="","",IFERROR(IF(INDEX(Settings!$C$20:$C$59,MATCH($C355,Settings!$B$20:$B$59,0))="",Settings!$C$10,INDEX(Settings!$C$20:$C$59,MATCH($C355,Settings!$B$20:$B$59,0))),Settings!$C$10))</f>
        <v/>
      </c>
      <c r="AL355" s="108">
        <f t="shared" si="102"/>
        <v>0</v>
      </c>
      <c r="AM355" s="39" t="str">
        <f t="shared" si="103"/>
        <v/>
      </c>
      <c r="AN355" s="39" t="str">
        <f t="shared" si="104"/>
        <v/>
      </c>
      <c r="AO355" s="39" t="str">
        <f t="shared" si="105"/>
        <v/>
      </c>
      <c r="AP355" s="39">
        <f t="shared" si="106"/>
        <v>0</v>
      </c>
      <c r="AQ355" s="39">
        <f t="shared" si="107"/>
        <v>0</v>
      </c>
    </row>
    <row r="356" spans="14:43" x14ac:dyDescent="0.25">
      <c r="N356" s="105">
        <f t="shared" si="90"/>
        <v>0</v>
      </c>
      <c r="O356" s="106" t="str">
        <f>IF($F356="","",IF(ISNUMBER($F356),$F356+Settings!$C$7/24,IFERROR(DATEVALUE(LEFT($F356,10))+TIMEVALUE(MID($F356,12,8))+Settings!$C$7/24,"")))</f>
        <v/>
      </c>
      <c r="P356" s="106" t="str">
        <f>IF($G356="","",IF(ISNUMBER($G356),$G356+Settings!$C$7/24,IFERROR(DATEVALUE(LEFT($G356,10))+TIMEVALUE(MID($G356,12,8))+Settings!$C$7/24,"")))</f>
        <v/>
      </c>
      <c r="Q356" s="39" t="str">
        <f t="shared" si="91"/>
        <v/>
      </c>
      <c r="R356" s="39" t="str">
        <f t="shared" si="92"/>
        <v/>
      </c>
      <c r="S356" s="107" t="str">
        <f t="shared" si="93"/>
        <v/>
      </c>
      <c r="T356" s="39" t="str">
        <f>IF($C356="","",IF(COUNTIF($C$2:$C356,$C356)=1,1,0))</f>
        <v/>
      </c>
      <c r="U356" s="39" t="str">
        <f>IF($T356=1,COUNTIF($T$2:$T356,1),"")</f>
        <v/>
      </c>
      <c r="V356" s="39" t="str">
        <f>IF($B356="","",IF(COUNTIF($B$2:$B356,$B356)=1,1,0))</f>
        <v/>
      </c>
      <c r="W356" s="39" t="str">
        <f>IF($V356=1,COUNTIF($V$2:$V356,1),"")</f>
        <v/>
      </c>
      <c r="X356" s="39" t="str">
        <f>IF($A356="","",IF(COUNTIF($A$2:$A356,$A356)=1,1,0))</f>
        <v/>
      </c>
      <c r="Y356" s="39" t="str">
        <f>IF($X356=1,COUNTIF($X$2:$X356,1),"")</f>
        <v/>
      </c>
      <c r="Z356" s="39">
        <f>IF(AND($E356="timed",$N356&gt;Settings!$C$8),1,0)</f>
        <v>0</v>
      </c>
      <c r="AA356" s="39">
        <f t="shared" si="94"/>
        <v>0</v>
      </c>
      <c r="AB356" s="39">
        <f t="shared" si="95"/>
        <v>0</v>
      </c>
      <c r="AC356" s="39" t="str">
        <f t="shared" si="96"/>
        <v/>
      </c>
      <c r="AD356" s="39" t="str">
        <f t="shared" si="97"/>
        <v/>
      </c>
      <c r="AE356" s="39" t="str">
        <f t="shared" si="98"/>
        <v/>
      </c>
      <c r="AF356" s="106" t="str">
        <f t="shared" si="99"/>
        <v/>
      </c>
      <c r="AG356" s="39">
        <f t="shared" si="100"/>
        <v>0</v>
      </c>
      <c r="AH356" s="39" t="str">
        <f t="shared" si="101"/>
        <v/>
      </c>
      <c r="AI356" s="39">
        <f>IF(AND($E356="timed",$N356&gt;=Settings!$C$9),1,0)</f>
        <v>0</v>
      </c>
      <c r="AJ356" s="39" t="str">
        <f>IF(OR($S356="",Settings!$C$16=""),"",IF($S356&lt;=Settings!$C$16,1,2))</f>
        <v/>
      </c>
      <c r="AK356" s="39" t="str">
        <f>IF($C356="","",IFERROR(IF(INDEX(Settings!$C$20:$C$59,MATCH($C356,Settings!$B$20:$B$59,0))="",Settings!$C$10,INDEX(Settings!$C$20:$C$59,MATCH($C356,Settings!$B$20:$B$59,0))),Settings!$C$10))</f>
        <v/>
      </c>
      <c r="AL356" s="108">
        <f t="shared" si="102"/>
        <v>0</v>
      </c>
      <c r="AM356" s="39" t="str">
        <f t="shared" si="103"/>
        <v/>
      </c>
      <c r="AN356" s="39" t="str">
        <f t="shared" si="104"/>
        <v/>
      </c>
      <c r="AO356" s="39" t="str">
        <f t="shared" si="105"/>
        <v/>
      </c>
      <c r="AP356" s="39">
        <f t="shared" si="106"/>
        <v>0</v>
      </c>
      <c r="AQ356" s="39">
        <f t="shared" si="107"/>
        <v>0</v>
      </c>
    </row>
    <row r="357" spans="14:43" x14ac:dyDescent="0.25">
      <c r="N357" s="105">
        <f t="shared" si="90"/>
        <v>0</v>
      </c>
      <c r="O357" s="106" t="str">
        <f>IF($F357="","",IF(ISNUMBER($F357),$F357+Settings!$C$7/24,IFERROR(DATEVALUE(LEFT($F357,10))+TIMEVALUE(MID($F357,12,8))+Settings!$C$7/24,"")))</f>
        <v/>
      </c>
      <c r="P357" s="106" t="str">
        <f>IF($G357="","",IF(ISNUMBER($G357),$G357+Settings!$C$7/24,IFERROR(DATEVALUE(LEFT($G357,10))+TIMEVALUE(MID($G357,12,8))+Settings!$C$7/24,"")))</f>
        <v/>
      </c>
      <c r="Q357" s="39" t="str">
        <f t="shared" si="91"/>
        <v/>
      </c>
      <c r="R357" s="39" t="str">
        <f t="shared" si="92"/>
        <v/>
      </c>
      <c r="S357" s="107" t="str">
        <f t="shared" si="93"/>
        <v/>
      </c>
      <c r="T357" s="39" t="str">
        <f>IF($C357="","",IF(COUNTIF($C$2:$C357,$C357)=1,1,0))</f>
        <v/>
      </c>
      <c r="U357" s="39" t="str">
        <f>IF($T357=1,COUNTIF($T$2:$T357,1),"")</f>
        <v/>
      </c>
      <c r="V357" s="39" t="str">
        <f>IF($B357="","",IF(COUNTIF($B$2:$B357,$B357)=1,1,0))</f>
        <v/>
      </c>
      <c r="W357" s="39" t="str">
        <f>IF($V357=1,COUNTIF($V$2:$V357,1),"")</f>
        <v/>
      </c>
      <c r="X357" s="39" t="str">
        <f>IF($A357="","",IF(COUNTIF($A$2:$A357,$A357)=1,1,0))</f>
        <v/>
      </c>
      <c r="Y357" s="39" t="str">
        <f>IF($X357=1,COUNTIF($X$2:$X357,1),"")</f>
        <v/>
      </c>
      <c r="Z357" s="39">
        <f>IF(AND($E357="timed",$N357&gt;Settings!$C$8),1,0)</f>
        <v>0</v>
      </c>
      <c r="AA357" s="39">
        <f t="shared" si="94"/>
        <v>0</v>
      </c>
      <c r="AB357" s="39">
        <f t="shared" si="95"/>
        <v>0</v>
      </c>
      <c r="AC357" s="39" t="str">
        <f t="shared" si="96"/>
        <v/>
      </c>
      <c r="AD357" s="39" t="str">
        <f t="shared" si="97"/>
        <v/>
      </c>
      <c r="AE357" s="39" t="str">
        <f t="shared" si="98"/>
        <v/>
      </c>
      <c r="AF357" s="106" t="str">
        <f t="shared" si="99"/>
        <v/>
      </c>
      <c r="AG357" s="39">
        <f t="shared" si="100"/>
        <v>0</v>
      </c>
      <c r="AH357" s="39" t="str">
        <f t="shared" si="101"/>
        <v/>
      </c>
      <c r="AI357" s="39">
        <f>IF(AND($E357="timed",$N357&gt;=Settings!$C$9),1,0)</f>
        <v>0</v>
      </c>
      <c r="AJ357" s="39" t="str">
        <f>IF(OR($S357="",Settings!$C$16=""),"",IF($S357&lt;=Settings!$C$16,1,2))</f>
        <v/>
      </c>
      <c r="AK357" s="39" t="str">
        <f>IF($C357="","",IFERROR(IF(INDEX(Settings!$C$20:$C$59,MATCH($C357,Settings!$B$20:$B$59,0))="",Settings!$C$10,INDEX(Settings!$C$20:$C$59,MATCH($C357,Settings!$B$20:$B$59,0))),Settings!$C$10))</f>
        <v/>
      </c>
      <c r="AL357" s="108">
        <f t="shared" si="102"/>
        <v>0</v>
      </c>
      <c r="AM357" s="39" t="str">
        <f t="shared" si="103"/>
        <v/>
      </c>
      <c r="AN357" s="39" t="str">
        <f t="shared" si="104"/>
        <v/>
      </c>
      <c r="AO357" s="39" t="str">
        <f t="shared" si="105"/>
        <v/>
      </c>
      <c r="AP357" s="39">
        <f t="shared" si="106"/>
        <v>0</v>
      </c>
      <c r="AQ357" s="39">
        <f t="shared" si="107"/>
        <v>0</v>
      </c>
    </row>
    <row r="358" spans="14:43" x14ac:dyDescent="0.25">
      <c r="N358" s="105">
        <f t="shared" si="90"/>
        <v>0</v>
      </c>
      <c r="O358" s="106" t="str">
        <f>IF($F358="","",IF(ISNUMBER($F358),$F358+Settings!$C$7/24,IFERROR(DATEVALUE(LEFT($F358,10))+TIMEVALUE(MID($F358,12,8))+Settings!$C$7/24,"")))</f>
        <v/>
      </c>
      <c r="P358" s="106" t="str">
        <f>IF($G358="","",IF(ISNUMBER($G358),$G358+Settings!$C$7/24,IFERROR(DATEVALUE(LEFT($G358,10))+TIMEVALUE(MID($G358,12,8))+Settings!$C$7/24,"")))</f>
        <v/>
      </c>
      <c r="Q358" s="39" t="str">
        <f t="shared" si="91"/>
        <v/>
      </c>
      <c r="R358" s="39" t="str">
        <f t="shared" si="92"/>
        <v/>
      </c>
      <c r="S358" s="107" t="str">
        <f t="shared" si="93"/>
        <v/>
      </c>
      <c r="T358" s="39" t="str">
        <f>IF($C358="","",IF(COUNTIF($C$2:$C358,$C358)=1,1,0))</f>
        <v/>
      </c>
      <c r="U358" s="39" t="str">
        <f>IF($T358=1,COUNTIF($T$2:$T358,1),"")</f>
        <v/>
      </c>
      <c r="V358" s="39" t="str">
        <f>IF($B358="","",IF(COUNTIF($B$2:$B358,$B358)=1,1,0))</f>
        <v/>
      </c>
      <c r="W358" s="39" t="str">
        <f>IF($V358=1,COUNTIF($V$2:$V358,1),"")</f>
        <v/>
      </c>
      <c r="X358" s="39" t="str">
        <f>IF($A358="","",IF(COUNTIF($A$2:$A358,$A358)=1,1,0))</f>
        <v/>
      </c>
      <c r="Y358" s="39" t="str">
        <f>IF($X358=1,COUNTIF($X$2:$X358,1),"")</f>
        <v/>
      </c>
      <c r="Z358" s="39">
        <f>IF(AND($E358="timed",$N358&gt;Settings!$C$8),1,0)</f>
        <v>0</v>
      </c>
      <c r="AA358" s="39">
        <f t="shared" si="94"/>
        <v>0</v>
      </c>
      <c r="AB358" s="39">
        <f t="shared" si="95"/>
        <v>0</v>
      </c>
      <c r="AC358" s="39" t="str">
        <f t="shared" si="96"/>
        <v/>
      </c>
      <c r="AD358" s="39" t="str">
        <f t="shared" si="97"/>
        <v/>
      </c>
      <c r="AE358" s="39" t="str">
        <f t="shared" si="98"/>
        <v/>
      </c>
      <c r="AF358" s="106" t="str">
        <f t="shared" si="99"/>
        <v/>
      </c>
      <c r="AG358" s="39">
        <f t="shared" si="100"/>
        <v>0</v>
      </c>
      <c r="AH358" s="39" t="str">
        <f t="shared" si="101"/>
        <v/>
      </c>
      <c r="AI358" s="39">
        <f>IF(AND($E358="timed",$N358&gt;=Settings!$C$9),1,0)</f>
        <v>0</v>
      </c>
      <c r="AJ358" s="39" t="str">
        <f>IF(OR($S358="",Settings!$C$16=""),"",IF($S358&lt;=Settings!$C$16,1,2))</f>
        <v/>
      </c>
      <c r="AK358" s="39" t="str">
        <f>IF($C358="","",IFERROR(IF(INDEX(Settings!$C$20:$C$59,MATCH($C358,Settings!$B$20:$B$59,0))="",Settings!$C$10,INDEX(Settings!$C$20:$C$59,MATCH($C358,Settings!$B$20:$B$59,0))),Settings!$C$10))</f>
        <v/>
      </c>
      <c r="AL358" s="108">
        <f t="shared" si="102"/>
        <v>0</v>
      </c>
      <c r="AM358" s="39" t="str">
        <f t="shared" si="103"/>
        <v/>
      </c>
      <c r="AN358" s="39" t="str">
        <f t="shared" si="104"/>
        <v/>
      </c>
      <c r="AO358" s="39" t="str">
        <f t="shared" si="105"/>
        <v/>
      </c>
      <c r="AP358" s="39">
        <f t="shared" si="106"/>
        <v>0</v>
      </c>
      <c r="AQ358" s="39">
        <f t="shared" si="107"/>
        <v>0</v>
      </c>
    </row>
    <row r="359" spans="14:43" x14ac:dyDescent="0.25">
      <c r="N359" s="105">
        <f t="shared" si="90"/>
        <v>0</v>
      </c>
      <c r="O359" s="106" t="str">
        <f>IF($F359="","",IF(ISNUMBER($F359),$F359+Settings!$C$7/24,IFERROR(DATEVALUE(LEFT($F359,10))+TIMEVALUE(MID($F359,12,8))+Settings!$C$7/24,"")))</f>
        <v/>
      </c>
      <c r="P359" s="106" t="str">
        <f>IF($G359="","",IF(ISNUMBER($G359),$G359+Settings!$C$7/24,IFERROR(DATEVALUE(LEFT($G359,10))+TIMEVALUE(MID($G359,12,8))+Settings!$C$7/24,"")))</f>
        <v/>
      </c>
      <c r="Q359" s="39" t="str">
        <f t="shared" si="91"/>
        <v/>
      </c>
      <c r="R359" s="39" t="str">
        <f t="shared" si="92"/>
        <v/>
      </c>
      <c r="S359" s="107" t="str">
        <f t="shared" si="93"/>
        <v/>
      </c>
      <c r="T359" s="39" t="str">
        <f>IF($C359="","",IF(COUNTIF($C$2:$C359,$C359)=1,1,0))</f>
        <v/>
      </c>
      <c r="U359" s="39" t="str">
        <f>IF($T359=1,COUNTIF($T$2:$T359,1),"")</f>
        <v/>
      </c>
      <c r="V359" s="39" t="str">
        <f>IF($B359="","",IF(COUNTIF($B$2:$B359,$B359)=1,1,0))</f>
        <v/>
      </c>
      <c r="W359" s="39" t="str">
        <f>IF($V359=1,COUNTIF($V$2:$V359,1),"")</f>
        <v/>
      </c>
      <c r="X359" s="39" t="str">
        <f>IF($A359="","",IF(COUNTIF($A$2:$A359,$A359)=1,1,0))</f>
        <v/>
      </c>
      <c r="Y359" s="39" t="str">
        <f>IF($X359=1,COUNTIF($X$2:$X359,1),"")</f>
        <v/>
      </c>
      <c r="Z359" s="39">
        <f>IF(AND($E359="timed",$N359&gt;Settings!$C$8),1,0)</f>
        <v>0</v>
      </c>
      <c r="AA359" s="39">
        <f t="shared" si="94"/>
        <v>0</v>
      </c>
      <c r="AB359" s="39">
        <f t="shared" si="95"/>
        <v>0</v>
      </c>
      <c r="AC359" s="39" t="str">
        <f t="shared" si="96"/>
        <v/>
      </c>
      <c r="AD359" s="39" t="str">
        <f t="shared" si="97"/>
        <v/>
      </c>
      <c r="AE359" s="39" t="str">
        <f t="shared" si="98"/>
        <v/>
      </c>
      <c r="AF359" s="106" t="str">
        <f t="shared" si="99"/>
        <v/>
      </c>
      <c r="AG359" s="39">
        <f t="shared" si="100"/>
        <v>0</v>
      </c>
      <c r="AH359" s="39" t="str">
        <f t="shared" si="101"/>
        <v/>
      </c>
      <c r="AI359" s="39">
        <f>IF(AND($E359="timed",$N359&gt;=Settings!$C$9),1,0)</f>
        <v>0</v>
      </c>
      <c r="AJ359" s="39" t="str">
        <f>IF(OR($S359="",Settings!$C$16=""),"",IF($S359&lt;=Settings!$C$16,1,2))</f>
        <v/>
      </c>
      <c r="AK359" s="39" t="str">
        <f>IF($C359="","",IFERROR(IF(INDEX(Settings!$C$20:$C$59,MATCH($C359,Settings!$B$20:$B$59,0))="",Settings!$C$10,INDEX(Settings!$C$20:$C$59,MATCH($C359,Settings!$B$20:$B$59,0))),Settings!$C$10))</f>
        <v/>
      </c>
      <c r="AL359" s="108">
        <f t="shared" si="102"/>
        <v>0</v>
      </c>
      <c r="AM359" s="39" t="str">
        <f t="shared" si="103"/>
        <v/>
      </c>
      <c r="AN359" s="39" t="str">
        <f t="shared" si="104"/>
        <v/>
      </c>
      <c r="AO359" s="39" t="str">
        <f t="shared" si="105"/>
        <v/>
      </c>
      <c r="AP359" s="39">
        <f t="shared" si="106"/>
        <v>0</v>
      </c>
      <c r="AQ359" s="39">
        <f t="shared" si="107"/>
        <v>0</v>
      </c>
    </row>
    <row r="360" spans="14:43" x14ac:dyDescent="0.25">
      <c r="N360" s="105">
        <f t="shared" si="90"/>
        <v>0</v>
      </c>
      <c r="O360" s="106" t="str">
        <f>IF($F360="","",IF(ISNUMBER($F360),$F360+Settings!$C$7/24,IFERROR(DATEVALUE(LEFT($F360,10))+TIMEVALUE(MID($F360,12,8))+Settings!$C$7/24,"")))</f>
        <v/>
      </c>
      <c r="P360" s="106" t="str">
        <f>IF($G360="","",IF(ISNUMBER($G360),$G360+Settings!$C$7/24,IFERROR(DATEVALUE(LEFT($G360,10))+TIMEVALUE(MID($G360,12,8))+Settings!$C$7/24,"")))</f>
        <v/>
      </c>
      <c r="Q360" s="39" t="str">
        <f t="shared" si="91"/>
        <v/>
      </c>
      <c r="R360" s="39" t="str">
        <f t="shared" si="92"/>
        <v/>
      </c>
      <c r="S360" s="107" t="str">
        <f t="shared" si="93"/>
        <v/>
      </c>
      <c r="T360" s="39" t="str">
        <f>IF($C360="","",IF(COUNTIF($C$2:$C360,$C360)=1,1,0))</f>
        <v/>
      </c>
      <c r="U360" s="39" t="str">
        <f>IF($T360=1,COUNTIF($T$2:$T360,1),"")</f>
        <v/>
      </c>
      <c r="V360" s="39" t="str">
        <f>IF($B360="","",IF(COUNTIF($B$2:$B360,$B360)=1,1,0))</f>
        <v/>
      </c>
      <c r="W360" s="39" t="str">
        <f>IF($V360=1,COUNTIF($V$2:$V360,1),"")</f>
        <v/>
      </c>
      <c r="X360" s="39" t="str">
        <f>IF($A360="","",IF(COUNTIF($A$2:$A360,$A360)=1,1,0))</f>
        <v/>
      </c>
      <c r="Y360" s="39" t="str">
        <f>IF($X360=1,COUNTIF($X$2:$X360,1),"")</f>
        <v/>
      </c>
      <c r="Z360" s="39">
        <f>IF(AND($E360="timed",$N360&gt;Settings!$C$8),1,0)</f>
        <v>0</v>
      </c>
      <c r="AA360" s="39">
        <f t="shared" si="94"/>
        <v>0</v>
      </c>
      <c r="AB360" s="39">
        <f t="shared" si="95"/>
        <v>0</v>
      </c>
      <c r="AC360" s="39" t="str">
        <f t="shared" si="96"/>
        <v/>
      </c>
      <c r="AD360" s="39" t="str">
        <f t="shared" si="97"/>
        <v/>
      </c>
      <c r="AE360" s="39" t="str">
        <f t="shared" si="98"/>
        <v/>
      </c>
      <c r="AF360" s="106" t="str">
        <f t="shared" si="99"/>
        <v/>
      </c>
      <c r="AG360" s="39">
        <f t="shared" si="100"/>
        <v>0</v>
      </c>
      <c r="AH360" s="39" t="str">
        <f t="shared" si="101"/>
        <v/>
      </c>
      <c r="AI360" s="39">
        <f>IF(AND($E360="timed",$N360&gt;=Settings!$C$9),1,0)</f>
        <v>0</v>
      </c>
      <c r="AJ360" s="39" t="str">
        <f>IF(OR($S360="",Settings!$C$16=""),"",IF($S360&lt;=Settings!$C$16,1,2))</f>
        <v/>
      </c>
      <c r="AK360" s="39" t="str">
        <f>IF($C360="","",IFERROR(IF(INDEX(Settings!$C$20:$C$59,MATCH($C360,Settings!$B$20:$B$59,0))="",Settings!$C$10,INDEX(Settings!$C$20:$C$59,MATCH($C360,Settings!$B$20:$B$59,0))),Settings!$C$10))</f>
        <v/>
      </c>
      <c r="AL360" s="108">
        <f t="shared" si="102"/>
        <v>0</v>
      </c>
      <c r="AM360" s="39" t="str">
        <f t="shared" si="103"/>
        <v/>
      </c>
      <c r="AN360" s="39" t="str">
        <f t="shared" si="104"/>
        <v/>
      </c>
      <c r="AO360" s="39" t="str">
        <f t="shared" si="105"/>
        <v/>
      </c>
      <c r="AP360" s="39">
        <f t="shared" si="106"/>
        <v>0</v>
      </c>
      <c r="AQ360" s="39">
        <f t="shared" si="107"/>
        <v>0</v>
      </c>
    </row>
    <row r="361" spans="14:43" x14ac:dyDescent="0.25">
      <c r="N361" s="105">
        <f t="shared" si="90"/>
        <v>0</v>
      </c>
      <c r="O361" s="106" t="str">
        <f>IF($F361="","",IF(ISNUMBER($F361),$F361+Settings!$C$7/24,IFERROR(DATEVALUE(LEFT($F361,10))+TIMEVALUE(MID($F361,12,8))+Settings!$C$7/24,"")))</f>
        <v/>
      </c>
      <c r="P361" s="106" t="str">
        <f>IF($G361="","",IF(ISNUMBER($G361),$G361+Settings!$C$7/24,IFERROR(DATEVALUE(LEFT($G361,10))+TIMEVALUE(MID($G361,12,8))+Settings!$C$7/24,"")))</f>
        <v/>
      </c>
      <c r="Q361" s="39" t="str">
        <f t="shared" si="91"/>
        <v/>
      </c>
      <c r="R361" s="39" t="str">
        <f t="shared" si="92"/>
        <v/>
      </c>
      <c r="S361" s="107" t="str">
        <f t="shared" si="93"/>
        <v/>
      </c>
      <c r="T361" s="39" t="str">
        <f>IF($C361="","",IF(COUNTIF($C$2:$C361,$C361)=1,1,0))</f>
        <v/>
      </c>
      <c r="U361" s="39" t="str">
        <f>IF($T361=1,COUNTIF($T$2:$T361,1),"")</f>
        <v/>
      </c>
      <c r="V361" s="39" t="str">
        <f>IF($B361="","",IF(COUNTIF($B$2:$B361,$B361)=1,1,0))</f>
        <v/>
      </c>
      <c r="W361" s="39" t="str">
        <f>IF($V361=1,COUNTIF($V$2:$V361,1),"")</f>
        <v/>
      </c>
      <c r="X361" s="39" t="str">
        <f>IF($A361="","",IF(COUNTIF($A$2:$A361,$A361)=1,1,0))</f>
        <v/>
      </c>
      <c r="Y361" s="39" t="str">
        <f>IF($X361=1,COUNTIF($X$2:$X361,1),"")</f>
        <v/>
      </c>
      <c r="Z361" s="39">
        <f>IF(AND($E361="timed",$N361&gt;Settings!$C$8),1,0)</f>
        <v>0</v>
      </c>
      <c r="AA361" s="39">
        <f t="shared" si="94"/>
        <v>0</v>
      </c>
      <c r="AB361" s="39">
        <f t="shared" si="95"/>
        <v>0</v>
      </c>
      <c r="AC361" s="39" t="str">
        <f t="shared" si="96"/>
        <v/>
      </c>
      <c r="AD361" s="39" t="str">
        <f t="shared" si="97"/>
        <v/>
      </c>
      <c r="AE361" s="39" t="str">
        <f t="shared" si="98"/>
        <v/>
      </c>
      <c r="AF361" s="106" t="str">
        <f t="shared" si="99"/>
        <v/>
      </c>
      <c r="AG361" s="39">
        <f t="shared" si="100"/>
        <v>0</v>
      </c>
      <c r="AH361" s="39" t="str">
        <f t="shared" si="101"/>
        <v/>
      </c>
      <c r="AI361" s="39">
        <f>IF(AND($E361="timed",$N361&gt;=Settings!$C$9),1,0)</f>
        <v>0</v>
      </c>
      <c r="AJ361" s="39" t="str">
        <f>IF(OR($S361="",Settings!$C$16=""),"",IF($S361&lt;=Settings!$C$16,1,2))</f>
        <v/>
      </c>
      <c r="AK361" s="39" t="str">
        <f>IF($C361="","",IFERROR(IF(INDEX(Settings!$C$20:$C$59,MATCH($C361,Settings!$B$20:$B$59,0))="",Settings!$C$10,INDEX(Settings!$C$20:$C$59,MATCH($C361,Settings!$B$20:$B$59,0))),Settings!$C$10))</f>
        <v/>
      </c>
      <c r="AL361" s="108">
        <f t="shared" si="102"/>
        <v>0</v>
      </c>
      <c r="AM361" s="39" t="str">
        <f t="shared" si="103"/>
        <v/>
      </c>
      <c r="AN361" s="39" t="str">
        <f t="shared" si="104"/>
        <v/>
      </c>
      <c r="AO361" s="39" t="str">
        <f t="shared" si="105"/>
        <v/>
      </c>
      <c r="AP361" s="39">
        <f t="shared" si="106"/>
        <v>0</v>
      </c>
      <c r="AQ361" s="39">
        <f t="shared" si="107"/>
        <v>0</v>
      </c>
    </row>
    <row r="362" spans="14:43" x14ac:dyDescent="0.25">
      <c r="N362" s="105">
        <f t="shared" si="90"/>
        <v>0</v>
      </c>
      <c r="O362" s="106" t="str">
        <f>IF($F362="","",IF(ISNUMBER($F362),$F362+Settings!$C$7/24,IFERROR(DATEVALUE(LEFT($F362,10))+TIMEVALUE(MID($F362,12,8))+Settings!$C$7/24,"")))</f>
        <v/>
      </c>
      <c r="P362" s="106" t="str">
        <f>IF($G362="","",IF(ISNUMBER($G362),$G362+Settings!$C$7/24,IFERROR(DATEVALUE(LEFT($G362,10))+TIMEVALUE(MID($G362,12,8))+Settings!$C$7/24,"")))</f>
        <v/>
      </c>
      <c r="Q362" s="39" t="str">
        <f t="shared" si="91"/>
        <v/>
      </c>
      <c r="R362" s="39" t="str">
        <f t="shared" si="92"/>
        <v/>
      </c>
      <c r="S362" s="107" t="str">
        <f t="shared" si="93"/>
        <v/>
      </c>
      <c r="T362" s="39" t="str">
        <f>IF($C362="","",IF(COUNTIF($C$2:$C362,$C362)=1,1,0))</f>
        <v/>
      </c>
      <c r="U362" s="39" t="str">
        <f>IF($T362=1,COUNTIF($T$2:$T362,1),"")</f>
        <v/>
      </c>
      <c r="V362" s="39" t="str">
        <f>IF($B362="","",IF(COUNTIF($B$2:$B362,$B362)=1,1,0))</f>
        <v/>
      </c>
      <c r="W362" s="39" t="str">
        <f>IF($V362=1,COUNTIF($V$2:$V362,1),"")</f>
        <v/>
      </c>
      <c r="X362" s="39" t="str">
        <f>IF($A362="","",IF(COUNTIF($A$2:$A362,$A362)=1,1,0))</f>
        <v/>
      </c>
      <c r="Y362" s="39" t="str">
        <f>IF($X362=1,COUNTIF($X$2:$X362,1),"")</f>
        <v/>
      </c>
      <c r="Z362" s="39">
        <f>IF(AND($E362="timed",$N362&gt;Settings!$C$8),1,0)</f>
        <v>0</v>
      </c>
      <c r="AA362" s="39">
        <f t="shared" si="94"/>
        <v>0</v>
      </c>
      <c r="AB362" s="39">
        <f t="shared" si="95"/>
        <v>0</v>
      </c>
      <c r="AC362" s="39" t="str">
        <f t="shared" si="96"/>
        <v/>
      </c>
      <c r="AD362" s="39" t="str">
        <f t="shared" si="97"/>
        <v/>
      </c>
      <c r="AE362" s="39" t="str">
        <f t="shared" si="98"/>
        <v/>
      </c>
      <c r="AF362" s="106" t="str">
        <f t="shared" si="99"/>
        <v/>
      </c>
      <c r="AG362" s="39">
        <f t="shared" si="100"/>
        <v>0</v>
      </c>
      <c r="AH362" s="39" t="str">
        <f t="shared" si="101"/>
        <v/>
      </c>
      <c r="AI362" s="39">
        <f>IF(AND($E362="timed",$N362&gt;=Settings!$C$9),1,0)</f>
        <v>0</v>
      </c>
      <c r="AJ362" s="39" t="str">
        <f>IF(OR($S362="",Settings!$C$16=""),"",IF($S362&lt;=Settings!$C$16,1,2))</f>
        <v/>
      </c>
      <c r="AK362" s="39" t="str">
        <f>IF($C362="","",IFERROR(IF(INDEX(Settings!$C$20:$C$59,MATCH($C362,Settings!$B$20:$B$59,0))="",Settings!$C$10,INDEX(Settings!$C$20:$C$59,MATCH($C362,Settings!$B$20:$B$59,0))),Settings!$C$10))</f>
        <v/>
      </c>
      <c r="AL362" s="108">
        <f t="shared" si="102"/>
        <v>0</v>
      </c>
      <c r="AM362" s="39" t="str">
        <f t="shared" si="103"/>
        <v/>
      </c>
      <c r="AN362" s="39" t="str">
        <f t="shared" si="104"/>
        <v/>
      </c>
      <c r="AO362" s="39" t="str">
        <f t="shared" si="105"/>
        <v/>
      </c>
      <c r="AP362" s="39">
        <f t="shared" si="106"/>
        <v>0</v>
      </c>
      <c r="AQ362" s="39">
        <f t="shared" si="107"/>
        <v>0</v>
      </c>
    </row>
    <row r="363" spans="14:43" x14ac:dyDescent="0.25">
      <c r="N363" s="105">
        <f t="shared" si="90"/>
        <v>0</v>
      </c>
      <c r="O363" s="106" t="str">
        <f>IF($F363="","",IF(ISNUMBER($F363),$F363+Settings!$C$7/24,IFERROR(DATEVALUE(LEFT($F363,10))+TIMEVALUE(MID($F363,12,8))+Settings!$C$7/24,"")))</f>
        <v/>
      </c>
      <c r="P363" s="106" t="str">
        <f>IF($G363="","",IF(ISNUMBER($G363),$G363+Settings!$C$7/24,IFERROR(DATEVALUE(LEFT($G363,10))+TIMEVALUE(MID($G363,12,8))+Settings!$C$7/24,"")))</f>
        <v/>
      </c>
      <c r="Q363" s="39" t="str">
        <f t="shared" si="91"/>
        <v/>
      </c>
      <c r="R363" s="39" t="str">
        <f t="shared" si="92"/>
        <v/>
      </c>
      <c r="S363" s="107" t="str">
        <f t="shared" si="93"/>
        <v/>
      </c>
      <c r="T363" s="39" t="str">
        <f>IF($C363="","",IF(COUNTIF($C$2:$C363,$C363)=1,1,0))</f>
        <v/>
      </c>
      <c r="U363" s="39" t="str">
        <f>IF($T363=1,COUNTIF($T$2:$T363,1),"")</f>
        <v/>
      </c>
      <c r="V363" s="39" t="str">
        <f>IF($B363="","",IF(COUNTIF($B$2:$B363,$B363)=1,1,0))</f>
        <v/>
      </c>
      <c r="W363" s="39" t="str">
        <f>IF($V363=1,COUNTIF($V$2:$V363,1),"")</f>
        <v/>
      </c>
      <c r="X363" s="39" t="str">
        <f>IF($A363="","",IF(COUNTIF($A$2:$A363,$A363)=1,1,0))</f>
        <v/>
      </c>
      <c r="Y363" s="39" t="str">
        <f>IF($X363=1,COUNTIF($X$2:$X363,1),"")</f>
        <v/>
      </c>
      <c r="Z363" s="39">
        <f>IF(AND($E363="timed",$N363&gt;Settings!$C$8),1,0)</f>
        <v>0</v>
      </c>
      <c r="AA363" s="39">
        <f t="shared" si="94"/>
        <v>0</v>
      </c>
      <c r="AB363" s="39">
        <f t="shared" si="95"/>
        <v>0</v>
      </c>
      <c r="AC363" s="39" t="str">
        <f t="shared" si="96"/>
        <v/>
      </c>
      <c r="AD363" s="39" t="str">
        <f t="shared" si="97"/>
        <v/>
      </c>
      <c r="AE363" s="39" t="str">
        <f t="shared" si="98"/>
        <v/>
      </c>
      <c r="AF363" s="106" t="str">
        <f t="shared" si="99"/>
        <v/>
      </c>
      <c r="AG363" s="39">
        <f t="shared" si="100"/>
        <v>0</v>
      </c>
      <c r="AH363" s="39" t="str">
        <f t="shared" si="101"/>
        <v/>
      </c>
      <c r="AI363" s="39">
        <f>IF(AND($E363="timed",$N363&gt;=Settings!$C$9),1,0)</f>
        <v>0</v>
      </c>
      <c r="AJ363" s="39" t="str">
        <f>IF(OR($S363="",Settings!$C$16=""),"",IF($S363&lt;=Settings!$C$16,1,2))</f>
        <v/>
      </c>
      <c r="AK363" s="39" t="str">
        <f>IF($C363="","",IFERROR(IF(INDEX(Settings!$C$20:$C$59,MATCH($C363,Settings!$B$20:$B$59,0))="",Settings!$C$10,INDEX(Settings!$C$20:$C$59,MATCH($C363,Settings!$B$20:$B$59,0))),Settings!$C$10))</f>
        <v/>
      </c>
      <c r="AL363" s="108">
        <f t="shared" si="102"/>
        <v>0</v>
      </c>
      <c r="AM363" s="39" t="str">
        <f t="shared" si="103"/>
        <v/>
      </c>
      <c r="AN363" s="39" t="str">
        <f t="shared" si="104"/>
        <v/>
      </c>
      <c r="AO363" s="39" t="str">
        <f t="shared" si="105"/>
        <v/>
      </c>
      <c r="AP363" s="39">
        <f t="shared" si="106"/>
        <v>0</v>
      </c>
      <c r="AQ363" s="39">
        <f t="shared" si="107"/>
        <v>0</v>
      </c>
    </row>
    <row r="364" spans="14:43" x14ac:dyDescent="0.25">
      <c r="N364" s="105">
        <f t="shared" si="90"/>
        <v>0</v>
      </c>
      <c r="O364" s="106" t="str">
        <f>IF($F364="","",IF(ISNUMBER($F364),$F364+Settings!$C$7/24,IFERROR(DATEVALUE(LEFT($F364,10))+TIMEVALUE(MID($F364,12,8))+Settings!$C$7/24,"")))</f>
        <v/>
      </c>
      <c r="P364" s="106" t="str">
        <f>IF($G364="","",IF(ISNUMBER($G364),$G364+Settings!$C$7/24,IFERROR(DATEVALUE(LEFT($G364,10))+TIMEVALUE(MID($G364,12,8))+Settings!$C$7/24,"")))</f>
        <v/>
      </c>
      <c r="Q364" s="39" t="str">
        <f t="shared" si="91"/>
        <v/>
      </c>
      <c r="R364" s="39" t="str">
        <f t="shared" si="92"/>
        <v/>
      </c>
      <c r="S364" s="107" t="str">
        <f t="shared" si="93"/>
        <v/>
      </c>
      <c r="T364" s="39" t="str">
        <f>IF($C364="","",IF(COUNTIF($C$2:$C364,$C364)=1,1,0))</f>
        <v/>
      </c>
      <c r="U364" s="39" t="str">
        <f>IF($T364=1,COUNTIF($T$2:$T364,1),"")</f>
        <v/>
      </c>
      <c r="V364" s="39" t="str">
        <f>IF($B364="","",IF(COUNTIF($B$2:$B364,$B364)=1,1,0))</f>
        <v/>
      </c>
      <c r="W364" s="39" t="str">
        <f>IF($V364=1,COUNTIF($V$2:$V364,1),"")</f>
        <v/>
      </c>
      <c r="X364" s="39" t="str">
        <f>IF($A364="","",IF(COUNTIF($A$2:$A364,$A364)=1,1,0))</f>
        <v/>
      </c>
      <c r="Y364" s="39" t="str">
        <f>IF($X364=1,COUNTIF($X$2:$X364,1),"")</f>
        <v/>
      </c>
      <c r="Z364" s="39">
        <f>IF(AND($E364="timed",$N364&gt;Settings!$C$8),1,0)</f>
        <v>0</v>
      </c>
      <c r="AA364" s="39">
        <f t="shared" si="94"/>
        <v>0</v>
      </c>
      <c r="AB364" s="39">
        <f t="shared" si="95"/>
        <v>0</v>
      </c>
      <c r="AC364" s="39" t="str">
        <f t="shared" si="96"/>
        <v/>
      </c>
      <c r="AD364" s="39" t="str">
        <f t="shared" si="97"/>
        <v/>
      </c>
      <c r="AE364" s="39" t="str">
        <f t="shared" si="98"/>
        <v/>
      </c>
      <c r="AF364" s="106" t="str">
        <f t="shared" si="99"/>
        <v/>
      </c>
      <c r="AG364" s="39">
        <f t="shared" si="100"/>
        <v>0</v>
      </c>
      <c r="AH364" s="39" t="str">
        <f t="shared" si="101"/>
        <v/>
      </c>
      <c r="AI364" s="39">
        <f>IF(AND($E364="timed",$N364&gt;=Settings!$C$9),1,0)</f>
        <v>0</v>
      </c>
      <c r="AJ364" s="39" t="str">
        <f>IF(OR($S364="",Settings!$C$16=""),"",IF($S364&lt;=Settings!$C$16,1,2))</f>
        <v/>
      </c>
      <c r="AK364" s="39" t="str">
        <f>IF($C364="","",IFERROR(IF(INDEX(Settings!$C$20:$C$59,MATCH($C364,Settings!$B$20:$B$59,0))="",Settings!$C$10,INDEX(Settings!$C$20:$C$59,MATCH($C364,Settings!$B$20:$B$59,0))),Settings!$C$10))</f>
        <v/>
      </c>
      <c r="AL364" s="108">
        <f t="shared" si="102"/>
        <v>0</v>
      </c>
      <c r="AM364" s="39" t="str">
        <f t="shared" si="103"/>
        <v/>
      </c>
      <c r="AN364" s="39" t="str">
        <f t="shared" si="104"/>
        <v/>
      </c>
      <c r="AO364" s="39" t="str">
        <f t="shared" si="105"/>
        <v/>
      </c>
      <c r="AP364" s="39">
        <f t="shared" si="106"/>
        <v>0</v>
      </c>
      <c r="AQ364" s="39">
        <f t="shared" si="107"/>
        <v>0</v>
      </c>
    </row>
    <row r="365" spans="14:43" x14ac:dyDescent="0.25">
      <c r="N365" s="105">
        <f t="shared" si="90"/>
        <v>0</v>
      </c>
      <c r="O365" s="106" t="str">
        <f>IF($F365="","",IF(ISNUMBER($F365),$F365+Settings!$C$7/24,IFERROR(DATEVALUE(LEFT($F365,10))+TIMEVALUE(MID($F365,12,8))+Settings!$C$7/24,"")))</f>
        <v/>
      </c>
      <c r="P365" s="106" t="str">
        <f>IF($G365="","",IF(ISNUMBER($G365),$G365+Settings!$C$7/24,IFERROR(DATEVALUE(LEFT($G365,10))+TIMEVALUE(MID($G365,12,8))+Settings!$C$7/24,"")))</f>
        <v/>
      </c>
      <c r="Q365" s="39" t="str">
        <f t="shared" si="91"/>
        <v/>
      </c>
      <c r="R365" s="39" t="str">
        <f t="shared" si="92"/>
        <v/>
      </c>
      <c r="S365" s="107" t="str">
        <f t="shared" si="93"/>
        <v/>
      </c>
      <c r="T365" s="39" t="str">
        <f>IF($C365="","",IF(COUNTIF($C$2:$C365,$C365)=1,1,0))</f>
        <v/>
      </c>
      <c r="U365" s="39" t="str">
        <f>IF($T365=1,COUNTIF($T$2:$T365,1),"")</f>
        <v/>
      </c>
      <c r="V365" s="39" t="str">
        <f>IF($B365="","",IF(COUNTIF($B$2:$B365,$B365)=1,1,0))</f>
        <v/>
      </c>
      <c r="W365" s="39" t="str">
        <f>IF($V365=1,COUNTIF($V$2:$V365,1),"")</f>
        <v/>
      </c>
      <c r="X365" s="39" t="str">
        <f>IF($A365="","",IF(COUNTIF($A$2:$A365,$A365)=1,1,0))</f>
        <v/>
      </c>
      <c r="Y365" s="39" t="str">
        <f>IF($X365=1,COUNTIF($X$2:$X365,1),"")</f>
        <v/>
      </c>
      <c r="Z365" s="39">
        <f>IF(AND($E365="timed",$N365&gt;Settings!$C$8),1,0)</f>
        <v>0</v>
      </c>
      <c r="AA365" s="39">
        <f t="shared" si="94"/>
        <v>0</v>
      </c>
      <c r="AB365" s="39">
        <f t="shared" si="95"/>
        <v>0</v>
      </c>
      <c r="AC365" s="39" t="str">
        <f t="shared" si="96"/>
        <v/>
      </c>
      <c r="AD365" s="39" t="str">
        <f t="shared" si="97"/>
        <v/>
      </c>
      <c r="AE365" s="39" t="str">
        <f t="shared" si="98"/>
        <v/>
      </c>
      <c r="AF365" s="106" t="str">
        <f t="shared" si="99"/>
        <v/>
      </c>
      <c r="AG365" s="39">
        <f t="shared" si="100"/>
        <v>0</v>
      </c>
      <c r="AH365" s="39" t="str">
        <f t="shared" si="101"/>
        <v/>
      </c>
      <c r="AI365" s="39">
        <f>IF(AND($E365="timed",$N365&gt;=Settings!$C$9),1,0)</f>
        <v>0</v>
      </c>
      <c r="AJ365" s="39" t="str">
        <f>IF(OR($S365="",Settings!$C$16=""),"",IF($S365&lt;=Settings!$C$16,1,2))</f>
        <v/>
      </c>
      <c r="AK365" s="39" t="str">
        <f>IF($C365="","",IFERROR(IF(INDEX(Settings!$C$20:$C$59,MATCH($C365,Settings!$B$20:$B$59,0))="",Settings!$C$10,INDEX(Settings!$C$20:$C$59,MATCH($C365,Settings!$B$20:$B$59,0))),Settings!$C$10))</f>
        <v/>
      </c>
      <c r="AL365" s="108">
        <f t="shared" si="102"/>
        <v>0</v>
      </c>
      <c r="AM365" s="39" t="str">
        <f t="shared" si="103"/>
        <v/>
      </c>
      <c r="AN365" s="39" t="str">
        <f t="shared" si="104"/>
        <v/>
      </c>
      <c r="AO365" s="39" t="str">
        <f t="shared" si="105"/>
        <v/>
      </c>
      <c r="AP365" s="39">
        <f t="shared" si="106"/>
        <v>0</v>
      </c>
      <c r="AQ365" s="39">
        <f t="shared" si="107"/>
        <v>0</v>
      </c>
    </row>
    <row r="366" spans="14:43" x14ac:dyDescent="0.25">
      <c r="N366" s="105">
        <f t="shared" si="90"/>
        <v>0</v>
      </c>
      <c r="O366" s="106" t="str">
        <f>IF($F366="","",IF(ISNUMBER($F366),$F366+Settings!$C$7/24,IFERROR(DATEVALUE(LEFT($F366,10))+TIMEVALUE(MID($F366,12,8))+Settings!$C$7/24,"")))</f>
        <v/>
      </c>
      <c r="P366" s="106" t="str">
        <f>IF($G366="","",IF(ISNUMBER($G366),$G366+Settings!$C$7/24,IFERROR(DATEVALUE(LEFT($G366,10))+TIMEVALUE(MID($G366,12,8))+Settings!$C$7/24,"")))</f>
        <v/>
      </c>
      <c r="Q366" s="39" t="str">
        <f t="shared" si="91"/>
        <v/>
      </c>
      <c r="R366" s="39" t="str">
        <f t="shared" si="92"/>
        <v/>
      </c>
      <c r="S366" s="107" t="str">
        <f t="shared" si="93"/>
        <v/>
      </c>
      <c r="T366" s="39" t="str">
        <f>IF($C366="","",IF(COUNTIF($C$2:$C366,$C366)=1,1,0))</f>
        <v/>
      </c>
      <c r="U366" s="39" t="str">
        <f>IF($T366=1,COUNTIF($T$2:$T366,1),"")</f>
        <v/>
      </c>
      <c r="V366" s="39" t="str">
        <f>IF($B366="","",IF(COUNTIF($B$2:$B366,$B366)=1,1,0))</f>
        <v/>
      </c>
      <c r="W366" s="39" t="str">
        <f>IF($V366=1,COUNTIF($V$2:$V366,1),"")</f>
        <v/>
      </c>
      <c r="X366" s="39" t="str">
        <f>IF($A366="","",IF(COUNTIF($A$2:$A366,$A366)=1,1,0))</f>
        <v/>
      </c>
      <c r="Y366" s="39" t="str">
        <f>IF($X366=1,COUNTIF($X$2:$X366,1),"")</f>
        <v/>
      </c>
      <c r="Z366" s="39">
        <f>IF(AND($E366="timed",$N366&gt;Settings!$C$8),1,0)</f>
        <v>0</v>
      </c>
      <c r="AA366" s="39">
        <f t="shared" si="94"/>
        <v>0</v>
      </c>
      <c r="AB366" s="39">
        <f t="shared" si="95"/>
        <v>0</v>
      </c>
      <c r="AC366" s="39" t="str">
        <f t="shared" si="96"/>
        <v/>
      </c>
      <c r="AD366" s="39" t="str">
        <f t="shared" si="97"/>
        <v/>
      </c>
      <c r="AE366" s="39" t="str">
        <f t="shared" si="98"/>
        <v/>
      </c>
      <c r="AF366" s="106" t="str">
        <f t="shared" si="99"/>
        <v/>
      </c>
      <c r="AG366" s="39">
        <f t="shared" si="100"/>
        <v>0</v>
      </c>
      <c r="AH366" s="39" t="str">
        <f t="shared" si="101"/>
        <v/>
      </c>
      <c r="AI366" s="39">
        <f>IF(AND($E366="timed",$N366&gt;=Settings!$C$9),1,0)</f>
        <v>0</v>
      </c>
      <c r="AJ366" s="39" t="str">
        <f>IF(OR($S366="",Settings!$C$16=""),"",IF($S366&lt;=Settings!$C$16,1,2))</f>
        <v/>
      </c>
      <c r="AK366" s="39" t="str">
        <f>IF($C366="","",IFERROR(IF(INDEX(Settings!$C$20:$C$59,MATCH($C366,Settings!$B$20:$B$59,0))="",Settings!$C$10,INDEX(Settings!$C$20:$C$59,MATCH($C366,Settings!$B$20:$B$59,0))),Settings!$C$10))</f>
        <v/>
      </c>
      <c r="AL366" s="108">
        <f t="shared" si="102"/>
        <v>0</v>
      </c>
      <c r="AM366" s="39" t="str">
        <f t="shared" si="103"/>
        <v/>
      </c>
      <c r="AN366" s="39" t="str">
        <f t="shared" si="104"/>
        <v/>
      </c>
      <c r="AO366" s="39" t="str">
        <f t="shared" si="105"/>
        <v/>
      </c>
      <c r="AP366" s="39">
        <f t="shared" si="106"/>
        <v>0</v>
      </c>
      <c r="AQ366" s="39">
        <f t="shared" si="107"/>
        <v>0</v>
      </c>
    </row>
    <row r="367" spans="14:43" x14ac:dyDescent="0.25">
      <c r="N367" s="105">
        <f t="shared" si="90"/>
        <v>0</v>
      </c>
      <c r="O367" s="106" t="str">
        <f>IF($F367="","",IF(ISNUMBER($F367),$F367+Settings!$C$7/24,IFERROR(DATEVALUE(LEFT($F367,10))+TIMEVALUE(MID($F367,12,8))+Settings!$C$7/24,"")))</f>
        <v/>
      </c>
      <c r="P367" s="106" t="str">
        <f>IF($G367="","",IF(ISNUMBER($G367),$G367+Settings!$C$7/24,IFERROR(DATEVALUE(LEFT($G367,10))+TIMEVALUE(MID($G367,12,8))+Settings!$C$7/24,"")))</f>
        <v/>
      </c>
      <c r="Q367" s="39" t="str">
        <f t="shared" si="91"/>
        <v/>
      </c>
      <c r="R367" s="39" t="str">
        <f t="shared" si="92"/>
        <v/>
      </c>
      <c r="S367" s="107" t="str">
        <f t="shared" si="93"/>
        <v/>
      </c>
      <c r="T367" s="39" t="str">
        <f>IF($C367="","",IF(COUNTIF($C$2:$C367,$C367)=1,1,0))</f>
        <v/>
      </c>
      <c r="U367" s="39" t="str">
        <f>IF($T367=1,COUNTIF($T$2:$T367,1),"")</f>
        <v/>
      </c>
      <c r="V367" s="39" t="str">
        <f>IF($B367="","",IF(COUNTIF($B$2:$B367,$B367)=1,1,0))</f>
        <v/>
      </c>
      <c r="W367" s="39" t="str">
        <f>IF($V367=1,COUNTIF($V$2:$V367,1),"")</f>
        <v/>
      </c>
      <c r="X367" s="39" t="str">
        <f>IF($A367="","",IF(COUNTIF($A$2:$A367,$A367)=1,1,0))</f>
        <v/>
      </c>
      <c r="Y367" s="39" t="str">
        <f>IF($X367=1,COUNTIF($X$2:$X367,1),"")</f>
        <v/>
      </c>
      <c r="Z367" s="39">
        <f>IF(AND($E367="timed",$N367&gt;Settings!$C$8),1,0)</f>
        <v>0</v>
      </c>
      <c r="AA367" s="39">
        <f t="shared" si="94"/>
        <v>0</v>
      </c>
      <c r="AB367" s="39">
        <f t="shared" si="95"/>
        <v>0</v>
      </c>
      <c r="AC367" s="39" t="str">
        <f t="shared" si="96"/>
        <v/>
      </c>
      <c r="AD367" s="39" t="str">
        <f t="shared" si="97"/>
        <v/>
      </c>
      <c r="AE367" s="39" t="str">
        <f t="shared" si="98"/>
        <v/>
      </c>
      <c r="AF367" s="106" t="str">
        <f t="shared" si="99"/>
        <v/>
      </c>
      <c r="AG367" s="39">
        <f t="shared" si="100"/>
        <v>0</v>
      </c>
      <c r="AH367" s="39" t="str">
        <f t="shared" si="101"/>
        <v/>
      </c>
      <c r="AI367" s="39">
        <f>IF(AND($E367="timed",$N367&gt;=Settings!$C$9),1,0)</f>
        <v>0</v>
      </c>
      <c r="AJ367" s="39" t="str">
        <f>IF(OR($S367="",Settings!$C$16=""),"",IF($S367&lt;=Settings!$C$16,1,2))</f>
        <v/>
      </c>
      <c r="AK367" s="39" t="str">
        <f>IF($C367="","",IFERROR(IF(INDEX(Settings!$C$20:$C$59,MATCH($C367,Settings!$B$20:$B$59,0))="",Settings!$C$10,INDEX(Settings!$C$20:$C$59,MATCH($C367,Settings!$B$20:$B$59,0))),Settings!$C$10))</f>
        <v/>
      </c>
      <c r="AL367" s="108">
        <f t="shared" si="102"/>
        <v>0</v>
      </c>
      <c r="AM367" s="39" t="str">
        <f t="shared" si="103"/>
        <v/>
      </c>
      <c r="AN367" s="39" t="str">
        <f t="shared" si="104"/>
        <v/>
      </c>
      <c r="AO367" s="39" t="str">
        <f t="shared" si="105"/>
        <v/>
      </c>
      <c r="AP367" s="39">
        <f t="shared" si="106"/>
        <v>0</v>
      </c>
      <c r="AQ367" s="39">
        <f t="shared" si="107"/>
        <v>0</v>
      </c>
    </row>
    <row r="368" spans="14:43" x14ac:dyDescent="0.25">
      <c r="N368" s="105">
        <f t="shared" si="90"/>
        <v>0</v>
      </c>
      <c r="O368" s="106" t="str">
        <f>IF($F368="","",IF(ISNUMBER($F368),$F368+Settings!$C$7/24,IFERROR(DATEVALUE(LEFT($F368,10))+TIMEVALUE(MID($F368,12,8))+Settings!$C$7/24,"")))</f>
        <v/>
      </c>
      <c r="P368" s="106" t="str">
        <f>IF($G368="","",IF(ISNUMBER($G368),$G368+Settings!$C$7/24,IFERROR(DATEVALUE(LEFT($G368,10))+TIMEVALUE(MID($G368,12,8))+Settings!$C$7/24,"")))</f>
        <v/>
      </c>
      <c r="Q368" s="39" t="str">
        <f t="shared" si="91"/>
        <v/>
      </c>
      <c r="R368" s="39" t="str">
        <f t="shared" si="92"/>
        <v/>
      </c>
      <c r="S368" s="107" t="str">
        <f t="shared" si="93"/>
        <v/>
      </c>
      <c r="T368" s="39" t="str">
        <f>IF($C368="","",IF(COUNTIF($C$2:$C368,$C368)=1,1,0))</f>
        <v/>
      </c>
      <c r="U368" s="39" t="str">
        <f>IF($T368=1,COUNTIF($T$2:$T368,1),"")</f>
        <v/>
      </c>
      <c r="V368" s="39" t="str">
        <f>IF($B368="","",IF(COUNTIF($B$2:$B368,$B368)=1,1,0))</f>
        <v/>
      </c>
      <c r="W368" s="39" t="str">
        <f>IF($V368=1,COUNTIF($V$2:$V368,1),"")</f>
        <v/>
      </c>
      <c r="X368" s="39" t="str">
        <f>IF($A368="","",IF(COUNTIF($A$2:$A368,$A368)=1,1,0))</f>
        <v/>
      </c>
      <c r="Y368" s="39" t="str">
        <f>IF($X368=1,COUNTIF($X$2:$X368,1),"")</f>
        <v/>
      </c>
      <c r="Z368" s="39">
        <f>IF(AND($E368="timed",$N368&gt;Settings!$C$8),1,0)</f>
        <v>0</v>
      </c>
      <c r="AA368" s="39">
        <f t="shared" si="94"/>
        <v>0</v>
      </c>
      <c r="AB368" s="39">
        <f t="shared" si="95"/>
        <v>0</v>
      </c>
      <c r="AC368" s="39" t="str">
        <f t="shared" si="96"/>
        <v/>
      </c>
      <c r="AD368" s="39" t="str">
        <f t="shared" si="97"/>
        <v/>
      </c>
      <c r="AE368" s="39" t="str">
        <f t="shared" si="98"/>
        <v/>
      </c>
      <c r="AF368" s="106" t="str">
        <f t="shared" si="99"/>
        <v/>
      </c>
      <c r="AG368" s="39">
        <f t="shared" si="100"/>
        <v>0</v>
      </c>
      <c r="AH368" s="39" t="str">
        <f t="shared" si="101"/>
        <v/>
      </c>
      <c r="AI368" s="39">
        <f>IF(AND($E368="timed",$N368&gt;=Settings!$C$9),1,0)</f>
        <v>0</v>
      </c>
      <c r="AJ368" s="39" t="str">
        <f>IF(OR($S368="",Settings!$C$16=""),"",IF($S368&lt;=Settings!$C$16,1,2))</f>
        <v/>
      </c>
      <c r="AK368" s="39" t="str">
        <f>IF($C368="","",IFERROR(IF(INDEX(Settings!$C$20:$C$59,MATCH($C368,Settings!$B$20:$B$59,0))="",Settings!$C$10,INDEX(Settings!$C$20:$C$59,MATCH($C368,Settings!$B$20:$B$59,0))),Settings!$C$10))</f>
        <v/>
      </c>
      <c r="AL368" s="108">
        <f t="shared" si="102"/>
        <v>0</v>
      </c>
      <c r="AM368" s="39" t="str">
        <f t="shared" si="103"/>
        <v/>
      </c>
      <c r="AN368" s="39" t="str">
        <f t="shared" si="104"/>
        <v/>
      </c>
      <c r="AO368" s="39" t="str">
        <f t="shared" si="105"/>
        <v/>
      </c>
      <c r="AP368" s="39">
        <f t="shared" si="106"/>
        <v>0</v>
      </c>
      <c r="AQ368" s="39">
        <f t="shared" si="107"/>
        <v>0</v>
      </c>
    </row>
    <row r="369" spans="14:43" x14ac:dyDescent="0.25">
      <c r="N369" s="105">
        <f t="shared" si="90"/>
        <v>0</v>
      </c>
      <c r="O369" s="106" t="str">
        <f>IF($F369="","",IF(ISNUMBER($F369),$F369+Settings!$C$7/24,IFERROR(DATEVALUE(LEFT($F369,10))+TIMEVALUE(MID($F369,12,8))+Settings!$C$7/24,"")))</f>
        <v/>
      </c>
      <c r="P369" s="106" t="str">
        <f>IF($G369="","",IF(ISNUMBER($G369),$G369+Settings!$C$7/24,IFERROR(DATEVALUE(LEFT($G369,10))+TIMEVALUE(MID($G369,12,8))+Settings!$C$7/24,"")))</f>
        <v/>
      </c>
      <c r="Q369" s="39" t="str">
        <f t="shared" si="91"/>
        <v/>
      </c>
      <c r="R369" s="39" t="str">
        <f t="shared" si="92"/>
        <v/>
      </c>
      <c r="S369" s="107" t="str">
        <f t="shared" si="93"/>
        <v/>
      </c>
      <c r="T369" s="39" t="str">
        <f>IF($C369="","",IF(COUNTIF($C$2:$C369,$C369)=1,1,0))</f>
        <v/>
      </c>
      <c r="U369" s="39" t="str">
        <f>IF($T369=1,COUNTIF($T$2:$T369,1),"")</f>
        <v/>
      </c>
      <c r="V369" s="39" t="str">
        <f>IF($B369="","",IF(COUNTIF($B$2:$B369,$B369)=1,1,0))</f>
        <v/>
      </c>
      <c r="W369" s="39" t="str">
        <f>IF($V369=1,COUNTIF($V$2:$V369,1),"")</f>
        <v/>
      </c>
      <c r="X369" s="39" t="str">
        <f>IF($A369="","",IF(COUNTIF($A$2:$A369,$A369)=1,1,0))</f>
        <v/>
      </c>
      <c r="Y369" s="39" t="str">
        <f>IF($X369=1,COUNTIF($X$2:$X369,1),"")</f>
        <v/>
      </c>
      <c r="Z369" s="39">
        <f>IF(AND($E369="timed",$N369&gt;Settings!$C$8),1,0)</f>
        <v>0</v>
      </c>
      <c r="AA369" s="39">
        <f t="shared" si="94"/>
        <v>0</v>
      </c>
      <c r="AB369" s="39">
        <f t="shared" si="95"/>
        <v>0</v>
      </c>
      <c r="AC369" s="39" t="str">
        <f t="shared" si="96"/>
        <v/>
      </c>
      <c r="AD369" s="39" t="str">
        <f t="shared" si="97"/>
        <v/>
      </c>
      <c r="AE369" s="39" t="str">
        <f t="shared" si="98"/>
        <v/>
      </c>
      <c r="AF369" s="106" t="str">
        <f t="shared" si="99"/>
        <v/>
      </c>
      <c r="AG369" s="39">
        <f t="shared" si="100"/>
        <v>0</v>
      </c>
      <c r="AH369" s="39" t="str">
        <f t="shared" si="101"/>
        <v/>
      </c>
      <c r="AI369" s="39">
        <f>IF(AND($E369="timed",$N369&gt;=Settings!$C$9),1,0)</f>
        <v>0</v>
      </c>
      <c r="AJ369" s="39" t="str">
        <f>IF(OR($S369="",Settings!$C$16=""),"",IF($S369&lt;=Settings!$C$16,1,2))</f>
        <v/>
      </c>
      <c r="AK369" s="39" t="str">
        <f>IF($C369="","",IFERROR(IF(INDEX(Settings!$C$20:$C$59,MATCH($C369,Settings!$B$20:$B$59,0))="",Settings!$C$10,INDEX(Settings!$C$20:$C$59,MATCH($C369,Settings!$B$20:$B$59,0))),Settings!$C$10))</f>
        <v/>
      </c>
      <c r="AL369" s="108">
        <f t="shared" si="102"/>
        <v>0</v>
      </c>
      <c r="AM369" s="39" t="str">
        <f t="shared" si="103"/>
        <v/>
      </c>
      <c r="AN369" s="39" t="str">
        <f t="shared" si="104"/>
        <v/>
      </c>
      <c r="AO369" s="39" t="str">
        <f t="shared" si="105"/>
        <v/>
      </c>
      <c r="AP369" s="39">
        <f t="shared" si="106"/>
        <v>0</v>
      </c>
      <c r="AQ369" s="39">
        <f t="shared" si="107"/>
        <v>0</v>
      </c>
    </row>
    <row r="370" spans="14:43" x14ac:dyDescent="0.25">
      <c r="N370" s="105">
        <f t="shared" si="90"/>
        <v>0</v>
      </c>
      <c r="O370" s="106" t="str">
        <f>IF($F370="","",IF(ISNUMBER($F370),$F370+Settings!$C$7/24,IFERROR(DATEVALUE(LEFT($F370,10))+TIMEVALUE(MID($F370,12,8))+Settings!$C$7/24,"")))</f>
        <v/>
      </c>
      <c r="P370" s="106" t="str">
        <f>IF($G370="","",IF(ISNUMBER($G370),$G370+Settings!$C$7/24,IFERROR(DATEVALUE(LEFT($G370,10))+TIMEVALUE(MID($G370,12,8))+Settings!$C$7/24,"")))</f>
        <v/>
      </c>
      <c r="Q370" s="39" t="str">
        <f t="shared" si="91"/>
        <v/>
      </c>
      <c r="R370" s="39" t="str">
        <f t="shared" si="92"/>
        <v/>
      </c>
      <c r="S370" s="107" t="str">
        <f t="shared" si="93"/>
        <v/>
      </c>
      <c r="T370" s="39" t="str">
        <f>IF($C370="","",IF(COUNTIF($C$2:$C370,$C370)=1,1,0))</f>
        <v/>
      </c>
      <c r="U370" s="39" t="str">
        <f>IF($T370=1,COUNTIF($T$2:$T370,1),"")</f>
        <v/>
      </c>
      <c r="V370" s="39" t="str">
        <f>IF($B370="","",IF(COUNTIF($B$2:$B370,$B370)=1,1,0))</f>
        <v/>
      </c>
      <c r="W370" s="39" t="str">
        <f>IF($V370=1,COUNTIF($V$2:$V370,1),"")</f>
        <v/>
      </c>
      <c r="X370" s="39" t="str">
        <f>IF($A370="","",IF(COUNTIF($A$2:$A370,$A370)=1,1,0))</f>
        <v/>
      </c>
      <c r="Y370" s="39" t="str">
        <f>IF($X370=1,COUNTIF($X$2:$X370,1),"")</f>
        <v/>
      </c>
      <c r="Z370" s="39">
        <f>IF(AND($E370="timed",$N370&gt;Settings!$C$8),1,0)</f>
        <v>0</v>
      </c>
      <c r="AA370" s="39">
        <f t="shared" si="94"/>
        <v>0</v>
      </c>
      <c r="AB370" s="39">
        <f t="shared" si="95"/>
        <v>0</v>
      </c>
      <c r="AC370" s="39" t="str">
        <f t="shared" si="96"/>
        <v/>
      </c>
      <c r="AD370" s="39" t="str">
        <f t="shared" si="97"/>
        <v/>
      </c>
      <c r="AE370" s="39" t="str">
        <f t="shared" si="98"/>
        <v/>
      </c>
      <c r="AF370" s="106" t="str">
        <f t="shared" si="99"/>
        <v/>
      </c>
      <c r="AG370" s="39">
        <f t="shared" si="100"/>
        <v>0</v>
      </c>
      <c r="AH370" s="39" t="str">
        <f t="shared" si="101"/>
        <v/>
      </c>
      <c r="AI370" s="39">
        <f>IF(AND($E370="timed",$N370&gt;=Settings!$C$9),1,0)</f>
        <v>0</v>
      </c>
      <c r="AJ370" s="39" t="str">
        <f>IF(OR($S370="",Settings!$C$16=""),"",IF($S370&lt;=Settings!$C$16,1,2))</f>
        <v/>
      </c>
      <c r="AK370" s="39" t="str">
        <f>IF($C370="","",IFERROR(IF(INDEX(Settings!$C$20:$C$59,MATCH($C370,Settings!$B$20:$B$59,0))="",Settings!$C$10,INDEX(Settings!$C$20:$C$59,MATCH($C370,Settings!$B$20:$B$59,0))),Settings!$C$10))</f>
        <v/>
      </c>
      <c r="AL370" s="108">
        <f t="shared" si="102"/>
        <v>0</v>
      </c>
      <c r="AM370" s="39" t="str">
        <f t="shared" si="103"/>
        <v/>
      </c>
      <c r="AN370" s="39" t="str">
        <f t="shared" si="104"/>
        <v/>
      </c>
      <c r="AO370" s="39" t="str">
        <f t="shared" si="105"/>
        <v/>
      </c>
      <c r="AP370" s="39">
        <f t="shared" si="106"/>
        <v>0</v>
      </c>
      <c r="AQ370" s="39">
        <f t="shared" si="107"/>
        <v>0</v>
      </c>
    </row>
    <row r="371" spans="14:43" x14ac:dyDescent="0.25">
      <c r="N371" s="105">
        <f t="shared" si="90"/>
        <v>0</v>
      </c>
      <c r="O371" s="106" t="str">
        <f>IF($F371="","",IF(ISNUMBER($F371),$F371+Settings!$C$7/24,IFERROR(DATEVALUE(LEFT($F371,10))+TIMEVALUE(MID($F371,12,8))+Settings!$C$7/24,"")))</f>
        <v/>
      </c>
      <c r="P371" s="106" t="str">
        <f>IF($G371="","",IF(ISNUMBER($G371),$G371+Settings!$C$7/24,IFERROR(DATEVALUE(LEFT($G371,10))+TIMEVALUE(MID($G371,12,8))+Settings!$C$7/24,"")))</f>
        <v/>
      </c>
      <c r="Q371" s="39" t="str">
        <f t="shared" si="91"/>
        <v/>
      </c>
      <c r="R371" s="39" t="str">
        <f t="shared" si="92"/>
        <v/>
      </c>
      <c r="S371" s="107" t="str">
        <f t="shared" si="93"/>
        <v/>
      </c>
      <c r="T371" s="39" t="str">
        <f>IF($C371="","",IF(COUNTIF($C$2:$C371,$C371)=1,1,0))</f>
        <v/>
      </c>
      <c r="U371" s="39" t="str">
        <f>IF($T371=1,COUNTIF($T$2:$T371,1),"")</f>
        <v/>
      </c>
      <c r="V371" s="39" t="str">
        <f>IF($B371="","",IF(COUNTIF($B$2:$B371,$B371)=1,1,0))</f>
        <v/>
      </c>
      <c r="W371" s="39" t="str">
        <f>IF($V371=1,COUNTIF($V$2:$V371,1),"")</f>
        <v/>
      </c>
      <c r="X371" s="39" t="str">
        <f>IF($A371="","",IF(COUNTIF($A$2:$A371,$A371)=1,1,0))</f>
        <v/>
      </c>
      <c r="Y371" s="39" t="str">
        <f>IF($X371=1,COUNTIF($X$2:$X371,1),"")</f>
        <v/>
      </c>
      <c r="Z371" s="39">
        <f>IF(AND($E371="timed",$N371&gt;Settings!$C$8),1,0)</f>
        <v>0</v>
      </c>
      <c r="AA371" s="39">
        <f t="shared" si="94"/>
        <v>0</v>
      </c>
      <c r="AB371" s="39">
        <f t="shared" si="95"/>
        <v>0</v>
      </c>
      <c r="AC371" s="39" t="str">
        <f t="shared" si="96"/>
        <v/>
      </c>
      <c r="AD371" s="39" t="str">
        <f t="shared" si="97"/>
        <v/>
      </c>
      <c r="AE371" s="39" t="str">
        <f t="shared" si="98"/>
        <v/>
      </c>
      <c r="AF371" s="106" t="str">
        <f t="shared" si="99"/>
        <v/>
      </c>
      <c r="AG371" s="39">
        <f t="shared" si="100"/>
        <v>0</v>
      </c>
      <c r="AH371" s="39" t="str">
        <f t="shared" si="101"/>
        <v/>
      </c>
      <c r="AI371" s="39">
        <f>IF(AND($E371="timed",$N371&gt;=Settings!$C$9),1,0)</f>
        <v>0</v>
      </c>
      <c r="AJ371" s="39" t="str">
        <f>IF(OR($S371="",Settings!$C$16=""),"",IF($S371&lt;=Settings!$C$16,1,2))</f>
        <v/>
      </c>
      <c r="AK371" s="39" t="str">
        <f>IF($C371="","",IFERROR(IF(INDEX(Settings!$C$20:$C$59,MATCH($C371,Settings!$B$20:$B$59,0))="",Settings!$C$10,INDEX(Settings!$C$20:$C$59,MATCH($C371,Settings!$B$20:$B$59,0))),Settings!$C$10))</f>
        <v/>
      </c>
      <c r="AL371" s="108">
        <f t="shared" si="102"/>
        <v>0</v>
      </c>
      <c r="AM371" s="39" t="str">
        <f t="shared" si="103"/>
        <v/>
      </c>
      <c r="AN371" s="39" t="str">
        <f t="shared" si="104"/>
        <v/>
      </c>
      <c r="AO371" s="39" t="str">
        <f t="shared" si="105"/>
        <v/>
      </c>
      <c r="AP371" s="39">
        <f t="shared" si="106"/>
        <v>0</v>
      </c>
      <c r="AQ371" s="39">
        <f t="shared" si="107"/>
        <v>0</v>
      </c>
    </row>
    <row r="372" spans="14:43" x14ac:dyDescent="0.25">
      <c r="N372" s="105">
        <f t="shared" si="90"/>
        <v>0</v>
      </c>
      <c r="O372" s="106" t="str">
        <f>IF($F372="","",IF(ISNUMBER($F372),$F372+Settings!$C$7/24,IFERROR(DATEVALUE(LEFT($F372,10))+TIMEVALUE(MID($F372,12,8))+Settings!$C$7/24,"")))</f>
        <v/>
      </c>
      <c r="P372" s="106" t="str">
        <f>IF($G372="","",IF(ISNUMBER($G372),$G372+Settings!$C$7/24,IFERROR(DATEVALUE(LEFT($G372,10))+TIMEVALUE(MID($G372,12,8))+Settings!$C$7/24,"")))</f>
        <v/>
      </c>
      <c r="Q372" s="39" t="str">
        <f t="shared" si="91"/>
        <v/>
      </c>
      <c r="R372" s="39" t="str">
        <f t="shared" si="92"/>
        <v/>
      </c>
      <c r="S372" s="107" t="str">
        <f t="shared" si="93"/>
        <v/>
      </c>
      <c r="T372" s="39" t="str">
        <f>IF($C372="","",IF(COUNTIF($C$2:$C372,$C372)=1,1,0))</f>
        <v/>
      </c>
      <c r="U372" s="39" t="str">
        <f>IF($T372=1,COUNTIF($T$2:$T372,1),"")</f>
        <v/>
      </c>
      <c r="V372" s="39" t="str">
        <f>IF($B372="","",IF(COUNTIF($B$2:$B372,$B372)=1,1,0))</f>
        <v/>
      </c>
      <c r="W372" s="39" t="str">
        <f>IF($V372=1,COUNTIF($V$2:$V372,1),"")</f>
        <v/>
      </c>
      <c r="X372" s="39" t="str">
        <f>IF($A372="","",IF(COUNTIF($A$2:$A372,$A372)=1,1,0))</f>
        <v/>
      </c>
      <c r="Y372" s="39" t="str">
        <f>IF($X372=1,COUNTIF($X$2:$X372,1),"")</f>
        <v/>
      </c>
      <c r="Z372" s="39">
        <f>IF(AND($E372="timed",$N372&gt;Settings!$C$8),1,0)</f>
        <v>0</v>
      </c>
      <c r="AA372" s="39">
        <f t="shared" si="94"/>
        <v>0</v>
      </c>
      <c r="AB372" s="39">
        <f t="shared" si="95"/>
        <v>0</v>
      </c>
      <c r="AC372" s="39" t="str">
        <f t="shared" si="96"/>
        <v/>
      </c>
      <c r="AD372" s="39" t="str">
        <f t="shared" si="97"/>
        <v/>
      </c>
      <c r="AE372" s="39" t="str">
        <f t="shared" si="98"/>
        <v/>
      </c>
      <c r="AF372" s="106" t="str">
        <f t="shared" si="99"/>
        <v/>
      </c>
      <c r="AG372" s="39">
        <f t="shared" si="100"/>
        <v>0</v>
      </c>
      <c r="AH372" s="39" t="str">
        <f t="shared" si="101"/>
        <v/>
      </c>
      <c r="AI372" s="39">
        <f>IF(AND($E372="timed",$N372&gt;=Settings!$C$9),1,0)</f>
        <v>0</v>
      </c>
      <c r="AJ372" s="39" t="str">
        <f>IF(OR($S372="",Settings!$C$16=""),"",IF($S372&lt;=Settings!$C$16,1,2))</f>
        <v/>
      </c>
      <c r="AK372" s="39" t="str">
        <f>IF($C372="","",IFERROR(IF(INDEX(Settings!$C$20:$C$59,MATCH($C372,Settings!$B$20:$B$59,0))="",Settings!$C$10,INDEX(Settings!$C$20:$C$59,MATCH($C372,Settings!$B$20:$B$59,0))),Settings!$C$10))</f>
        <v/>
      </c>
      <c r="AL372" s="108">
        <f t="shared" si="102"/>
        <v>0</v>
      </c>
      <c r="AM372" s="39" t="str">
        <f t="shared" si="103"/>
        <v/>
      </c>
      <c r="AN372" s="39" t="str">
        <f t="shared" si="104"/>
        <v/>
      </c>
      <c r="AO372" s="39" t="str">
        <f t="shared" si="105"/>
        <v/>
      </c>
      <c r="AP372" s="39">
        <f t="shared" si="106"/>
        <v>0</v>
      </c>
      <c r="AQ372" s="39">
        <f t="shared" si="107"/>
        <v>0</v>
      </c>
    </row>
    <row r="373" spans="14:43" x14ac:dyDescent="0.25">
      <c r="N373" s="105">
        <f t="shared" si="90"/>
        <v>0</v>
      </c>
      <c r="O373" s="106" t="str">
        <f>IF($F373="","",IF(ISNUMBER($F373),$F373+Settings!$C$7/24,IFERROR(DATEVALUE(LEFT($F373,10))+TIMEVALUE(MID($F373,12,8))+Settings!$C$7/24,"")))</f>
        <v/>
      </c>
      <c r="P373" s="106" t="str">
        <f>IF($G373="","",IF(ISNUMBER($G373),$G373+Settings!$C$7/24,IFERROR(DATEVALUE(LEFT($G373,10))+TIMEVALUE(MID($G373,12,8))+Settings!$C$7/24,"")))</f>
        <v/>
      </c>
      <c r="Q373" s="39" t="str">
        <f t="shared" si="91"/>
        <v/>
      </c>
      <c r="R373" s="39" t="str">
        <f t="shared" si="92"/>
        <v/>
      </c>
      <c r="S373" s="107" t="str">
        <f t="shared" si="93"/>
        <v/>
      </c>
      <c r="T373" s="39" t="str">
        <f>IF($C373="","",IF(COUNTIF($C$2:$C373,$C373)=1,1,0))</f>
        <v/>
      </c>
      <c r="U373" s="39" t="str">
        <f>IF($T373=1,COUNTIF($T$2:$T373,1),"")</f>
        <v/>
      </c>
      <c r="V373" s="39" t="str">
        <f>IF($B373="","",IF(COUNTIF($B$2:$B373,$B373)=1,1,0))</f>
        <v/>
      </c>
      <c r="W373" s="39" t="str">
        <f>IF($V373=1,COUNTIF($V$2:$V373,1),"")</f>
        <v/>
      </c>
      <c r="X373" s="39" t="str">
        <f>IF($A373="","",IF(COUNTIF($A$2:$A373,$A373)=1,1,0))</f>
        <v/>
      </c>
      <c r="Y373" s="39" t="str">
        <f>IF($X373=1,COUNTIF($X$2:$X373,1),"")</f>
        <v/>
      </c>
      <c r="Z373" s="39">
        <f>IF(AND($E373="timed",$N373&gt;Settings!$C$8),1,0)</f>
        <v>0</v>
      </c>
      <c r="AA373" s="39">
        <f t="shared" si="94"/>
        <v>0</v>
      </c>
      <c r="AB373" s="39">
        <f t="shared" si="95"/>
        <v>0</v>
      </c>
      <c r="AC373" s="39" t="str">
        <f t="shared" si="96"/>
        <v/>
      </c>
      <c r="AD373" s="39" t="str">
        <f t="shared" si="97"/>
        <v/>
      </c>
      <c r="AE373" s="39" t="str">
        <f t="shared" si="98"/>
        <v/>
      </c>
      <c r="AF373" s="106" t="str">
        <f t="shared" si="99"/>
        <v/>
      </c>
      <c r="AG373" s="39">
        <f t="shared" si="100"/>
        <v>0</v>
      </c>
      <c r="AH373" s="39" t="str">
        <f t="shared" si="101"/>
        <v/>
      </c>
      <c r="AI373" s="39">
        <f>IF(AND($E373="timed",$N373&gt;=Settings!$C$9),1,0)</f>
        <v>0</v>
      </c>
      <c r="AJ373" s="39" t="str">
        <f>IF(OR($S373="",Settings!$C$16=""),"",IF($S373&lt;=Settings!$C$16,1,2))</f>
        <v/>
      </c>
      <c r="AK373" s="39" t="str">
        <f>IF($C373="","",IFERROR(IF(INDEX(Settings!$C$20:$C$59,MATCH($C373,Settings!$B$20:$B$59,0))="",Settings!$C$10,INDEX(Settings!$C$20:$C$59,MATCH($C373,Settings!$B$20:$B$59,0))),Settings!$C$10))</f>
        <v/>
      </c>
      <c r="AL373" s="108">
        <f t="shared" si="102"/>
        <v>0</v>
      </c>
      <c r="AM373" s="39" t="str">
        <f t="shared" si="103"/>
        <v/>
      </c>
      <c r="AN373" s="39" t="str">
        <f t="shared" si="104"/>
        <v/>
      </c>
      <c r="AO373" s="39" t="str">
        <f t="shared" si="105"/>
        <v/>
      </c>
      <c r="AP373" s="39">
        <f t="shared" si="106"/>
        <v>0</v>
      </c>
      <c r="AQ373" s="39">
        <f t="shared" si="107"/>
        <v>0</v>
      </c>
    </row>
    <row r="374" spans="14:43" x14ac:dyDescent="0.25">
      <c r="N374" s="105">
        <f t="shared" si="90"/>
        <v>0</v>
      </c>
      <c r="O374" s="106" t="str">
        <f>IF($F374="","",IF(ISNUMBER($F374),$F374+Settings!$C$7/24,IFERROR(DATEVALUE(LEFT($F374,10))+TIMEVALUE(MID($F374,12,8))+Settings!$C$7/24,"")))</f>
        <v/>
      </c>
      <c r="P374" s="106" t="str">
        <f>IF($G374="","",IF(ISNUMBER($G374),$G374+Settings!$C$7/24,IFERROR(DATEVALUE(LEFT($G374,10))+TIMEVALUE(MID($G374,12,8))+Settings!$C$7/24,"")))</f>
        <v/>
      </c>
      <c r="Q374" s="39" t="str">
        <f t="shared" si="91"/>
        <v/>
      </c>
      <c r="R374" s="39" t="str">
        <f t="shared" si="92"/>
        <v/>
      </c>
      <c r="S374" s="107" t="str">
        <f t="shared" si="93"/>
        <v/>
      </c>
      <c r="T374" s="39" t="str">
        <f>IF($C374="","",IF(COUNTIF($C$2:$C374,$C374)=1,1,0))</f>
        <v/>
      </c>
      <c r="U374" s="39" t="str">
        <f>IF($T374=1,COUNTIF($T$2:$T374,1),"")</f>
        <v/>
      </c>
      <c r="V374" s="39" t="str">
        <f>IF($B374="","",IF(COUNTIF($B$2:$B374,$B374)=1,1,0))</f>
        <v/>
      </c>
      <c r="W374" s="39" t="str">
        <f>IF($V374=1,COUNTIF($V$2:$V374,1),"")</f>
        <v/>
      </c>
      <c r="X374" s="39" t="str">
        <f>IF($A374="","",IF(COUNTIF($A$2:$A374,$A374)=1,1,0))</f>
        <v/>
      </c>
      <c r="Y374" s="39" t="str">
        <f>IF($X374=1,COUNTIF($X$2:$X374,1),"")</f>
        <v/>
      </c>
      <c r="Z374" s="39">
        <f>IF(AND($E374="timed",$N374&gt;Settings!$C$8),1,0)</f>
        <v>0</v>
      </c>
      <c r="AA374" s="39">
        <f t="shared" si="94"/>
        <v>0</v>
      </c>
      <c r="AB374" s="39">
        <f t="shared" si="95"/>
        <v>0</v>
      </c>
      <c r="AC374" s="39" t="str">
        <f t="shared" si="96"/>
        <v/>
      </c>
      <c r="AD374" s="39" t="str">
        <f t="shared" si="97"/>
        <v/>
      </c>
      <c r="AE374" s="39" t="str">
        <f t="shared" si="98"/>
        <v/>
      </c>
      <c r="AF374" s="106" t="str">
        <f t="shared" si="99"/>
        <v/>
      </c>
      <c r="AG374" s="39">
        <f t="shared" si="100"/>
        <v>0</v>
      </c>
      <c r="AH374" s="39" t="str">
        <f t="shared" si="101"/>
        <v/>
      </c>
      <c r="AI374" s="39">
        <f>IF(AND($E374="timed",$N374&gt;=Settings!$C$9),1,0)</f>
        <v>0</v>
      </c>
      <c r="AJ374" s="39" t="str">
        <f>IF(OR($S374="",Settings!$C$16=""),"",IF($S374&lt;=Settings!$C$16,1,2))</f>
        <v/>
      </c>
      <c r="AK374" s="39" t="str">
        <f>IF($C374="","",IFERROR(IF(INDEX(Settings!$C$20:$C$59,MATCH($C374,Settings!$B$20:$B$59,0))="",Settings!$C$10,INDEX(Settings!$C$20:$C$59,MATCH($C374,Settings!$B$20:$B$59,0))),Settings!$C$10))</f>
        <v/>
      </c>
      <c r="AL374" s="108">
        <f t="shared" si="102"/>
        <v>0</v>
      </c>
      <c r="AM374" s="39" t="str">
        <f t="shared" si="103"/>
        <v/>
      </c>
      <c r="AN374" s="39" t="str">
        <f t="shared" si="104"/>
        <v/>
      </c>
      <c r="AO374" s="39" t="str">
        <f t="shared" si="105"/>
        <v/>
      </c>
      <c r="AP374" s="39">
        <f t="shared" si="106"/>
        <v>0</v>
      </c>
      <c r="AQ374" s="39">
        <f t="shared" si="107"/>
        <v>0</v>
      </c>
    </row>
    <row r="375" spans="14:43" x14ac:dyDescent="0.25">
      <c r="N375" s="105">
        <f t="shared" si="90"/>
        <v>0</v>
      </c>
      <c r="O375" s="106" t="str">
        <f>IF($F375="","",IF(ISNUMBER($F375),$F375+Settings!$C$7/24,IFERROR(DATEVALUE(LEFT($F375,10))+TIMEVALUE(MID($F375,12,8))+Settings!$C$7/24,"")))</f>
        <v/>
      </c>
      <c r="P375" s="106" t="str">
        <f>IF($G375="","",IF(ISNUMBER($G375),$G375+Settings!$C$7/24,IFERROR(DATEVALUE(LEFT($G375,10))+TIMEVALUE(MID($G375,12,8))+Settings!$C$7/24,"")))</f>
        <v/>
      </c>
      <c r="Q375" s="39" t="str">
        <f t="shared" si="91"/>
        <v/>
      </c>
      <c r="R375" s="39" t="str">
        <f t="shared" si="92"/>
        <v/>
      </c>
      <c r="S375" s="107" t="str">
        <f t="shared" si="93"/>
        <v/>
      </c>
      <c r="T375" s="39" t="str">
        <f>IF($C375="","",IF(COUNTIF($C$2:$C375,$C375)=1,1,0))</f>
        <v/>
      </c>
      <c r="U375" s="39" t="str">
        <f>IF($T375=1,COUNTIF($T$2:$T375,1),"")</f>
        <v/>
      </c>
      <c r="V375" s="39" t="str">
        <f>IF($B375="","",IF(COUNTIF($B$2:$B375,$B375)=1,1,0))</f>
        <v/>
      </c>
      <c r="W375" s="39" t="str">
        <f>IF($V375=1,COUNTIF($V$2:$V375,1),"")</f>
        <v/>
      </c>
      <c r="X375" s="39" t="str">
        <f>IF($A375="","",IF(COUNTIF($A$2:$A375,$A375)=1,1,0))</f>
        <v/>
      </c>
      <c r="Y375" s="39" t="str">
        <f>IF($X375=1,COUNTIF($X$2:$X375,1),"")</f>
        <v/>
      </c>
      <c r="Z375" s="39">
        <f>IF(AND($E375="timed",$N375&gt;Settings!$C$8),1,0)</f>
        <v>0</v>
      </c>
      <c r="AA375" s="39">
        <f t="shared" si="94"/>
        <v>0</v>
      </c>
      <c r="AB375" s="39">
        <f t="shared" si="95"/>
        <v>0</v>
      </c>
      <c r="AC375" s="39" t="str">
        <f t="shared" si="96"/>
        <v/>
      </c>
      <c r="AD375" s="39" t="str">
        <f t="shared" si="97"/>
        <v/>
      </c>
      <c r="AE375" s="39" t="str">
        <f t="shared" si="98"/>
        <v/>
      </c>
      <c r="AF375" s="106" t="str">
        <f t="shared" si="99"/>
        <v/>
      </c>
      <c r="AG375" s="39">
        <f t="shared" si="100"/>
        <v>0</v>
      </c>
      <c r="AH375" s="39" t="str">
        <f t="shared" si="101"/>
        <v/>
      </c>
      <c r="AI375" s="39">
        <f>IF(AND($E375="timed",$N375&gt;=Settings!$C$9),1,0)</f>
        <v>0</v>
      </c>
      <c r="AJ375" s="39" t="str">
        <f>IF(OR($S375="",Settings!$C$16=""),"",IF($S375&lt;=Settings!$C$16,1,2))</f>
        <v/>
      </c>
      <c r="AK375" s="39" t="str">
        <f>IF($C375="","",IFERROR(IF(INDEX(Settings!$C$20:$C$59,MATCH($C375,Settings!$B$20:$B$59,0))="",Settings!$C$10,INDEX(Settings!$C$20:$C$59,MATCH($C375,Settings!$B$20:$B$59,0))),Settings!$C$10))</f>
        <v/>
      </c>
      <c r="AL375" s="108">
        <f t="shared" si="102"/>
        <v>0</v>
      </c>
      <c r="AM375" s="39" t="str">
        <f t="shared" si="103"/>
        <v/>
      </c>
      <c r="AN375" s="39" t="str">
        <f t="shared" si="104"/>
        <v/>
      </c>
      <c r="AO375" s="39" t="str">
        <f t="shared" si="105"/>
        <v/>
      </c>
      <c r="AP375" s="39">
        <f t="shared" si="106"/>
        <v>0</v>
      </c>
      <c r="AQ375" s="39">
        <f t="shared" si="107"/>
        <v>0</v>
      </c>
    </row>
    <row r="376" spans="14:43" x14ac:dyDescent="0.25">
      <c r="N376" s="105">
        <f t="shared" si="90"/>
        <v>0</v>
      </c>
      <c r="O376" s="106" t="str">
        <f>IF($F376="","",IF(ISNUMBER($F376),$F376+Settings!$C$7/24,IFERROR(DATEVALUE(LEFT($F376,10))+TIMEVALUE(MID($F376,12,8))+Settings!$C$7/24,"")))</f>
        <v/>
      </c>
      <c r="P376" s="106" t="str">
        <f>IF($G376="","",IF(ISNUMBER($G376),$G376+Settings!$C$7/24,IFERROR(DATEVALUE(LEFT($G376,10))+TIMEVALUE(MID($G376,12,8))+Settings!$C$7/24,"")))</f>
        <v/>
      </c>
      <c r="Q376" s="39" t="str">
        <f t="shared" si="91"/>
        <v/>
      </c>
      <c r="R376" s="39" t="str">
        <f t="shared" si="92"/>
        <v/>
      </c>
      <c r="S376" s="107" t="str">
        <f t="shared" si="93"/>
        <v/>
      </c>
      <c r="T376" s="39" t="str">
        <f>IF($C376="","",IF(COUNTIF($C$2:$C376,$C376)=1,1,0))</f>
        <v/>
      </c>
      <c r="U376" s="39" t="str">
        <f>IF($T376=1,COUNTIF($T$2:$T376,1),"")</f>
        <v/>
      </c>
      <c r="V376" s="39" t="str">
        <f>IF($B376="","",IF(COUNTIF($B$2:$B376,$B376)=1,1,0))</f>
        <v/>
      </c>
      <c r="W376" s="39" t="str">
        <f>IF($V376=1,COUNTIF($V$2:$V376,1),"")</f>
        <v/>
      </c>
      <c r="X376" s="39" t="str">
        <f>IF($A376="","",IF(COUNTIF($A$2:$A376,$A376)=1,1,0))</f>
        <v/>
      </c>
      <c r="Y376" s="39" t="str">
        <f>IF($X376=1,COUNTIF($X$2:$X376,1),"")</f>
        <v/>
      </c>
      <c r="Z376" s="39">
        <f>IF(AND($E376="timed",$N376&gt;Settings!$C$8),1,0)</f>
        <v>0</v>
      </c>
      <c r="AA376" s="39">
        <f t="shared" si="94"/>
        <v>0</v>
      </c>
      <c r="AB376" s="39">
        <f t="shared" si="95"/>
        <v>0</v>
      </c>
      <c r="AC376" s="39" t="str">
        <f t="shared" si="96"/>
        <v/>
      </c>
      <c r="AD376" s="39" t="str">
        <f t="shared" si="97"/>
        <v/>
      </c>
      <c r="AE376" s="39" t="str">
        <f t="shared" si="98"/>
        <v/>
      </c>
      <c r="AF376" s="106" t="str">
        <f t="shared" si="99"/>
        <v/>
      </c>
      <c r="AG376" s="39">
        <f t="shared" si="100"/>
        <v>0</v>
      </c>
      <c r="AH376" s="39" t="str">
        <f t="shared" si="101"/>
        <v/>
      </c>
      <c r="AI376" s="39">
        <f>IF(AND($E376="timed",$N376&gt;=Settings!$C$9),1,0)</f>
        <v>0</v>
      </c>
      <c r="AJ376" s="39" t="str">
        <f>IF(OR($S376="",Settings!$C$16=""),"",IF($S376&lt;=Settings!$C$16,1,2))</f>
        <v/>
      </c>
      <c r="AK376" s="39" t="str">
        <f>IF($C376="","",IFERROR(IF(INDEX(Settings!$C$20:$C$59,MATCH($C376,Settings!$B$20:$B$59,0))="",Settings!$C$10,INDEX(Settings!$C$20:$C$59,MATCH($C376,Settings!$B$20:$B$59,0))),Settings!$C$10))</f>
        <v/>
      </c>
      <c r="AL376" s="108">
        <f t="shared" si="102"/>
        <v>0</v>
      </c>
      <c r="AM376" s="39" t="str">
        <f t="shared" si="103"/>
        <v/>
      </c>
      <c r="AN376" s="39" t="str">
        <f t="shared" si="104"/>
        <v/>
      </c>
      <c r="AO376" s="39" t="str">
        <f t="shared" si="105"/>
        <v/>
      </c>
      <c r="AP376" s="39">
        <f t="shared" si="106"/>
        <v>0</v>
      </c>
      <c r="AQ376" s="39">
        <f t="shared" si="107"/>
        <v>0</v>
      </c>
    </row>
    <row r="377" spans="14:43" x14ac:dyDescent="0.25">
      <c r="N377" s="105">
        <f t="shared" si="90"/>
        <v>0</v>
      </c>
      <c r="O377" s="106" t="str">
        <f>IF($F377="","",IF(ISNUMBER($F377),$F377+Settings!$C$7/24,IFERROR(DATEVALUE(LEFT($F377,10))+TIMEVALUE(MID($F377,12,8))+Settings!$C$7/24,"")))</f>
        <v/>
      </c>
      <c r="P377" s="106" t="str">
        <f>IF($G377="","",IF(ISNUMBER($G377),$G377+Settings!$C$7/24,IFERROR(DATEVALUE(LEFT($G377,10))+TIMEVALUE(MID($G377,12,8))+Settings!$C$7/24,"")))</f>
        <v/>
      </c>
      <c r="Q377" s="39" t="str">
        <f t="shared" si="91"/>
        <v/>
      </c>
      <c r="R377" s="39" t="str">
        <f t="shared" si="92"/>
        <v/>
      </c>
      <c r="S377" s="107" t="str">
        <f t="shared" si="93"/>
        <v/>
      </c>
      <c r="T377" s="39" t="str">
        <f>IF($C377="","",IF(COUNTIF($C$2:$C377,$C377)=1,1,0))</f>
        <v/>
      </c>
      <c r="U377" s="39" t="str">
        <f>IF($T377=1,COUNTIF($T$2:$T377,1),"")</f>
        <v/>
      </c>
      <c r="V377" s="39" t="str">
        <f>IF($B377="","",IF(COUNTIF($B$2:$B377,$B377)=1,1,0))</f>
        <v/>
      </c>
      <c r="W377" s="39" t="str">
        <f>IF($V377=1,COUNTIF($V$2:$V377,1),"")</f>
        <v/>
      </c>
      <c r="X377" s="39" t="str">
        <f>IF($A377="","",IF(COUNTIF($A$2:$A377,$A377)=1,1,0))</f>
        <v/>
      </c>
      <c r="Y377" s="39" t="str">
        <f>IF($X377=1,COUNTIF($X$2:$X377,1),"")</f>
        <v/>
      </c>
      <c r="Z377" s="39">
        <f>IF(AND($E377="timed",$N377&gt;Settings!$C$8),1,0)</f>
        <v>0</v>
      </c>
      <c r="AA377" s="39">
        <f t="shared" si="94"/>
        <v>0</v>
      </c>
      <c r="AB377" s="39">
        <f t="shared" si="95"/>
        <v>0</v>
      </c>
      <c r="AC377" s="39" t="str">
        <f t="shared" si="96"/>
        <v/>
      </c>
      <c r="AD377" s="39" t="str">
        <f t="shared" si="97"/>
        <v/>
      </c>
      <c r="AE377" s="39" t="str">
        <f t="shared" si="98"/>
        <v/>
      </c>
      <c r="AF377" s="106" t="str">
        <f t="shared" si="99"/>
        <v/>
      </c>
      <c r="AG377" s="39">
        <f t="shared" si="100"/>
        <v>0</v>
      </c>
      <c r="AH377" s="39" t="str">
        <f t="shared" si="101"/>
        <v/>
      </c>
      <c r="AI377" s="39">
        <f>IF(AND($E377="timed",$N377&gt;=Settings!$C$9),1,0)</f>
        <v>0</v>
      </c>
      <c r="AJ377" s="39" t="str">
        <f>IF(OR($S377="",Settings!$C$16=""),"",IF($S377&lt;=Settings!$C$16,1,2))</f>
        <v/>
      </c>
      <c r="AK377" s="39" t="str">
        <f>IF($C377="","",IFERROR(IF(INDEX(Settings!$C$20:$C$59,MATCH($C377,Settings!$B$20:$B$59,0))="",Settings!$C$10,INDEX(Settings!$C$20:$C$59,MATCH($C377,Settings!$B$20:$B$59,0))),Settings!$C$10))</f>
        <v/>
      </c>
      <c r="AL377" s="108">
        <f t="shared" si="102"/>
        <v>0</v>
      </c>
      <c r="AM377" s="39" t="str">
        <f t="shared" si="103"/>
        <v/>
      </c>
      <c r="AN377" s="39" t="str">
        <f t="shared" si="104"/>
        <v/>
      </c>
      <c r="AO377" s="39" t="str">
        <f t="shared" si="105"/>
        <v/>
      </c>
      <c r="AP377" s="39">
        <f t="shared" si="106"/>
        <v>0</v>
      </c>
      <c r="AQ377" s="39">
        <f t="shared" si="107"/>
        <v>0</v>
      </c>
    </row>
    <row r="378" spans="14:43" x14ac:dyDescent="0.25">
      <c r="N378" s="105">
        <f t="shared" si="90"/>
        <v>0</v>
      </c>
      <c r="O378" s="106" t="str">
        <f>IF($F378="","",IF(ISNUMBER($F378),$F378+Settings!$C$7/24,IFERROR(DATEVALUE(LEFT($F378,10))+TIMEVALUE(MID($F378,12,8))+Settings!$C$7/24,"")))</f>
        <v/>
      </c>
      <c r="P378" s="106" t="str">
        <f>IF($G378="","",IF(ISNUMBER($G378),$G378+Settings!$C$7/24,IFERROR(DATEVALUE(LEFT($G378,10))+TIMEVALUE(MID($G378,12,8))+Settings!$C$7/24,"")))</f>
        <v/>
      </c>
      <c r="Q378" s="39" t="str">
        <f t="shared" si="91"/>
        <v/>
      </c>
      <c r="R378" s="39" t="str">
        <f t="shared" si="92"/>
        <v/>
      </c>
      <c r="S378" s="107" t="str">
        <f t="shared" si="93"/>
        <v/>
      </c>
      <c r="T378" s="39" t="str">
        <f>IF($C378="","",IF(COUNTIF($C$2:$C378,$C378)=1,1,0))</f>
        <v/>
      </c>
      <c r="U378" s="39" t="str">
        <f>IF($T378=1,COUNTIF($T$2:$T378,1),"")</f>
        <v/>
      </c>
      <c r="V378" s="39" t="str">
        <f>IF($B378="","",IF(COUNTIF($B$2:$B378,$B378)=1,1,0))</f>
        <v/>
      </c>
      <c r="W378" s="39" t="str">
        <f>IF($V378=1,COUNTIF($V$2:$V378,1),"")</f>
        <v/>
      </c>
      <c r="X378" s="39" t="str">
        <f>IF($A378="","",IF(COUNTIF($A$2:$A378,$A378)=1,1,0))</f>
        <v/>
      </c>
      <c r="Y378" s="39" t="str">
        <f>IF($X378=1,COUNTIF($X$2:$X378,1),"")</f>
        <v/>
      </c>
      <c r="Z378" s="39">
        <f>IF(AND($E378="timed",$N378&gt;Settings!$C$8),1,0)</f>
        <v>0</v>
      </c>
      <c r="AA378" s="39">
        <f t="shared" si="94"/>
        <v>0</v>
      </c>
      <c r="AB378" s="39">
        <f t="shared" si="95"/>
        <v>0</v>
      </c>
      <c r="AC378" s="39" t="str">
        <f t="shared" si="96"/>
        <v/>
      </c>
      <c r="AD378" s="39" t="str">
        <f t="shared" si="97"/>
        <v/>
      </c>
      <c r="AE378" s="39" t="str">
        <f t="shared" si="98"/>
        <v/>
      </c>
      <c r="AF378" s="106" t="str">
        <f t="shared" si="99"/>
        <v/>
      </c>
      <c r="AG378" s="39">
        <f t="shared" si="100"/>
        <v>0</v>
      </c>
      <c r="AH378" s="39" t="str">
        <f t="shared" si="101"/>
        <v/>
      </c>
      <c r="AI378" s="39">
        <f>IF(AND($E378="timed",$N378&gt;=Settings!$C$9),1,0)</f>
        <v>0</v>
      </c>
      <c r="AJ378" s="39" t="str">
        <f>IF(OR($S378="",Settings!$C$16=""),"",IF($S378&lt;=Settings!$C$16,1,2))</f>
        <v/>
      </c>
      <c r="AK378" s="39" t="str">
        <f>IF($C378="","",IFERROR(IF(INDEX(Settings!$C$20:$C$59,MATCH($C378,Settings!$B$20:$B$59,0))="",Settings!$C$10,INDEX(Settings!$C$20:$C$59,MATCH($C378,Settings!$B$20:$B$59,0))),Settings!$C$10))</f>
        <v/>
      </c>
      <c r="AL378" s="108">
        <f t="shared" si="102"/>
        <v>0</v>
      </c>
      <c r="AM378" s="39" t="str">
        <f t="shared" si="103"/>
        <v/>
      </c>
      <c r="AN378" s="39" t="str">
        <f t="shared" si="104"/>
        <v/>
      </c>
      <c r="AO378" s="39" t="str">
        <f t="shared" si="105"/>
        <v/>
      </c>
      <c r="AP378" s="39">
        <f t="shared" si="106"/>
        <v>0</v>
      </c>
      <c r="AQ378" s="39">
        <f t="shared" si="107"/>
        <v>0</v>
      </c>
    </row>
    <row r="379" spans="14:43" x14ac:dyDescent="0.25">
      <c r="N379" s="105">
        <f t="shared" si="90"/>
        <v>0</v>
      </c>
      <c r="O379" s="106" t="str">
        <f>IF($F379="","",IF(ISNUMBER($F379),$F379+Settings!$C$7/24,IFERROR(DATEVALUE(LEFT($F379,10))+TIMEVALUE(MID($F379,12,8))+Settings!$C$7/24,"")))</f>
        <v/>
      </c>
      <c r="P379" s="106" t="str">
        <f>IF($G379="","",IF(ISNUMBER($G379),$G379+Settings!$C$7/24,IFERROR(DATEVALUE(LEFT($G379,10))+TIMEVALUE(MID($G379,12,8))+Settings!$C$7/24,"")))</f>
        <v/>
      </c>
      <c r="Q379" s="39" t="str">
        <f t="shared" si="91"/>
        <v/>
      </c>
      <c r="R379" s="39" t="str">
        <f t="shared" si="92"/>
        <v/>
      </c>
      <c r="S379" s="107" t="str">
        <f t="shared" si="93"/>
        <v/>
      </c>
      <c r="T379" s="39" t="str">
        <f>IF($C379="","",IF(COUNTIF($C$2:$C379,$C379)=1,1,0))</f>
        <v/>
      </c>
      <c r="U379" s="39" t="str">
        <f>IF($T379=1,COUNTIF($T$2:$T379,1),"")</f>
        <v/>
      </c>
      <c r="V379" s="39" t="str">
        <f>IF($B379="","",IF(COUNTIF($B$2:$B379,$B379)=1,1,0))</f>
        <v/>
      </c>
      <c r="W379" s="39" t="str">
        <f>IF($V379=1,COUNTIF($V$2:$V379,1),"")</f>
        <v/>
      </c>
      <c r="X379" s="39" t="str">
        <f>IF($A379="","",IF(COUNTIF($A$2:$A379,$A379)=1,1,0))</f>
        <v/>
      </c>
      <c r="Y379" s="39" t="str">
        <f>IF($X379=1,COUNTIF($X$2:$X379,1),"")</f>
        <v/>
      </c>
      <c r="Z379" s="39">
        <f>IF(AND($E379="timed",$N379&gt;Settings!$C$8),1,0)</f>
        <v>0</v>
      </c>
      <c r="AA379" s="39">
        <f t="shared" si="94"/>
        <v>0</v>
      </c>
      <c r="AB379" s="39">
        <f t="shared" si="95"/>
        <v>0</v>
      </c>
      <c r="AC379" s="39" t="str">
        <f t="shared" si="96"/>
        <v/>
      </c>
      <c r="AD379" s="39" t="str">
        <f t="shared" si="97"/>
        <v/>
      </c>
      <c r="AE379" s="39" t="str">
        <f t="shared" si="98"/>
        <v/>
      </c>
      <c r="AF379" s="106" t="str">
        <f t="shared" si="99"/>
        <v/>
      </c>
      <c r="AG379" s="39">
        <f t="shared" si="100"/>
        <v>0</v>
      </c>
      <c r="AH379" s="39" t="str">
        <f t="shared" si="101"/>
        <v/>
      </c>
      <c r="AI379" s="39">
        <f>IF(AND($E379="timed",$N379&gt;=Settings!$C$9),1,0)</f>
        <v>0</v>
      </c>
      <c r="AJ379" s="39" t="str">
        <f>IF(OR($S379="",Settings!$C$16=""),"",IF($S379&lt;=Settings!$C$16,1,2))</f>
        <v/>
      </c>
      <c r="AK379" s="39" t="str">
        <f>IF($C379="","",IFERROR(IF(INDEX(Settings!$C$20:$C$59,MATCH($C379,Settings!$B$20:$B$59,0))="",Settings!$C$10,INDEX(Settings!$C$20:$C$59,MATCH($C379,Settings!$B$20:$B$59,0))),Settings!$C$10))</f>
        <v/>
      </c>
      <c r="AL379" s="108">
        <f t="shared" si="102"/>
        <v>0</v>
      </c>
      <c r="AM379" s="39" t="str">
        <f t="shared" si="103"/>
        <v/>
      </c>
      <c r="AN379" s="39" t="str">
        <f t="shared" si="104"/>
        <v/>
      </c>
      <c r="AO379" s="39" t="str">
        <f t="shared" si="105"/>
        <v/>
      </c>
      <c r="AP379" s="39">
        <f t="shared" si="106"/>
        <v>0</v>
      </c>
      <c r="AQ379" s="39">
        <f t="shared" si="107"/>
        <v>0</v>
      </c>
    </row>
    <row r="380" spans="14:43" x14ac:dyDescent="0.25">
      <c r="N380" s="105">
        <f t="shared" si="90"/>
        <v>0</v>
      </c>
      <c r="O380" s="106" t="str">
        <f>IF($F380="","",IF(ISNUMBER($F380),$F380+Settings!$C$7/24,IFERROR(DATEVALUE(LEFT($F380,10))+TIMEVALUE(MID($F380,12,8))+Settings!$C$7/24,"")))</f>
        <v/>
      </c>
      <c r="P380" s="106" t="str">
        <f>IF($G380="","",IF(ISNUMBER($G380),$G380+Settings!$C$7/24,IFERROR(DATEVALUE(LEFT($G380,10))+TIMEVALUE(MID($G380,12,8))+Settings!$C$7/24,"")))</f>
        <v/>
      </c>
      <c r="Q380" s="39" t="str">
        <f t="shared" si="91"/>
        <v/>
      </c>
      <c r="R380" s="39" t="str">
        <f t="shared" si="92"/>
        <v/>
      </c>
      <c r="S380" s="107" t="str">
        <f t="shared" si="93"/>
        <v/>
      </c>
      <c r="T380" s="39" t="str">
        <f>IF($C380="","",IF(COUNTIF($C$2:$C380,$C380)=1,1,0))</f>
        <v/>
      </c>
      <c r="U380" s="39" t="str">
        <f>IF($T380=1,COUNTIF($T$2:$T380,1),"")</f>
        <v/>
      </c>
      <c r="V380" s="39" t="str">
        <f>IF($B380="","",IF(COUNTIF($B$2:$B380,$B380)=1,1,0))</f>
        <v/>
      </c>
      <c r="W380" s="39" t="str">
        <f>IF($V380=1,COUNTIF($V$2:$V380,1),"")</f>
        <v/>
      </c>
      <c r="X380" s="39" t="str">
        <f>IF($A380="","",IF(COUNTIF($A$2:$A380,$A380)=1,1,0))</f>
        <v/>
      </c>
      <c r="Y380" s="39" t="str">
        <f>IF($X380=1,COUNTIF($X$2:$X380,1),"")</f>
        <v/>
      </c>
      <c r="Z380" s="39">
        <f>IF(AND($E380="timed",$N380&gt;Settings!$C$8),1,0)</f>
        <v>0</v>
      </c>
      <c r="AA380" s="39">
        <f t="shared" si="94"/>
        <v>0</v>
      </c>
      <c r="AB380" s="39">
        <f t="shared" si="95"/>
        <v>0</v>
      </c>
      <c r="AC380" s="39" t="str">
        <f t="shared" si="96"/>
        <v/>
      </c>
      <c r="AD380" s="39" t="str">
        <f t="shared" si="97"/>
        <v/>
      </c>
      <c r="AE380" s="39" t="str">
        <f t="shared" si="98"/>
        <v/>
      </c>
      <c r="AF380" s="106" t="str">
        <f t="shared" si="99"/>
        <v/>
      </c>
      <c r="AG380" s="39">
        <f t="shared" si="100"/>
        <v>0</v>
      </c>
      <c r="AH380" s="39" t="str">
        <f t="shared" si="101"/>
        <v/>
      </c>
      <c r="AI380" s="39">
        <f>IF(AND($E380="timed",$N380&gt;=Settings!$C$9),1,0)</f>
        <v>0</v>
      </c>
      <c r="AJ380" s="39" t="str">
        <f>IF(OR($S380="",Settings!$C$16=""),"",IF($S380&lt;=Settings!$C$16,1,2))</f>
        <v/>
      </c>
      <c r="AK380" s="39" t="str">
        <f>IF($C380="","",IFERROR(IF(INDEX(Settings!$C$20:$C$59,MATCH($C380,Settings!$B$20:$B$59,0))="",Settings!$C$10,INDEX(Settings!$C$20:$C$59,MATCH($C380,Settings!$B$20:$B$59,0))),Settings!$C$10))</f>
        <v/>
      </c>
      <c r="AL380" s="108">
        <f t="shared" si="102"/>
        <v>0</v>
      </c>
      <c r="AM380" s="39" t="str">
        <f t="shared" si="103"/>
        <v/>
      </c>
      <c r="AN380" s="39" t="str">
        <f t="shared" si="104"/>
        <v/>
      </c>
      <c r="AO380" s="39" t="str">
        <f t="shared" si="105"/>
        <v/>
      </c>
      <c r="AP380" s="39">
        <f t="shared" si="106"/>
        <v>0</v>
      </c>
      <c r="AQ380" s="39">
        <f t="shared" si="107"/>
        <v>0</v>
      </c>
    </row>
    <row r="381" spans="14:43" x14ac:dyDescent="0.25">
      <c r="N381" s="105">
        <f t="shared" si="90"/>
        <v>0</v>
      </c>
      <c r="O381" s="106" t="str">
        <f>IF($F381="","",IF(ISNUMBER($F381),$F381+Settings!$C$7/24,IFERROR(DATEVALUE(LEFT($F381,10))+TIMEVALUE(MID($F381,12,8))+Settings!$C$7/24,"")))</f>
        <v/>
      </c>
      <c r="P381" s="106" t="str">
        <f>IF($G381="","",IF(ISNUMBER($G381),$G381+Settings!$C$7/24,IFERROR(DATEVALUE(LEFT($G381,10))+TIMEVALUE(MID($G381,12,8))+Settings!$C$7/24,"")))</f>
        <v/>
      </c>
      <c r="Q381" s="39" t="str">
        <f t="shared" si="91"/>
        <v/>
      </c>
      <c r="R381" s="39" t="str">
        <f t="shared" si="92"/>
        <v/>
      </c>
      <c r="S381" s="107" t="str">
        <f t="shared" si="93"/>
        <v/>
      </c>
      <c r="T381" s="39" t="str">
        <f>IF($C381="","",IF(COUNTIF($C$2:$C381,$C381)=1,1,0))</f>
        <v/>
      </c>
      <c r="U381" s="39" t="str">
        <f>IF($T381=1,COUNTIF($T$2:$T381,1),"")</f>
        <v/>
      </c>
      <c r="V381" s="39" t="str">
        <f>IF($B381="","",IF(COUNTIF($B$2:$B381,$B381)=1,1,0))</f>
        <v/>
      </c>
      <c r="W381" s="39" t="str">
        <f>IF($V381=1,COUNTIF($V$2:$V381,1),"")</f>
        <v/>
      </c>
      <c r="X381" s="39" t="str">
        <f>IF($A381="","",IF(COUNTIF($A$2:$A381,$A381)=1,1,0))</f>
        <v/>
      </c>
      <c r="Y381" s="39" t="str">
        <f>IF($X381=1,COUNTIF($X$2:$X381,1),"")</f>
        <v/>
      </c>
      <c r="Z381" s="39">
        <f>IF(AND($E381="timed",$N381&gt;Settings!$C$8),1,0)</f>
        <v>0</v>
      </c>
      <c r="AA381" s="39">
        <f t="shared" si="94"/>
        <v>0</v>
      </c>
      <c r="AB381" s="39">
        <f t="shared" si="95"/>
        <v>0</v>
      </c>
      <c r="AC381" s="39" t="str">
        <f t="shared" si="96"/>
        <v/>
      </c>
      <c r="AD381" s="39" t="str">
        <f t="shared" si="97"/>
        <v/>
      </c>
      <c r="AE381" s="39" t="str">
        <f t="shared" si="98"/>
        <v/>
      </c>
      <c r="AF381" s="106" t="str">
        <f t="shared" si="99"/>
        <v/>
      </c>
      <c r="AG381" s="39">
        <f t="shared" si="100"/>
        <v>0</v>
      </c>
      <c r="AH381" s="39" t="str">
        <f t="shared" si="101"/>
        <v/>
      </c>
      <c r="AI381" s="39">
        <f>IF(AND($E381="timed",$N381&gt;=Settings!$C$9),1,0)</f>
        <v>0</v>
      </c>
      <c r="AJ381" s="39" t="str">
        <f>IF(OR($S381="",Settings!$C$16=""),"",IF($S381&lt;=Settings!$C$16,1,2))</f>
        <v/>
      </c>
      <c r="AK381" s="39" t="str">
        <f>IF($C381="","",IFERROR(IF(INDEX(Settings!$C$20:$C$59,MATCH($C381,Settings!$B$20:$B$59,0))="",Settings!$C$10,INDEX(Settings!$C$20:$C$59,MATCH($C381,Settings!$B$20:$B$59,0))),Settings!$C$10))</f>
        <v/>
      </c>
      <c r="AL381" s="108">
        <f t="shared" si="102"/>
        <v>0</v>
      </c>
      <c r="AM381" s="39" t="str">
        <f t="shared" si="103"/>
        <v/>
      </c>
      <c r="AN381" s="39" t="str">
        <f t="shared" si="104"/>
        <v/>
      </c>
      <c r="AO381" s="39" t="str">
        <f t="shared" si="105"/>
        <v/>
      </c>
      <c r="AP381" s="39">
        <f t="shared" si="106"/>
        <v>0</v>
      </c>
      <c r="AQ381" s="39">
        <f t="shared" si="107"/>
        <v>0</v>
      </c>
    </row>
    <row r="382" spans="14:43" x14ac:dyDescent="0.25">
      <c r="N382" s="105">
        <f t="shared" si="90"/>
        <v>0</v>
      </c>
      <c r="O382" s="106" t="str">
        <f>IF($F382="","",IF(ISNUMBER($F382),$F382+Settings!$C$7/24,IFERROR(DATEVALUE(LEFT($F382,10))+TIMEVALUE(MID($F382,12,8))+Settings!$C$7/24,"")))</f>
        <v/>
      </c>
      <c r="P382" s="106" t="str">
        <f>IF($G382="","",IF(ISNUMBER($G382),$G382+Settings!$C$7/24,IFERROR(DATEVALUE(LEFT($G382,10))+TIMEVALUE(MID($G382,12,8))+Settings!$C$7/24,"")))</f>
        <v/>
      </c>
      <c r="Q382" s="39" t="str">
        <f t="shared" si="91"/>
        <v/>
      </c>
      <c r="R382" s="39" t="str">
        <f t="shared" si="92"/>
        <v/>
      </c>
      <c r="S382" s="107" t="str">
        <f t="shared" si="93"/>
        <v/>
      </c>
      <c r="T382" s="39" t="str">
        <f>IF($C382="","",IF(COUNTIF($C$2:$C382,$C382)=1,1,0))</f>
        <v/>
      </c>
      <c r="U382" s="39" t="str">
        <f>IF($T382=1,COUNTIF($T$2:$T382,1),"")</f>
        <v/>
      </c>
      <c r="V382" s="39" t="str">
        <f>IF($B382="","",IF(COUNTIF($B$2:$B382,$B382)=1,1,0))</f>
        <v/>
      </c>
      <c r="W382" s="39" t="str">
        <f>IF($V382=1,COUNTIF($V$2:$V382,1),"")</f>
        <v/>
      </c>
      <c r="X382" s="39" t="str">
        <f>IF($A382="","",IF(COUNTIF($A$2:$A382,$A382)=1,1,0))</f>
        <v/>
      </c>
      <c r="Y382" s="39" t="str">
        <f>IF($X382=1,COUNTIF($X$2:$X382,1),"")</f>
        <v/>
      </c>
      <c r="Z382" s="39">
        <f>IF(AND($E382="timed",$N382&gt;Settings!$C$8),1,0)</f>
        <v>0</v>
      </c>
      <c r="AA382" s="39">
        <f t="shared" si="94"/>
        <v>0</v>
      </c>
      <c r="AB382" s="39">
        <f t="shared" si="95"/>
        <v>0</v>
      </c>
      <c r="AC382" s="39" t="str">
        <f t="shared" si="96"/>
        <v/>
      </c>
      <c r="AD382" s="39" t="str">
        <f t="shared" si="97"/>
        <v/>
      </c>
      <c r="AE382" s="39" t="str">
        <f t="shared" si="98"/>
        <v/>
      </c>
      <c r="AF382" s="106" t="str">
        <f t="shared" si="99"/>
        <v/>
      </c>
      <c r="AG382" s="39">
        <f t="shared" si="100"/>
        <v>0</v>
      </c>
      <c r="AH382" s="39" t="str">
        <f t="shared" si="101"/>
        <v/>
      </c>
      <c r="AI382" s="39">
        <f>IF(AND($E382="timed",$N382&gt;=Settings!$C$9),1,0)</f>
        <v>0</v>
      </c>
      <c r="AJ382" s="39" t="str">
        <f>IF(OR($S382="",Settings!$C$16=""),"",IF($S382&lt;=Settings!$C$16,1,2))</f>
        <v/>
      </c>
      <c r="AK382" s="39" t="str">
        <f>IF($C382="","",IFERROR(IF(INDEX(Settings!$C$20:$C$59,MATCH($C382,Settings!$B$20:$B$59,0))="",Settings!$C$10,INDEX(Settings!$C$20:$C$59,MATCH($C382,Settings!$B$20:$B$59,0))),Settings!$C$10))</f>
        <v/>
      </c>
      <c r="AL382" s="108">
        <f t="shared" si="102"/>
        <v>0</v>
      </c>
      <c r="AM382" s="39" t="str">
        <f t="shared" si="103"/>
        <v/>
      </c>
      <c r="AN382" s="39" t="str">
        <f t="shared" si="104"/>
        <v/>
      </c>
      <c r="AO382" s="39" t="str">
        <f t="shared" si="105"/>
        <v/>
      </c>
      <c r="AP382" s="39">
        <f t="shared" si="106"/>
        <v>0</v>
      </c>
      <c r="AQ382" s="39">
        <f t="shared" si="107"/>
        <v>0</v>
      </c>
    </row>
    <row r="383" spans="14:43" x14ac:dyDescent="0.25">
      <c r="N383" s="105">
        <f t="shared" si="90"/>
        <v>0</v>
      </c>
      <c r="O383" s="106" t="str">
        <f>IF($F383="","",IF(ISNUMBER($F383),$F383+Settings!$C$7/24,IFERROR(DATEVALUE(LEFT($F383,10))+TIMEVALUE(MID($F383,12,8))+Settings!$C$7/24,"")))</f>
        <v/>
      </c>
      <c r="P383" s="106" t="str">
        <f>IF($G383="","",IF(ISNUMBER($G383),$G383+Settings!$C$7/24,IFERROR(DATEVALUE(LEFT($G383,10))+TIMEVALUE(MID($G383,12,8))+Settings!$C$7/24,"")))</f>
        <v/>
      </c>
      <c r="Q383" s="39" t="str">
        <f t="shared" si="91"/>
        <v/>
      </c>
      <c r="R383" s="39" t="str">
        <f t="shared" si="92"/>
        <v/>
      </c>
      <c r="S383" s="107" t="str">
        <f t="shared" si="93"/>
        <v/>
      </c>
      <c r="T383" s="39" t="str">
        <f>IF($C383="","",IF(COUNTIF($C$2:$C383,$C383)=1,1,0))</f>
        <v/>
      </c>
      <c r="U383" s="39" t="str">
        <f>IF($T383=1,COUNTIF($T$2:$T383,1),"")</f>
        <v/>
      </c>
      <c r="V383" s="39" t="str">
        <f>IF($B383="","",IF(COUNTIF($B$2:$B383,$B383)=1,1,0))</f>
        <v/>
      </c>
      <c r="W383" s="39" t="str">
        <f>IF($V383=1,COUNTIF($V$2:$V383,1),"")</f>
        <v/>
      </c>
      <c r="X383" s="39" t="str">
        <f>IF($A383="","",IF(COUNTIF($A$2:$A383,$A383)=1,1,0))</f>
        <v/>
      </c>
      <c r="Y383" s="39" t="str">
        <f>IF($X383=1,COUNTIF($X$2:$X383,1),"")</f>
        <v/>
      </c>
      <c r="Z383" s="39">
        <f>IF(AND($E383="timed",$N383&gt;Settings!$C$8),1,0)</f>
        <v>0</v>
      </c>
      <c r="AA383" s="39">
        <f t="shared" si="94"/>
        <v>0</v>
      </c>
      <c r="AB383" s="39">
        <f t="shared" si="95"/>
        <v>0</v>
      </c>
      <c r="AC383" s="39" t="str">
        <f t="shared" si="96"/>
        <v/>
      </c>
      <c r="AD383" s="39" t="str">
        <f t="shared" si="97"/>
        <v/>
      </c>
      <c r="AE383" s="39" t="str">
        <f t="shared" si="98"/>
        <v/>
      </c>
      <c r="AF383" s="106" t="str">
        <f t="shared" si="99"/>
        <v/>
      </c>
      <c r="AG383" s="39">
        <f t="shared" si="100"/>
        <v>0</v>
      </c>
      <c r="AH383" s="39" t="str">
        <f t="shared" si="101"/>
        <v/>
      </c>
      <c r="AI383" s="39">
        <f>IF(AND($E383="timed",$N383&gt;=Settings!$C$9),1,0)</f>
        <v>0</v>
      </c>
      <c r="AJ383" s="39" t="str">
        <f>IF(OR($S383="",Settings!$C$16=""),"",IF($S383&lt;=Settings!$C$16,1,2))</f>
        <v/>
      </c>
      <c r="AK383" s="39" t="str">
        <f>IF($C383="","",IFERROR(IF(INDEX(Settings!$C$20:$C$59,MATCH($C383,Settings!$B$20:$B$59,0))="",Settings!$C$10,INDEX(Settings!$C$20:$C$59,MATCH($C383,Settings!$B$20:$B$59,0))),Settings!$C$10))</f>
        <v/>
      </c>
      <c r="AL383" s="108">
        <f t="shared" si="102"/>
        <v>0</v>
      </c>
      <c r="AM383" s="39" t="str">
        <f t="shared" si="103"/>
        <v/>
      </c>
      <c r="AN383" s="39" t="str">
        <f t="shared" si="104"/>
        <v/>
      </c>
      <c r="AO383" s="39" t="str">
        <f t="shared" si="105"/>
        <v/>
      </c>
      <c r="AP383" s="39">
        <f t="shared" si="106"/>
        <v>0</v>
      </c>
      <c r="AQ383" s="39">
        <f t="shared" si="107"/>
        <v>0</v>
      </c>
    </row>
    <row r="384" spans="14:43" x14ac:dyDescent="0.25">
      <c r="N384" s="105">
        <f t="shared" si="90"/>
        <v>0</v>
      </c>
      <c r="O384" s="106" t="str">
        <f>IF($F384="","",IF(ISNUMBER($F384),$F384+Settings!$C$7/24,IFERROR(DATEVALUE(LEFT($F384,10))+TIMEVALUE(MID($F384,12,8))+Settings!$C$7/24,"")))</f>
        <v/>
      </c>
      <c r="P384" s="106" t="str">
        <f>IF($G384="","",IF(ISNUMBER($G384),$G384+Settings!$C$7/24,IFERROR(DATEVALUE(LEFT($G384,10))+TIMEVALUE(MID($G384,12,8))+Settings!$C$7/24,"")))</f>
        <v/>
      </c>
      <c r="Q384" s="39" t="str">
        <f t="shared" si="91"/>
        <v/>
      </c>
      <c r="R384" s="39" t="str">
        <f t="shared" si="92"/>
        <v/>
      </c>
      <c r="S384" s="107" t="str">
        <f t="shared" si="93"/>
        <v/>
      </c>
      <c r="T384" s="39" t="str">
        <f>IF($C384="","",IF(COUNTIF($C$2:$C384,$C384)=1,1,0))</f>
        <v/>
      </c>
      <c r="U384" s="39" t="str">
        <f>IF($T384=1,COUNTIF($T$2:$T384,1),"")</f>
        <v/>
      </c>
      <c r="V384" s="39" t="str">
        <f>IF($B384="","",IF(COUNTIF($B$2:$B384,$B384)=1,1,0))</f>
        <v/>
      </c>
      <c r="W384" s="39" t="str">
        <f>IF($V384=1,COUNTIF($V$2:$V384,1),"")</f>
        <v/>
      </c>
      <c r="X384" s="39" t="str">
        <f>IF($A384="","",IF(COUNTIF($A$2:$A384,$A384)=1,1,0))</f>
        <v/>
      </c>
      <c r="Y384" s="39" t="str">
        <f>IF($X384=1,COUNTIF($X$2:$X384,1),"")</f>
        <v/>
      </c>
      <c r="Z384" s="39">
        <f>IF(AND($E384="timed",$N384&gt;Settings!$C$8),1,0)</f>
        <v>0</v>
      </c>
      <c r="AA384" s="39">
        <f t="shared" si="94"/>
        <v>0</v>
      </c>
      <c r="AB384" s="39">
        <f t="shared" si="95"/>
        <v>0</v>
      </c>
      <c r="AC384" s="39" t="str">
        <f t="shared" si="96"/>
        <v/>
      </c>
      <c r="AD384" s="39" t="str">
        <f t="shared" si="97"/>
        <v/>
      </c>
      <c r="AE384" s="39" t="str">
        <f t="shared" si="98"/>
        <v/>
      </c>
      <c r="AF384" s="106" t="str">
        <f t="shared" si="99"/>
        <v/>
      </c>
      <c r="AG384" s="39">
        <f t="shared" si="100"/>
        <v>0</v>
      </c>
      <c r="AH384" s="39" t="str">
        <f t="shared" si="101"/>
        <v/>
      </c>
      <c r="AI384" s="39">
        <f>IF(AND($E384="timed",$N384&gt;=Settings!$C$9),1,0)</f>
        <v>0</v>
      </c>
      <c r="AJ384" s="39" t="str">
        <f>IF(OR($S384="",Settings!$C$16=""),"",IF($S384&lt;=Settings!$C$16,1,2))</f>
        <v/>
      </c>
      <c r="AK384" s="39" t="str">
        <f>IF($C384="","",IFERROR(IF(INDEX(Settings!$C$20:$C$59,MATCH($C384,Settings!$B$20:$B$59,0))="",Settings!$C$10,INDEX(Settings!$C$20:$C$59,MATCH($C384,Settings!$B$20:$B$59,0))),Settings!$C$10))</f>
        <v/>
      </c>
      <c r="AL384" s="108">
        <f t="shared" si="102"/>
        <v>0</v>
      </c>
      <c r="AM384" s="39" t="str">
        <f t="shared" si="103"/>
        <v/>
      </c>
      <c r="AN384" s="39" t="str">
        <f t="shared" si="104"/>
        <v/>
      </c>
      <c r="AO384" s="39" t="str">
        <f t="shared" si="105"/>
        <v/>
      </c>
      <c r="AP384" s="39">
        <f t="shared" si="106"/>
        <v>0</v>
      </c>
      <c r="AQ384" s="39">
        <f t="shared" si="107"/>
        <v>0</v>
      </c>
    </row>
    <row r="385" spans="14:43" x14ac:dyDescent="0.25">
      <c r="N385" s="105">
        <f t="shared" si="90"/>
        <v>0</v>
      </c>
      <c r="O385" s="106" t="str">
        <f>IF($F385="","",IF(ISNUMBER($F385),$F385+Settings!$C$7/24,IFERROR(DATEVALUE(LEFT($F385,10))+TIMEVALUE(MID($F385,12,8))+Settings!$C$7/24,"")))</f>
        <v/>
      </c>
      <c r="P385" s="106" t="str">
        <f>IF($G385="","",IF(ISNUMBER($G385),$G385+Settings!$C$7/24,IFERROR(DATEVALUE(LEFT($G385,10))+TIMEVALUE(MID($G385,12,8))+Settings!$C$7/24,"")))</f>
        <v/>
      </c>
      <c r="Q385" s="39" t="str">
        <f t="shared" si="91"/>
        <v/>
      </c>
      <c r="R385" s="39" t="str">
        <f t="shared" si="92"/>
        <v/>
      </c>
      <c r="S385" s="107" t="str">
        <f t="shared" si="93"/>
        <v/>
      </c>
      <c r="T385" s="39" t="str">
        <f>IF($C385="","",IF(COUNTIF($C$2:$C385,$C385)=1,1,0))</f>
        <v/>
      </c>
      <c r="U385" s="39" t="str">
        <f>IF($T385=1,COUNTIF($T$2:$T385,1),"")</f>
        <v/>
      </c>
      <c r="V385" s="39" t="str">
        <f>IF($B385="","",IF(COUNTIF($B$2:$B385,$B385)=1,1,0))</f>
        <v/>
      </c>
      <c r="W385" s="39" t="str">
        <f>IF($V385=1,COUNTIF($V$2:$V385,1),"")</f>
        <v/>
      </c>
      <c r="X385" s="39" t="str">
        <f>IF($A385="","",IF(COUNTIF($A$2:$A385,$A385)=1,1,0))</f>
        <v/>
      </c>
      <c r="Y385" s="39" t="str">
        <f>IF($X385=1,COUNTIF($X$2:$X385,1),"")</f>
        <v/>
      </c>
      <c r="Z385" s="39">
        <f>IF(AND($E385="timed",$N385&gt;Settings!$C$8),1,0)</f>
        <v>0</v>
      </c>
      <c r="AA385" s="39">
        <f t="shared" si="94"/>
        <v>0</v>
      </c>
      <c r="AB385" s="39">
        <f t="shared" si="95"/>
        <v>0</v>
      </c>
      <c r="AC385" s="39" t="str">
        <f t="shared" si="96"/>
        <v/>
      </c>
      <c r="AD385" s="39" t="str">
        <f t="shared" si="97"/>
        <v/>
      </c>
      <c r="AE385" s="39" t="str">
        <f t="shared" si="98"/>
        <v/>
      </c>
      <c r="AF385" s="106" t="str">
        <f t="shared" si="99"/>
        <v/>
      </c>
      <c r="AG385" s="39">
        <f t="shared" si="100"/>
        <v>0</v>
      </c>
      <c r="AH385" s="39" t="str">
        <f t="shared" si="101"/>
        <v/>
      </c>
      <c r="AI385" s="39">
        <f>IF(AND($E385="timed",$N385&gt;=Settings!$C$9),1,0)</f>
        <v>0</v>
      </c>
      <c r="AJ385" s="39" t="str">
        <f>IF(OR($S385="",Settings!$C$16=""),"",IF($S385&lt;=Settings!$C$16,1,2))</f>
        <v/>
      </c>
      <c r="AK385" s="39" t="str">
        <f>IF($C385="","",IFERROR(IF(INDEX(Settings!$C$20:$C$59,MATCH($C385,Settings!$B$20:$B$59,0))="",Settings!$C$10,INDEX(Settings!$C$20:$C$59,MATCH($C385,Settings!$B$20:$B$59,0))),Settings!$C$10))</f>
        <v/>
      </c>
      <c r="AL385" s="108">
        <f t="shared" si="102"/>
        <v>0</v>
      </c>
      <c r="AM385" s="39" t="str">
        <f t="shared" si="103"/>
        <v/>
      </c>
      <c r="AN385" s="39" t="str">
        <f t="shared" si="104"/>
        <v/>
      </c>
      <c r="AO385" s="39" t="str">
        <f t="shared" si="105"/>
        <v/>
      </c>
      <c r="AP385" s="39">
        <f t="shared" si="106"/>
        <v>0</v>
      </c>
      <c r="AQ385" s="39">
        <f t="shared" si="107"/>
        <v>0</v>
      </c>
    </row>
    <row r="386" spans="14:43" x14ac:dyDescent="0.25">
      <c r="N386" s="105">
        <f t="shared" ref="N386:N449" si="108">IF($E386&lt;&gt;"timed",0,IF(ISNUMBER($H386),$H386,IFERROR(VALUE($H386),0)))</f>
        <v>0</v>
      </c>
      <c r="O386" s="106" t="str">
        <f>IF($F386="","",IF(ISNUMBER($F386),$F386+Settings!$C$7/24,IFERROR(DATEVALUE(LEFT($F386,10))+TIMEVALUE(MID($F386,12,8))+Settings!$C$7/24,"")))</f>
        <v/>
      </c>
      <c r="P386" s="106" t="str">
        <f>IF($G386="","",IF(ISNUMBER($G386),$G386+Settings!$C$7/24,IFERROR(DATEVALUE(LEFT($G386,10))+TIMEVALUE(MID($G386,12,8))+Settings!$C$7/24,"")))</f>
        <v/>
      </c>
      <c r="Q386" s="39" t="str">
        <f t="shared" ref="Q386:Q449" si="109">IF($O386="","",HOUR($O386))</f>
        <v/>
      </c>
      <c r="R386" s="39" t="str">
        <f t="shared" ref="R386:R449" si="110">IF($O386="","",WEEKDAY($O386,2))</f>
        <v/>
      </c>
      <c r="S386" s="107" t="str">
        <f t="shared" ref="S386:S449" si="111">IF($A386="","",IF(ISNUMBER($A386),INT($A386),IFERROR(DATEVALUE($A386),"")))</f>
        <v/>
      </c>
      <c r="T386" s="39" t="str">
        <f>IF($C386="","",IF(COUNTIF($C$2:$C386,$C386)=1,1,0))</f>
        <v/>
      </c>
      <c r="U386" s="39" t="str">
        <f>IF($T386=1,COUNTIF($T$2:$T386,1),"")</f>
        <v/>
      </c>
      <c r="V386" s="39" t="str">
        <f>IF($B386="","",IF(COUNTIF($B$2:$B386,$B386)=1,1,0))</f>
        <v/>
      </c>
      <c r="W386" s="39" t="str">
        <f>IF($V386=1,COUNTIF($V$2:$V386,1),"")</f>
        <v/>
      </c>
      <c r="X386" s="39" t="str">
        <f>IF($A386="","",IF(COUNTIF($A$2:$A386,$A386)=1,1,0))</f>
        <v/>
      </c>
      <c r="Y386" s="39" t="str">
        <f>IF($X386=1,COUNTIF($X$2:$X386,1),"")</f>
        <v/>
      </c>
      <c r="Z386" s="39">
        <f>IF(AND($E386="timed",$N386&gt;Settings!$C$8),1,0)</f>
        <v>0</v>
      </c>
      <c r="AA386" s="39">
        <f t="shared" ref="AA386:AA449" si="112">IF(AND($E386="timed",$G386=""),1,0)</f>
        <v>0</v>
      </c>
      <c r="AB386" s="39">
        <f t="shared" ref="AB386:AB449" si="113">IF($E386&lt;&gt;"timed",0,IF(ISNUMBER($I386),$I386,IFERROR(VALUE($I386),0)))</f>
        <v>0</v>
      </c>
      <c r="AC386" s="39" t="str">
        <f t="shared" ref="AC386:AC449" si="114">IF(OR($E386&lt;&gt;"timed",$O386=""),"",ROUND($O386*86400,0)*10000+ROW())</f>
        <v/>
      </c>
      <c r="AD386" s="39" t="str">
        <f t="shared" ref="AD386:AD449" si="115">IF($AC386="","",COUNTIF($AC$2:$AC$1201,"&lt;"&amp;$AC386)+1)</f>
        <v/>
      </c>
      <c r="AE386" s="39" t="str">
        <f t="shared" ref="AE386:AE449" si="116">IF($AD386="","",IFERROR(IF(INDEX($S$2:$S$1201,MATCH($AD386-1,$AD$2:$AD$1201,0))=$S386,INDEX($C$2:$C$1201,MATCH($AD386-1,$AD$2:$AD$1201,0)),""),""))</f>
        <v/>
      </c>
      <c r="AF386" s="106" t="str">
        <f t="shared" ref="AF386:AF449" si="117">IF($AD386="","",IFERROR(IF(INDEX($S$2:$S$1201,MATCH($AD386-1,$AD$2:$AD$1201,0))=$S386,INDEX($P$2:$P$1201,MATCH($AD386-1,$AD$2:$AD$1201,0)),""),""))</f>
        <v/>
      </c>
      <c r="AG386" s="39">
        <f t="shared" ref="AG386:AG449" si="118">IF(OR($E386&lt;&gt;"timed",$AE386=""),0,IF($AE386=$C386,0,1))</f>
        <v>0</v>
      </c>
      <c r="AH386" s="39" t="str">
        <f t="shared" ref="AH386:AH449" si="119">IF(OR($AF386="",$O386=""),"",MAX(0,ROUND(($O386-$AF386)*1440,0)))</f>
        <v/>
      </c>
      <c r="AI386" s="39">
        <f>IF(AND($E386="timed",$N386&gt;=Settings!$C$9),1,0)</f>
        <v>0</v>
      </c>
      <c r="AJ386" s="39" t="str">
        <f>IF(OR($S386="",Settings!$C$16=""),"",IF($S386&lt;=Settings!$C$16,1,2))</f>
        <v/>
      </c>
      <c r="AK386" s="39" t="str">
        <f>IF($C386="","",IFERROR(IF(INDEX(Settings!$C$20:$C$59,MATCH($C386,Settings!$B$20:$B$59,0))="",Settings!$C$10,INDEX(Settings!$C$20:$C$59,MATCH($C386,Settings!$B$20:$B$59,0))),Settings!$C$10))</f>
        <v/>
      </c>
      <c r="AL386" s="108">
        <f t="shared" ref="AL386:AL449" si="120">IF(OR($N386=0,$AK386=""),0,ROUND($N386/60*$AK386,2))</f>
        <v>0</v>
      </c>
      <c r="AM386" s="39" t="str">
        <f t="shared" ref="AM386:AM449" si="121">IF($AD386="","",IFERROR(INDEX($S$2:$S$1201,MATCH($AD386-1,$AD$2:$AD$1201,0)),""))</f>
        <v/>
      </c>
      <c r="AN386" s="39" t="str">
        <f t="shared" ref="AN386:AN449" si="122">IF($Z386=1,$N386+ROW()/1000000,"")</f>
        <v/>
      </c>
      <c r="AO386" s="39" t="str">
        <f t="shared" ref="AO386:AO449" si="123">IF(OR($E386&lt;&gt;"timed",$P386=""),"",ROUND($P386*86400,0)*10000+ROW())</f>
        <v/>
      </c>
      <c r="AP386" s="39">
        <f t="shared" ref="AP386:AP449" si="124">IF($AC386="",0,IF(COUNTIFS($S$2:$S$1201,$S386,$AC$2:$AC$1201,"&lt;"&amp;$AC386)=0,1,0))</f>
        <v>0</v>
      </c>
      <c r="AQ386" s="39">
        <f t="shared" ref="AQ386:AQ449" si="125">IF($AO386="",0,IF(COUNTIFS($S$2:$S$1201,$S386,$AO$2:$AO$1201,"&gt;"&amp;$AO386)=0,1,0))</f>
        <v>0</v>
      </c>
    </row>
    <row r="387" spans="14:43" x14ac:dyDescent="0.25">
      <c r="N387" s="105">
        <f t="shared" si="108"/>
        <v>0</v>
      </c>
      <c r="O387" s="106" t="str">
        <f>IF($F387="","",IF(ISNUMBER($F387),$F387+Settings!$C$7/24,IFERROR(DATEVALUE(LEFT($F387,10))+TIMEVALUE(MID($F387,12,8))+Settings!$C$7/24,"")))</f>
        <v/>
      </c>
      <c r="P387" s="106" t="str">
        <f>IF($G387="","",IF(ISNUMBER($G387),$G387+Settings!$C$7/24,IFERROR(DATEVALUE(LEFT($G387,10))+TIMEVALUE(MID($G387,12,8))+Settings!$C$7/24,"")))</f>
        <v/>
      </c>
      <c r="Q387" s="39" t="str">
        <f t="shared" si="109"/>
        <v/>
      </c>
      <c r="R387" s="39" t="str">
        <f t="shared" si="110"/>
        <v/>
      </c>
      <c r="S387" s="107" t="str">
        <f t="shared" si="111"/>
        <v/>
      </c>
      <c r="T387" s="39" t="str">
        <f>IF($C387="","",IF(COUNTIF($C$2:$C387,$C387)=1,1,0))</f>
        <v/>
      </c>
      <c r="U387" s="39" t="str">
        <f>IF($T387=1,COUNTIF($T$2:$T387,1),"")</f>
        <v/>
      </c>
      <c r="V387" s="39" t="str">
        <f>IF($B387="","",IF(COUNTIF($B$2:$B387,$B387)=1,1,0))</f>
        <v/>
      </c>
      <c r="W387" s="39" t="str">
        <f>IF($V387=1,COUNTIF($V$2:$V387,1),"")</f>
        <v/>
      </c>
      <c r="X387" s="39" t="str">
        <f>IF($A387="","",IF(COUNTIF($A$2:$A387,$A387)=1,1,0))</f>
        <v/>
      </c>
      <c r="Y387" s="39" t="str">
        <f>IF($X387=1,COUNTIF($X$2:$X387,1),"")</f>
        <v/>
      </c>
      <c r="Z387" s="39">
        <f>IF(AND($E387="timed",$N387&gt;Settings!$C$8),1,0)</f>
        <v>0</v>
      </c>
      <c r="AA387" s="39">
        <f t="shared" si="112"/>
        <v>0</v>
      </c>
      <c r="AB387" s="39">
        <f t="shared" si="113"/>
        <v>0</v>
      </c>
      <c r="AC387" s="39" t="str">
        <f t="shared" si="114"/>
        <v/>
      </c>
      <c r="AD387" s="39" t="str">
        <f t="shared" si="115"/>
        <v/>
      </c>
      <c r="AE387" s="39" t="str">
        <f t="shared" si="116"/>
        <v/>
      </c>
      <c r="AF387" s="106" t="str">
        <f t="shared" si="117"/>
        <v/>
      </c>
      <c r="AG387" s="39">
        <f t="shared" si="118"/>
        <v>0</v>
      </c>
      <c r="AH387" s="39" t="str">
        <f t="shared" si="119"/>
        <v/>
      </c>
      <c r="AI387" s="39">
        <f>IF(AND($E387="timed",$N387&gt;=Settings!$C$9),1,0)</f>
        <v>0</v>
      </c>
      <c r="AJ387" s="39" t="str">
        <f>IF(OR($S387="",Settings!$C$16=""),"",IF($S387&lt;=Settings!$C$16,1,2))</f>
        <v/>
      </c>
      <c r="AK387" s="39" t="str">
        <f>IF($C387="","",IFERROR(IF(INDEX(Settings!$C$20:$C$59,MATCH($C387,Settings!$B$20:$B$59,0))="",Settings!$C$10,INDEX(Settings!$C$20:$C$59,MATCH($C387,Settings!$B$20:$B$59,0))),Settings!$C$10))</f>
        <v/>
      </c>
      <c r="AL387" s="108">
        <f t="shared" si="120"/>
        <v>0</v>
      </c>
      <c r="AM387" s="39" t="str">
        <f t="shared" si="121"/>
        <v/>
      </c>
      <c r="AN387" s="39" t="str">
        <f t="shared" si="122"/>
        <v/>
      </c>
      <c r="AO387" s="39" t="str">
        <f t="shared" si="123"/>
        <v/>
      </c>
      <c r="AP387" s="39">
        <f t="shared" si="124"/>
        <v>0</v>
      </c>
      <c r="AQ387" s="39">
        <f t="shared" si="125"/>
        <v>0</v>
      </c>
    </row>
    <row r="388" spans="14:43" x14ac:dyDescent="0.25">
      <c r="N388" s="105">
        <f t="shared" si="108"/>
        <v>0</v>
      </c>
      <c r="O388" s="106" t="str">
        <f>IF($F388="","",IF(ISNUMBER($F388),$F388+Settings!$C$7/24,IFERROR(DATEVALUE(LEFT($F388,10))+TIMEVALUE(MID($F388,12,8))+Settings!$C$7/24,"")))</f>
        <v/>
      </c>
      <c r="P388" s="106" t="str">
        <f>IF($G388="","",IF(ISNUMBER($G388),$G388+Settings!$C$7/24,IFERROR(DATEVALUE(LEFT($G388,10))+TIMEVALUE(MID($G388,12,8))+Settings!$C$7/24,"")))</f>
        <v/>
      </c>
      <c r="Q388" s="39" t="str">
        <f t="shared" si="109"/>
        <v/>
      </c>
      <c r="R388" s="39" t="str">
        <f t="shared" si="110"/>
        <v/>
      </c>
      <c r="S388" s="107" t="str">
        <f t="shared" si="111"/>
        <v/>
      </c>
      <c r="T388" s="39" t="str">
        <f>IF($C388="","",IF(COUNTIF($C$2:$C388,$C388)=1,1,0))</f>
        <v/>
      </c>
      <c r="U388" s="39" t="str">
        <f>IF($T388=1,COUNTIF($T$2:$T388,1),"")</f>
        <v/>
      </c>
      <c r="V388" s="39" t="str">
        <f>IF($B388="","",IF(COUNTIF($B$2:$B388,$B388)=1,1,0))</f>
        <v/>
      </c>
      <c r="W388" s="39" t="str">
        <f>IF($V388=1,COUNTIF($V$2:$V388,1),"")</f>
        <v/>
      </c>
      <c r="X388" s="39" t="str">
        <f>IF($A388="","",IF(COUNTIF($A$2:$A388,$A388)=1,1,0))</f>
        <v/>
      </c>
      <c r="Y388" s="39" t="str">
        <f>IF($X388=1,COUNTIF($X$2:$X388,1),"")</f>
        <v/>
      </c>
      <c r="Z388" s="39">
        <f>IF(AND($E388="timed",$N388&gt;Settings!$C$8),1,0)</f>
        <v>0</v>
      </c>
      <c r="AA388" s="39">
        <f t="shared" si="112"/>
        <v>0</v>
      </c>
      <c r="AB388" s="39">
        <f t="shared" si="113"/>
        <v>0</v>
      </c>
      <c r="AC388" s="39" t="str">
        <f t="shared" si="114"/>
        <v/>
      </c>
      <c r="AD388" s="39" t="str">
        <f t="shared" si="115"/>
        <v/>
      </c>
      <c r="AE388" s="39" t="str">
        <f t="shared" si="116"/>
        <v/>
      </c>
      <c r="AF388" s="106" t="str">
        <f t="shared" si="117"/>
        <v/>
      </c>
      <c r="AG388" s="39">
        <f t="shared" si="118"/>
        <v>0</v>
      </c>
      <c r="AH388" s="39" t="str">
        <f t="shared" si="119"/>
        <v/>
      </c>
      <c r="AI388" s="39">
        <f>IF(AND($E388="timed",$N388&gt;=Settings!$C$9),1,0)</f>
        <v>0</v>
      </c>
      <c r="AJ388" s="39" t="str">
        <f>IF(OR($S388="",Settings!$C$16=""),"",IF($S388&lt;=Settings!$C$16,1,2))</f>
        <v/>
      </c>
      <c r="AK388" s="39" t="str">
        <f>IF($C388="","",IFERROR(IF(INDEX(Settings!$C$20:$C$59,MATCH($C388,Settings!$B$20:$B$59,0))="",Settings!$C$10,INDEX(Settings!$C$20:$C$59,MATCH($C388,Settings!$B$20:$B$59,0))),Settings!$C$10))</f>
        <v/>
      </c>
      <c r="AL388" s="108">
        <f t="shared" si="120"/>
        <v>0</v>
      </c>
      <c r="AM388" s="39" t="str">
        <f t="shared" si="121"/>
        <v/>
      </c>
      <c r="AN388" s="39" t="str">
        <f t="shared" si="122"/>
        <v/>
      </c>
      <c r="AO388" s="39" t="str">
        <f t="shared" si="123"/>
        <v/>
      </c>
      <c r="AP388" s="39">
        <f t="shared" si="124"/>
        <v>0</v>
      </c>
      <c r="AQ388" s="39">
        <f t="shared" si="125"/>
        <v>0</v>
      </c>
    </row>
    <row r="389" spans="14:43" x14ac:dyDescent="0.25">
      <c r="N389" s="105">
        <f t="shared" si="108"/>
        <v>0</v>
      </c>
      <c r="O389" s="106" t="str">
        <f>IF($F389="","",IF(ISNUMBER($F389),$F389+Settings!$C$7/24,IFERROR(DATEVALUE(LEFT($F389,10))+TIMEVALUE(MID($F389,12,8))+Settings!$C$7/24,"")))</f>
        <v/>
      </c>
      <c r="P389" s="106" t="str">
        <f>IF($G389="","",IF(ISNUMBER($G389),$G389+Settings!$C$7/24,IFERROR(DATEVALUE(LEFT($G389,10))+TIMEVALUE(MID($G389,12,8))+Settings!$C$7/24,"")))</f>
        <v/>
      </c>
      <c r="Q389" s="39" t="str">
        <f t="shared" si="109"/>
        <v/>
      </c>
      <c r="R389" s="39" t="str">
        <f t="shared" si="110"/>
        <v/>
      </c>
      <c r="S389" s="107" t="str">
        <f t="shared" si="111"/>
        <v/>
      </c>
      <c r="T389" s="39" t="str">
        <f>IF($C389="","",IF(COUNTIF($C$2:$C389,$C389)=1,1,0))</f>
        <v/>
      </c>
      <c r="U389" s="39" t="str">
        <f>IF($T389=1,COUNTIF($T$2:$T389,1),"")</f>
        <v/>
      </c>
      <c r="V389" s="39" t="str">
        <f>IF($B389="","",IF(COUNTIF($B$2:$B389,$B389)=1,1,0))</f>
        <v/>
      </c>
      <c r="W389" s="39" t="str">
        <f>IF($V389=1,COUNTIF($V$2:$V389,1),"")</f>
        <v/>
      </c>
      <c r="X389" s="39" t="str">
        <f>IF($A389="","",IF(COUNTIF($A$2:$A389,$A389)=1,1,0))</f>
        <v/>
      </c>
      <c r="Y389" s="39" t="str">
        <f>IF($X389=1,COUNTIF($X$2:$X389,1),"")</f>
        <v/>
      </c>
      <c r="Z389" s="39">
        <f>IF(AND($E389="timed",$N389&gt;Settings!$C$8),1,0)</f>
        <v>0</v>
      </c>
      <c r="AA389" s="39">
        <f t="shared" si="112"/>
        <v>0</v>
      </c>
      <c r="AB389" s="39">
        <f t="shared" si="113"/>
        <v>0</v>
      </c>
      <c r="AC389" s="39" t="str">
        <f t="shared" si="114"/>
        <v/>
      </c>
      <c r="AD389" s="39" t="str">
        <f t="shared" si="115"/>
        <v/>
      </c>
      <c r="AE389" s="39" t="str">
        <f t="shared" si="116"/>
        <v/>
      </c>
      <c r="AF389" s="106" t="str">
        <f t="shared" si="117"/>
        <v/>
      </c>
      <c r="AG389" s="39">
        <f t="shared" si="118"/>
        <v>0</v>
      </c>
      <c r="AH389" s="39" t="str">
        <f t="shared" si="119"/>
        <v/>
      </c>
      <c r="AI389" s="39">
        <f>IF(AND($E389="timed",$N389&gt;=Settings!$C$9),1,0)</f>
        <v>0</v>
      </c>
      <c r="AJ389" s="39" t="str">
        <f>IF(OR($S389="",Settings!$C$16=""),"",IF($S389&lt;=Settings!$C$16,1,2))</f>
        <v/>
      </c>
      <c r="AK389" s="39" t="str">
        <f>IF($C389="","",IFERROR(IF(INDEX(Settings!$C$20:$C$59,MATCH($C389,Settings!$B$20:$B$59,0))="",Settings!$C$10,INDEX(Settings!$C$20:$C$59,MATCH($C389,Settings!$B$20:$B$59,0))),Settings!$C$10))</f>
        <v/>
      </c>
      <c r="AL389" s="108">
        <f t="shared" si="120"/>
        <v>0</v>
      </c>
      <c r="AM389" s="39" t="str">
        <f t="shared" si="121"/>
        <v/>
      </c>
      <c r="AN389" s="39" t="str">
        <f t="shared" si="122"/>
        <v/>
      </c>
      <c r="AO389" s="39" t="str">
        <f t="shared" si="123"/>
        <v/>
      </c>
      <c r="AP389" s="39">
        <f t="shared" si="124"/>
        <v>0</v>
      </c>
      <c r="AQ389" s="39">
        <f t="shared" si="125"/>
        <v>0</v>
      </c>
    </row>
    <row r="390" spans="14:43" x14ac:dyDescent="0.25">
      <c r="N390" s="105">
        <f t="shared" si="108"/>
        <v>0</v>
      </c>
      <c r="O390" s="106" t="str">
        <f>IF($F390="","",IF(ISNUMBER($F390),$F390+Settings!$C$7/24,IFERROR(DATEVALUE(LEFT($F390,10))+TIMEVALUE(MID($F390,12,8))+Settings!$C$7/24,"")))</f>
        <v/>
      </c>
      <c r="P390" s="106" t="str">
        <f>IF($G390="","",IF(ISNUMBER($G390),$G390+Settings!$C$7/24,IFERROR(DATEVALUE(LEFT($G390,10))+TIMEVALUE(MID($G390,12,8))+Settings!$C$7/24,"")))</f>
        <v/>
      </c>
      <c r="Q390" s="39" t="str">
        <f t="shared" si="109"/>
        <v/>
      </c>
      <c r="R390" s="39" t="str">
        <f t="shared" si="110"/>
        <v/>
      </c>
      <c r="S390" s="107" t="str">
        <f t="shared" si="111"/>
        <v/>
      </c>
      <c r="T390" s="39" t="str">
        <f>IF($C390="","",IF(COUNTIF($C$2:$C390,$C390)=1,1,0))</f>
        <v/>
      </c>
      <c r="U390" s="39" t="str">
        <f>IF($T390=1,COUNTIF($T$2:$T390,1),"")</f>
        <v/>
      </c>
      <c r="V390" s="39" t="str">
        <f>IF($B390="","",IF(COUNTIF($B$2:$B390,$B390)=1,1,0))</f>
        <v/>
      </c>
      <c r="W390" s="39" t="str">
        <f>IF($V390=1,COUNTIF($V$2:$V390,1),"")</f>
        <v/>
      </c>
      <c r="X390" s="39" t="str">
        <f>IF($A390="","",IF(COUNTIF($A$2:$A390,$A390)=1,1,0))</f>
        <v/>
      </c>
      <c r="Y390" s="39" t="str">
        <f>IF($X390=1,COUNTIF($X$2:$X390,1),"")</f>
        <v/>
      </c>
      <c r="Z390" s="39">
        <f>IF(AND($E390="timed",$N390&gt;Settings!$C$8),1,0)</f>
        <v>0</v>
      </c>
      <c r="AA390" s="39">
        <f t="shared" si="112"/>
        <v>0</v>
      </c>
      <c r="AB390" s="39">
        <f t="shared" si="113"/>
        <v>0</v>
      </c>
      <c r="AC390" s="39" t="str">
        <f t="shared" si="114"/>
        <v/>
      </c>
      <c r="AD390" s="39" t="str">
        <f t="shared" si="115"/>
        <v/>
      </c>
      <c r="AE390" s="39" t="str">
        <f t="shared" si="116"/>
        <v/>
      </c>
      <c r="AF390" s="106" t="str">
        <f t="shared" si="117"/>
        <v/>
      </c>
      <c r="AG390" s="39">
        <f t="shared" si="118"/>
        <v>0</v>
      </c>
      <c r="AH390" s="39" t="str">
        <f t="shared" si="119"/>
        <v/>
      </c>
      <c r="AI390" s="39">
        <f>IF(AND($E390="timed",$N390&gt;=Settings!$C$9),1,0)</f>
        <v>0</v>
      </c>
      <c r="AJ390" s="39" t="str">
        <f>IF(OR($S390="",Settings!$C$16=""),"",IF($S390&lt;=Settings!$C$16,1,2))</f>
        <v/>
      </c>
      <c r="AK390" s="39" t="str">
        <f>IF($C390="","",IFERROR(IF(INDEX(Settings!$C$20:$C$59,MATCH($C390,Settings!$B$20:$B$59,0))="",Settings!$C$10,INDEX(Settings!$C$20:$C$59,MATCH($C390,Settings!$B$20:$B$59,0))),Settings!$C$10))</f>
        <v/>
      </c>
      <c r="AL390" s="108">
        <f t="shared" si="120"/>
        <v>0</v>
      </c>
      <c r="AM390" s="39" t="str">
        <f t="shared" si="121"/>
        <v/>
      </c>
      <c r="AN390" s="39" t="str">
        <f t="shared" si="122"/>
        <v/>
      </c>
      <c r="AO390" s="39" t="str">
        <f t="shared" si="123"/>
        <v/>
      </c>
      <c r="AP390" s="39">
        <f t="shared" si="124"/>
        <v>0</v>
      </c>
      <c r="AQ390" s="39">
        <f t="shared" si="125"/>
        <v>0</v>
      </c>
    </row>
    <row r="391" spans="14:43" x14ac:dyDescent="0.25">
      <c r="N391" s="105">
        <f t="shared" si="108"/>
        <v>0</v>
      </c>
      <c r="O391" s="106" t="str">
        <f>IF($F391="","",IF(ISNUMBER($F391),$F391+Settings!$C$7/24,IFERROR(DATEVALUE(LEFT($F391,10))+TIMEVALUE(MID($F391,12,8))+Settings!$C$7/24,"")))</f>
        <v/>
      </c>
      <c r="P391" s="106" t="str">
        <f>IF($G391="","",IF(ISNUMBER($G391),$G391+Settings!$C$7/24,IFERROR(DATEVALUE(LEFT($G391,10))+TIMEVALUE(MID($G391,12,8))+Settings!$C$7/24,"")))</f>
        <v/>
      </c>
      <c r="Q391" s="39" t="str">
        <f t="shared" si="109"/>
        <v/>
      </c>
      <c r="R391" s="39" t="str">
        <f t="shared" si="110"/>
        <v/>
      </c>
      <c r="S391" s="107" t="str">
        <f t="shared" si="111"/>
        <v/>
      </c>
      <c r="T391" s="39" t="str">
        <f>IF($C391="","",IF(COUNTIF($C$2:$C391,$C391)=1,1,0))</f>
        <v/>
      </c>
      <c r="U391" s="39" t="str">
        <f>IF($T391=1,COUNTIF($T$2:$T391,1),"")</f>
        <v/>
      </c>
      <c r="V391" s="39" t="str">
        <f>IF($B391="","",IF(COUNTIF($B$2:$B391,$B391)=1,1,0))</f>
        <v/>
      </c>
      <c r="W391" s="39" t="str">
        <f>IF($V391=1,COUNTIF($V$2:$V391,1),"")</f>
        <v/>
      </c>
      <c r="X391" s="39" t="str">
        <f>IF($A391="","",IF(COUNTIF($A$2:$A391,$A391)=1,1,0))</f>
        <v/>
      </c>
      <c r="Y391" s="39" t="str">
        <f>IF($X391=1,COUNTIF($X$2:$X391,1),"")</f>
        <v/>
      </c>
      <c r="Z391" s="39">
        <f>IF(AND($E391="timed",$N391&gt;Settings!$C$8),1,0)</f>
        <v>0</v>
      </c>
      <c r="AA391" s="39">
        <f t="shared" si="112"/>
        <v>0</v>
      </c>
      <c r="AB391" s="39">
        <f t="shared" si="113"/>
        <v>0</v>
      </c>
      <c r="AC391" s="39" t="str">
        <f t="shared" si="114"/>
        <v/>
      </c>
      <c r="AD391" s="39" t="str">
        <f t="shared" si="115"/>
        <v/>
      </c>
      <c r="AE391" s="39" t="str">
        <f t="shared" si="116"/>
        <v/>
      </c>
      <c r="AF391" s="106" t="str">
        <f t="shared" si="117"/>
        <v/>
      </c>
      <c r="AG391" s="39">
        <f t="shared" si="118"/>
        <v>0</v>
      </c>
      <c r="AH391" s="39" t="str">
        <f t="shared" si="119"/>
        <v/>
      </c>
      <c r="AI391" s="39">
        <f>IF(AND($E391="timed",$N391&gt;=Settings!$C$9),1,0)</f>
        <v>0</v>
      </c>
      <c r="AJ391" s="39" t="str">
        <f>IF(OR($S391="",Settings!$C$16=""),"",IF($S391&lt;=Settings!$C$16,1,2))</f>
        <v/>
      </c>
      <c r="AK391" s="39" t="str">
        <f>IF($C391="","",IFERROR(IF(INDEX(Settings!$C$20:$C$59,MATCH($C391,Settings!$B$20:$B$59,0))="",Settings!$C$10,INDEX(Settings!$C$20:$C$59,MATCH($C391,Settings!$B$20:$B$59,0))),Settings!$C$10))</f>
        <v/>
      </c>
      <c r="AL391" s="108">
        <f t="shared" si="120"/>
        <v>0</v>
      </c>
      <c r="AM391" s="39" t="str">
        <f t="shared" si="121"/>
        <v/>
      </c>
      <c r="AN391" s="39" t="str">
        <f t="shared" si="122"/>
        <v/>
      </c>
      <c r="AO391" s="39" t="str">
        <f t="shared" si="123"/>
        <v/>
      </c>
      <c r="AP391" s="39">
        <f t="shared" si="124"/>
        <v>0</v>
      </c>
      <c r="AQ391" s="39">
        <f t="shared" si="125"/>
        <v>0</v>
      </c>
    </row>
    <row r="392" spans="14:43" x14ac:dyDescent="0.25">
      <c r="N392" s="105">
        <f t="shared" si="108"/>
        <v>0</v>
      </c>
      <c r="O392" s="106" t="str">
        <f>IF($F392="","",IF(ISNUMBER($F392),$F392+Settings!$C$7/24,IFERROR(DATEVALUE(LEFT($F392,10))+TIMEVALUE(MID($F392,12,8))+Settings!$C$7/24,"")))</f>
        <v/>
      </c>
      <c r="P392" s="106" t="str">
        <f>IF($G392="","",IF(ISNUMBER($G392),$G392+Settings!$C$7/24,IFERROR(DATEVALUE(LEFT($G392,10))+TIMEVALUE(MID($G392,12,8))+Settings!$C$7/24,"")))</f>
        <v/>
      </c>
      <c r="Q392" s="39" t="str">
        <f t="shared" si="109"/>
        <v/>
      </c>
      <c r="R392" s="39" t="str">
        <f t="shared" si="110"/>
        <v/>
      </c>
      <c r="S392" s="107" t="str">
        <f t="shared" si="111"/>
        <v/>
      </c>
      <c r="T392" s="39" t="str">
        <f>IF($C392="","",IF(COUNTIF($C$2:$C392,$C392)=1,1,0))</f>
        <v/>
      </c>
      <c r="U392" s="39" t="str">
        <f>IF($T392=1,COUNTIF($T$2:$T392,1),"")</f>
        <v/>
      </c>
      <c r="V392" s="39" t="str">
        <f>IF($B392="","",IF(COUNTIF($B$2:$B392,$B392)=1,1,0))</f>
        <v/>
      </c>
      <c r="W392" s="39" t="str">
        <f>IF($V392=1,COUNTIF($V$2:$V392,1),"")</f>
        <v/>
      </c>
      <c r="X392" s="39" t="str">
        <f>IF($A392="","",IF(COUNTIF($A$2:$A392,$A392)=1,1,0))</f>
        <v/>
      </c>
      <c r="Y392" s="39" t="str">
        <f>IF($X392=1,COUNTIF($X$2:$X392,1),"")</f>
        <v/>
      </c>
      <c r="Z392" s="39">
        <f>IF(AND($E392="timed",$N392&gt;Settings!$C$8),1,0)</f>
        <v>0</v>
      </c>
      <c r="AA392" s="39">
        <f t="shared" si="112"/>
        <v>0</v>
      </c>
      <c r="AB392" s="39">
        <f t="shared" si="113"/>
        <v>0</v>
      </c>
      <c r="AC392" s="39" t="str">
        <f t="shared" si="114"/>
        <v/>
      </c>
      <c r="AD392" s="39" t="str">
        <f t="shared" si="115"/>
        <v/>
      </c>
      <c r="AE392" s="39" t="str">
        <f t="shared" si="116"/>
        <v/>
      </c>
      <c r="AF392" s="106" t="str">
        <f t="shared" si="117"/>
        <v/>
      </c>
      <c r="AG392" s="39">
        <f t="shared" si="118"/>
        <v>0</v>
      </c>
      <c r="AH392" s="39" t="str">
        <f t="shared" si="119"/>
        <v/>
      </c>
      <c r="AI392" s="39">
        <f>IF(AND($E392="timed",$N392&gt;=Settings!$C$9),1,0)</f>
        <v>0</v>
      </c>
      <c r="AJ392" s="39" t="str">
        <f>IF(OR($S392="",Settings!$C$16=""),"",IF($S392&lt;=Settings!$C$16,1,2))</f>
        <v/>
      </c>
      <c r="AK392" s="39" t="str">
        <f>IF($C392="","",IFERROR(IF(INDEX(Settings!$C$20:$C$59,MATCH($C392,Settings!$B$20:$B$59,0))="",Settings!$C$10,INDEX(Settings!$C$20:$C$59,MATCH($C392,Settings!$B$20:$B$59,0))),Settings!$C$10))</f>
        <v/>
      </c>
      <c r="AL392" s="108">
        <f t="shared" si="120"/>
        <v>0</v>
      </c>
      <c r="AM392" s="39" t="str">
        <f t="shared" si="121"/>
        <v/>
      </c>
      <c r="AN392" s="39" t="str">
        <f t="shared" si="122"/>
        <v/>
      </c>
      <c r="AO392" s="39" t="str">
        <f t="shared" si="123"/>
        <v/>
      </c>
      <c r="AP392" s="39">
        <f t="shared" si="124"/>
        <v>0</v>
      </c>
      <c r="AQ392" s="39">
        <f t="shared" si="125"/>
        <v>0</v>
      </c>
    </row>
    <row r="393" spans="14:43" x14ac:dyDescent="0.25">
      <c r="N393" s="105">
        <f t="shared" si="108"/>
        <v>0</v>
      </c>
      <c r="O393" s="106" t="str">
        <f>IF($F393="","",IF(ISNUMBER($F393),$F393+Settings!$C$7/24,IFERROR(DATEVALUE(LEFT($F393,10))+TIMEVALUE(MID($F393,12,8))+Settings!$C$7/24,"")))</f>
        <v/>
      </c>
      <c r="P393" s="106" t="str">
        <f>IF($G393="","",IF(ISNUMBER($G393),$G393+Settings!$C$7/24,IFERROR(DATEVALUE(LEFT($G393,10))+TIMEVALUE(MID($G393,12,8))+Settings!$C$7/24,"")))</f>
        <v/>
      </c>
      <c r="Q393" s="39" t="str">
        <f t="shared" si="109"/>
        <v/>
      </c>
      <c r="R393" s="39" t="str">
        <f t="shared" si="110"/>
        <v/>
      </c>
      <c r="S393" s="107" t="str">
        <f t="shared" si="111"/>
        <v/>
      </c>
      <c r="T393" s="39" t="str">
        <f>IF($C393="","",IF(COUNTIF($C$2:$C393,$C393)=1,1,0))</f>
        <v/>
      </c>
      <c r="U393" s="39" t="str">
        <f>IF($T393=1,COUNTIF($T$2:$T393,1),"")</f>
        <v/>
      </c>
      <c r="V393" s="39" t="str">
        <f>IF($B393="","",IF(COUNTIF($B$2:$B393,$B393)=1,1,0))</f>
        <v/>
      </c>
      <c r="W393" s="39" t="str">
        <f>IF($V393=1,COUNTIF($V$2:$V393,1),"")</f>
        <v/>
      </c>
      <c r="X393" s="39" t="str">
        <f>IF($A393="","",IF(COUNTIF($A$2:$A393,$A393)=1,1,0))</f>
        <v/>
      </c>
      <c r="Y393" s="39" t="str">
        <f>IF($X393=1,COUNTIF($X$2:$X393,1),"")</f>
        <v/>
      </c>
      <c r="Z393" s="39">
        <f>IF(AND($E393="timed",$N393&gt;Settings!$C$8),1,0)</f>
        <v>0</v>
      </c>
      <c r="AA393" s="39">
        <f t="shared" si="112"/>
        <v>0</v>
      </c>
      <c r="AB393" s="39">
        <f t="shared" si="113"/>
        <v>0</v>
      </c>
      <c r="AC393" s="39" t="str">
        <f t="shared" si="114"/>
        <v/>
      </c>
      <c r="AD393" s="39" t="str">
        <f t="shared" si="115"/>
        <v/>
      </c>
      <c r="AE393" s="39" t="str">
        <f t="shared" si="116"/>
        <v/>
      </c>
      <c r="AF393" s="106" t="str">
        <f t="shared" si="117"/>
        <v/>
      </c>
      <c r="AG393" s="39">
        <f t="shared" si="118"/>
        <v>0</v>
      </c>
      <c r="AH393" s="39" t="str">
        <f t="shared" si="119"/>
        <v/>
      </c>
      <c r="AI393" s="39">
        <f>IF(AND($E393="timed",$N393&gt;=Settings!$C$9),1,0)</f>
        <v>0</v>
      </c>
      <c r="AJ393" s="39" t="str">
        <f>IF(OR($S393="",Settings!$C$16=""),"",IF($S393&lt;=Settings!$C$16,1,2))</f>
        <v/>
      </c>
      <c r="AK393" s="39" t="str">
        <f>IF($C393="","",IFERROR(IF(INDEX(Settings!$C$20:$C$59,MATCH($C393,Settings!$B$20:$B$59,0))="",Settings!$C$10,INDEX(Settings!$C$20:$C$59,MATCH($C393,Settings!$B$20:$B$59,0))),Settings!$C$10))</f>
        <v/>
      </c>
      <c r="AL393" s="108">
        <f t="shared" si="120"/>
        <v>0</v>
      </c>
      <c r="AM393" s="39" t="str">
        <f t="shared" si="121"/>
        <v/>
      </c>
      <c r="AN393" s="39" t="str">
        <f t="shared" si="122"/>
        <v/>
      </c>
      <c r="AO393" s="39" t="str">
        <f t="shared" si="123"/>
        <v/>
      </c>
      <c r="AP393" s="39">
        <f t="shared" si="124"/>
        <v>0</v>
      </c>
      <c r="AQ393" s="39">
        <f t="shared" si="125"/>
        <v>0</v>
      </c>
    </row>
    <row r="394" spans="14:43" x14ac:dyDescent="0.25">
      <c r="N394" s="105">
        <f t="shared" si="108"/>
        <v>0</v>
      </c>
      <c r="O394" s="106" t="str">
        <f>IF($F394="","",IF(ISNUMBER($F394),$F394+Settings!$C$7/24,IFERROR(DATEVALUE(LEFT($F394,10))+TIMEVALUE(MID($F394,12,8))+Settings!$C$7/24,"")))</f>
        <v/>
      </c>
      <c r="P394" s="106" t="str">
        <f>IF($G394="","",IF(ISNUMBER($G394),$G394+Settings!$C$7/24,IFERROR(DATEVALUE(LEFT($G394,10))+TIMEVALUE(MID($G394,12,8))+Settings!$C$7/24,"")))</f>
        <v/>
      </c>
      <c r="Q394" s="39" t="str">
        <f t="shared" si="109"/>
        <v/>
      </c>
      <c r="R394" s="39" t="str">
        <f t="shared" si="110"/>
        <v/>
      </c>
      <c r="S394" s="107" t="str">
        <f t="shared" si="111"/>
        <v/>
      </c>
      <c r="T394" s="39" t="str">
        <f>IF($C394="","",IF(COUNTIF($C$2:$C394,$C394)=1,1,0))</f>
        <v/>
      </c>
      <c r="U394" s="39" t="str">
        <f>IF($T394=1,COUNTIF($T$2:$T394,1),"")</f>
        <v/>
      </c>
      <c r="V394" s="39" t="str">
        <f>IF($B394="","",IF(COUNTIF($B$2:$B394,$B394)=1,1,0))</f>
        <v/>
      </c>
      <c r="W394" s="39" t="str">
        <f>IF($V394=1,COUNTIF($V$2:$V394,1),"")</f>
        <v/>
      </c>
      <c r="X394" s="39" t="str">
        <f>IF($A394="","",IF(COUNTIF($A$2:$A394,$A394)=1,1,0))</f>
        <v/>
      </c>
      <c r="Y394" s="39" t="str">
        <f>IF($X394=1,COUNTIF($X$2:$X394,1),"")</f>
        <v/>
      </c>
      <c r="Z394" s="39">
        <f>IF(AND($E394="timed",$N394&gt;Settings!$C$8),1,0)</f>
        <v>0</v>
      </c>
      <c r="AA394" s="39">
        <f t="shared" si="112"/>
        <v>0</v>
      </c>
      <c r="AB394" s="39">
        <f t="shared" si="113"/>
        <v>0</v>
      </c>
      <c r="AC394" s="39" t="str">
        <f t="shared" si="114"/>
        <v/>
      </c>
      <c r="AD394" s="39" t="str">
        <f t="shared" si="115"/>
        <v/>
      </c>
      <c r="AE394" s="39" t="str">
        <f t="shared" si="116"/>
        <v/>
      </c>
      <c r="AF394" s="106" t="str">
        <f t="shared" si="117"/>
        <v/>
      </c>
      <c r="AG394" s="39">
        <f t="shared" si="118"/>
        <v>0</v>
      </c>
      <c r="AH394" s="39" t="str">
        <f t="shared" si="119"/>
        <v/>
      </c>
      <c r="AI394" s="39">
        <f>IF(AND($E394="timed",$N394&gt;=Settings!$C$9),1,0)</f>
        <v>0</v>
      </c>
      <c r="AJ394" s="39" t="str">
        <f>IF(OR($S394="",Settings!$C$16=""),"",IF($S394&lt;=Settings!$C$16,1,2))</f>
        <v/>
      </c>
      <c r="AK394" s="39" t="str">
        <f>IF($C394="","",IFERROR(IF(INDEX(Settings!$C$20:$C$59,MATCH($C394,Settings!$B$20:$B$59,0))="",Settings!$C$10,INDEX(Settings!$C$20:$C$59,MATCH($C394,Settings!$B$20:$B$59,0))),Settings!$C$10))</f>
        <v/>
      </c>
      <c r="AL394" s="108">
        <f t="shared" si="120"/>
        <v>0</v>
      </c>
      <c r="AM394" s="39" t="str">
        <f t="shared" si="121"/>
        <v/>
      </c>
      <c r="AN394" s="39" t="str">
        <f t="shared" si="122"/>
        <v/>
      </c>
      <c r="AO394" s="39" t="str">
        <f t="shared" si="123"/>
        <v/>
      </c>
      <c r="AP394" s="39">
        <f t="shared" si="124"/>
        <v>0</v>
      </c>
      <c r="AQ394" s="39">
        <f t="shared" si="125"/>
        <v>0</v>
      </c>
    </row>
    <row r="395" spans="14:43" x14ac:dyDescent="0.25">
      <c r="N395" s="105">
        <f t="shared" si="108"/>
        <v>0</v>
      </c>
      <c r="O395" s="106" t="str">
        <f>IF($F395="","",IF(ISNUMBER($F395),$F395+Settings!$C$7/24,IFERROR(DATEVALUE(LEFT($F395,10))+TIMEVALUE(MID($F395,12,8))+Settings!$C$7/24,"")))</f>
        <v/>
      </c>
      <c r="P395" s="106" t="str">
        <f>IF($G395="","",IF(ISNUMBER($G395),$G395+Settings!$C$7/24,IFERROR(DATEVALUE(LEFT($G395,10))+TIMEVALUE(MID($G395,12,8))+Settings!$C$7/24,"")))</f>
        <v/>
      </c>
      <c r="Q395" s="39" t="str">
        <f t="shared" si="109"/>
        <v/>
      </c>
      <c r="R395" s="39" t="str">
        <f t="shared" si="110"/>
        <v/>
      </c>
      <c r="S395" s="107" t="str">
        <f t="shared" si="111"/>
        <v/>
      </c>
      <c r="T395" s="39" t="str">
        <f>IF($C395="","",IF(COUNTIF($C$2:$C395,$C395)=1,1,0))</f>
        <v/>
      </c>
      <c r="U395" s="39" t="str">
        <f>IF($T395=1,COUNTIF($T$2:$T395,1),"")</f>
        <v/>
      </c>
      <c r="V395" s="39" t="str">
        <f>IF($B395="","",IF(COUNTIF($B$2:$B395,$B395)=1,1,0))</f>
        <v/>
      </c>
      <c r="W395" s="39" t="str">
        <f>IF($V395=1,COUNTIF($V$2:$V395,1),"")</f>
        <v/>
      </c>
      <c r="X395" s="39" t="str">
        <f>IF($A395="","",IF(COUNTIF($A$2:$A395,$A395)=1,1,0))</f>
        <v/>
      </c>
      <c r="Y395" s="39" t="str">
        <f>IF($X395=1,COUNTIF($X$2:$X395,1),"")</f>
        <v/>
      </c>
      <c r="Z395" s="39">
        <f>IF(AND($E395="timed",$N395&gt;Settings!$C$8),1,0)</f>
        <v>0</v>
      </c>
      <c r="AA395" s="39">
        <f t="shared" si="112"/>
        <v>0</v>
      </c>
      <c r="AB395" s="39">
        <f t="shared" si="113"/>
        <v>0</v>
      </c>
      <c r="AC395" s="39" t="str">
        <f t="shared" si="114"/>
        <v/>
      </c>
      <c r="AD395" s="39" t="str">
        <f t="shared" si="115"/>
        <v/>
      </c>
      <c r="AE395" s="39" t="str">
        <f t="shared" si="116"/>
        <v/>
      </c>
      <c r="AF395" s="106" t="str">
        <f t="shared" si="117"/>
        <v/>
      </c>
      <c r="AG395" s="39">
        <f t="shared" si="118"/>
        <v>0</v>
      </c>
      <c r="AH395" s="39" t="str">
        <f t="shared" si="119"/>
        <v/>
      </c>
      <c r="AI395" s="39">
        <f>IF(AND($E395="timed",$N395&gt;=Settings!$C$9),1,0)</f>
        <v>0</v>
      </c>
      <c r="AJ395" s="39" t="str">
        <f>IF(OR($S395="",Settings!$C$16=""),"",IF($S395&lt;=Settings!$C$16,1,2))</f>
        <v/>
      </c>
      <c r="AK395" s="39" t="str">
        <f>IF($C395="","",IFERROR(IF(INDEX(Settings!$C$20:$C$59,MATCH($C395,Settings!$B$20:$B$59,0))="",Settings!$C$10,INDEX(Settings!$C$20:$C$59,MATCH($C395,Settings!$B$20:$B$59,0))),Settings!$C$10))</f>
        <v/>
      </c>
      <c r="AL395" s="108">
        <f t="shared" si="120"/>
        <v>0</v>
      </c>
      <c r="AM395" s="39" t="str">
        <f t="shared" si="121"/>
        <v/>
      </c>
      <c r="AN395" s="39" t="str">
        <f t="shared" si="122"/>
        <v/>
      </c>
      <c r="AO395" s="39" t="str">
        <f t="shared" si="123"/>
        <v/>
      </c>
      <c r="AP395" s="39">
        <f t="shared" si="124"/>
        <v>0</v>
      </c>
      <c r="AQ395" s="39">
        <f t="shared" si="125"/>
        <v>0</v>
      </c>
    </row>
    <row r="396" spans="14:43" x14ac:dyDescent="0.25">
      <c r="N396" s="105">
        <f t="shared" si="108"/>
        <v>0</v>
      </c>
      <c r="O396" s="106" t="str">
        <f>IF($F396="","",IF(ISNUMBER($F396),$F396+Settings!$C$7/24,IFERROR(DATEVALUE(LEFT($F396,10))+TIMEVALUE(MID($F396,12,8))+Settings!$C$7/24,"")))</f>
        <v/>
      </c>
      <c r="P396" s="106" t="str">
        <f>IF($G396="","",IF(ISNUMBER($G396),$G396+Settings!$C$7/24,IFERROR(DATEVALUE(LEFT($G396,10))+TIMEVALUE(MID($G396,12,8))+Settings!$C$7/24,"")))</f>
        <v/>
      </c>
      <c r="Q396" s="39" t="str">
        <f t="shared" si="109"/>
        <v/>
      </c>
      <c r="R396" s="39" t="str">
        <f t="shared" si="110"/>
        <v/>
      </c>
      <c r="S396" s="107" t="str">
        <f t="shared" si="111"/>
        <v/>
      </c>
      <c r="T396" s="39" t="str">
        <f>IF($C396="","",IF(COUNTIF($C$2:$C396,$C396)=1,1,0))</f>
        <v/>
      </c>
      <c r="U396" s="39" t="str">
        <f>IF($T396=1,COUNTIF($T$2:$T396,1),"")</f>
        <v/>
      </c>
      <c r="V396" s="39" t="str">
        <f>IF($B396="","",IF(COUNTIF($B$2:$B396,$B396)=1,1,0))</f>
        <v/>
      </c>
      <c r="W396" s="39" t="str">
        <f>IF($V396=1,COUNTIF($V$2:$V396,1),"")</f>
        <v/>
      </c>
      <c r="X396" s="39" t="str">
        <f>IF($A396="","",IF(COUNTIF($A$2:$A396,$A396)=1,1,0))</f>
        <v/>
      </c>
      <c r="Y396" s="39" t="str">
        <f>IF($X396=1,COUNTIF($X$2:$X396,1),"")</f>
        <v/>
      </c>
      <c r="Z396" s="39">
        <f>IF(AND($E396="timed",$N396&gt;Settings!$C$8),1,0)</f>
        <v>0</v>
      </c>
      <c r="AA396" s="39">
        <f t="shared" si="112"/>
        <v>0</v>
      </c>
      <c r="AB396" s="39">
        <f t="shared" si="113"/>
        <v>0</v>
      </c>
      <c r="AC396" s="39" t="str">
        <f t="shared" si="114"/>
        <v/>
      </c>
      <c r="AD396" s="39" t="str">
        <f t="shared" si="115"/>
        <v/>
      </c>
      <c r="AE396" s="39" t="str">
        <f t="shared" si="116"/>
        <v/>
      </c>
      <c r="AF396" s="106" t="str">
        <f t="shared" si="117"/>
        <v/>
      </c>
      <c r="AG396" s="39">
        <f t="shared" si="118"/>
        <v>0</v>
      </c>
      <c r="AH396" s="39" t="str">
        <f t="shared" si="119"/>
        <v/>
      </c>
      <c r="AI396" s="39">
        <f>IF(AND($E396="timed",$N396&gt;=Settings!$C$9),1,0)</f>
        <v>0</v>
      </c>
      <c r="AJ396" s="39" t="str">
        <f>IF(OR($S396="",Settings!$C$16=""),"",IF($S396&lt;=Settings!$C$16,1,2))</f>
        <v/>
      </c>
      <c r="AK396" s="39" t="str">
        <f>IF($C396="","",IFERROR(IF(INDEX(Settings!$C$20:$C$59,MATCH($C396,Settings!$B$20:$B$59,0))="",Settings!$C$10,INDEX(Settings!$C$20:$C$59,MATCH($C396,Settings!$B$20:$B$59,0))),Settings!$C$10))</f>
        <v/>
      </c>
      <c r="AL396" s="108">
        <f t="shared" si="120"/>
        <v>0</v>
      </c>
      <c r="AM396" s="39" t="str">
        <f t="shared" si="121"/>
        <v/>
      </c>
      <c r="AN396" s="39" t="str">
        <f t="shared" si="122"/>
        <v/>
      </c>
      <c r="AO396" s="39" t="str">
        <f t="shared" si="123"/>
        <v/>
      </c>
      <c r="AP396" s="39">
        <f t="shared" si="124"/>
        <v>0</v>
      </c>
      <c r="AQ396" s="39">
        <f t="shared" si="125"/>
        <v>0</v>
      </c>
    </row>
    <row r="397" spans="14:43" x14ac:dyDescent="0.25">
      <c r="N397" s="105">
        <f t="shared" si="108"/>
        <v>0</v>
      </c>
      <c r="O397" s="106" t="str">
        <f>IF($F397="","",IF(ISNUMBER($F397),$F397+Settings!$C$7/24,IFERROR(DATEVALUE(LEFT($F397,10))+TIMEVALUE(MID($F397,12,8))+Settings!$C$7/24,"")))</f>
        <v/>
      </c>
      <c r="P397" s="106" t="str">
        <f>IF($G397="","",IF(ISNUMBER($G397),$G397+Settings!$C$7/24,IFERROR(DATEVALUE(LEFT($G397,10))+TIMEVALUE(MID($G397,12,8))+Settings!$C$7/24,"")))</f>
        <v/>
      </c>
      <c r="Q397" s="39" t="str">
        <f t="shared" si="109"/>
        <v/>
      </c>
      <c r="R397" s="39" t="str">
        <f t="shared" si="110"/>
        <v/>
      </c>
      <c r="S397" s="107" t="str">
        <f t="shared" si="111"/>
        <v/>
      </c>
      <c r="T397" s="39" t="str">
        <f>IF($C397="","",IF(COUNTIF($C$2:$C397,$C397)=1,1,0))</f>
        <v/>
      </c>
      <c r="U397" s="39" t="str">
        <f>IF($T397=1,COUNTIF($T$2:$T397,1),"")</f>
        <v/>
      </c>
      <c r="V397" s="39" t="str">
        <f>IF($B397="","",IF(COUNTIF($B$2:$B397,$B397)=1,1,0))</f>
        <v/>
      </c>
      <c r="W397" s="39" t="str">
        <f>IF($V397=1,COUNTIF($V$2:$V397,1),"")</f>
        <v/>
      </c>
      <c r="X397" s="39" t="str">
        <f>IF($A397="","",IF(COUNTIF($A$2:$A397,$A397)=1,1,0))</f>
        <v/>
      </c>
      <c r="Y397" s="39" t="str">
        <f>IF($X397=1,COUNTIF($X$2:$X397,1),"")</f>
        <v/>
      </c>
      <c r="Z397" s="39">
        <f>IF(AND($E397="timed",$N397&gt;Settings!$C$8),1,0)</f>
        <v>0</v>
      </c>
      <c r="AA397" s="39">
        <f t="shared" si="112"/>
        <v>0</v>
      </c>
      <c r="AB397" s="39">
        <f t="shared" si="113"/>
        <v>0</v>
      </c>
      <c r="AC397" s="39" t="str">
        <f t="shared" si="114"/>
        <v/>
      </c>
      <c r="AD397" s="39" t="str">
        <f t="shared" si="115"/>
        <v/>
      </c>
      <c r="AE397" s="39" t="str">
        <f t="shared" si="116"/>
        <v/>
      </c>
      <c r="AF397" s="106" t="str">
        <f t="shared" si="117"/>
        <v/>
      </c>
      <c r="AG397" s="39">
        <f t="shared" si="118"/>
        <v>0</v>
      </c>
      <c r="AH397" s="39" t="str">
        <f t="shared" si="119"/>
        <v/>
      </c>
      <c r="AI397" s="39">
        <f>IF(AND($E397="timed",$N397&gt;=Settings!$C$9),1,0)</f>
        <v>0</v>
      </c>
      <c r="AJ397" s="39" t="str">
        <f>IF(OR($S397="",Settings!$C$16=""),"",IF($S397&lt;=Settings!$C$16,1,2))</f>
        <v/>
      </c>
      <c r="AK397" s="39" t="str">
        <f>IF($C397="","",IFERROR(IF(INDEX(Settings!$C$20:$C$59,MATCH($C397,Settings!$B$20:$B$59,0))="",Settings!$C$10,INDEX(Settings!$C$20:$C$59,MATCH($C397,Settings!$B$20:$B$59,0))),Settings!$C$10))</f>
        <v/>
      </c>
      <c r="AL397" s="108">
        <f t="shared" si="120"/>
        <v>0</v>
      </c>
      <c r="AM397" s="39" t="str">
        <f t="shared" si="121"/>
        <v/>
      </c>
      <c r="AN397" s="39" t="str">
        <f t="shared" si="122"/>
        <v/>
      </c>
      <c r="AO397" s="39" t="str">
        <f t="shared" si="123"/>
        <v/>
      </c>
      <c r="AP397" s="39">
        <f t="shared" si="124"/>
        <v>0</v>
      </c>
      <c r="AQ397" s="39">
        <f t="shared" si="125"/>
        <v>0</v>
      </c>
    </row>
    <row r="398" spans="14:43" x14ac:dyDescent="0.25">
      <c r="N398" s="105">
        <f t="shared" si="108"/>
        <v>0</v>
      </c>
      <c r="O398" s="106" t="str">
        <f>IF($F398="","",IF(ISNUMBER($F398),$F398+Settings!$C$7/24,IFERROR(DATEVALUE(LEFT($F398,10))+TIMEVALUE(MID($F398,12,8))+Settings!$C$7/24,"")))</f>
        <v/>
      </c>
      <c r="P398" s="106" t="str">
        <f>IF($G398="","",IF(ISNUMBER($G398),$G398+Settings!$C$7/24,IFERROR(DATEVALUE(LEFT($G398,10))+TIMEVALUE(MID($G398,12,8))+Settings!$C$7/24,"")))</f>
        <v/>
      </c>
      <c r="Q398" s="39" t="str">
        <f t="shared" si="109"/>
        <v/>
      </c>
      <c r="R398" s="39" t="str">
        <f t="shared" si="110"/>
        <v/>
      </c>
      <c r="S398" s="107" t="str">
        <f t="shared" si="111"/>
        <v/>
      </c>
      <c r="T398" s="39" t="str">
        <f>IF($C398="","",IF(COUNTIF($C$2:$C398,$C398)=1,1,0))</f>
        <v/>
      </c>
      <c r="U398" s="39" t="str">
        <f>IF($T398=1,COUNTIF($T$2:$T398,1),"")</f>
        <v/>
      </c>
      <c r="V398" s="39" t="str">
        <f>IF($B398="","",IF(COUNTIF($B$2:$B398,$B398)=1,1,0))</f>
        <v/>
      </c>
      <c r="W398" s="39" t="str">
        <f>IF($V398=1,COUNTIF($V$2:$V398,1),"")</f>
        <v/>
      </c>
      <c r="X398" s="39" t="str">
        <f>IF($A398="","",IF(COUNTIF($A$2:$A398,$A398)=1,1,0))</f>
        <v/>
      </c>
      <c r="Y398" s="39" t="str">
        <f>IF($X398=1,COUNTIF($X$2:$X398,1),"")</f>
        <v/>
      </c>
      <c r="Z398" s="39">
        <f>IF(AND($E398="timed",$N398&gt;Settings!$C$8),1,0)</f>
        <v>0</v>
      </c>
      <c r="AA398" s="39">
        <f t="shared" si="112"/>
        <v>0</v>
      </c>
      <c r="AB398" s="39">
        <f t="shared" si="113"/>
        <v>0</v>
      </c>
      <c r="AC398" s="39" t="str">
        <f t="shared" si="114"/>
        <v/>
      </c>
      <c r="AD398" s="39" t="str">
        <f t="shared" si="115"/>
        <v/>
      </c>
      <c r="AE398" s="39" t="str">
        <f t="shared" si="116"/>
        <v/>
      </c>
      <c r="AF398" s="106" t="str">
        <f t="shared" si="117"/>
        <v/>
      </c>
      <c r="AG398" s="39">
        <f t="shared" si="118"/>
        <v>0</v>
      </c>
      <c r="AH398" s="39" t="str">
        <f t="shared" si="119"/>
        <v/>
      </c>
      <c r="AI398" s="39">
        <f>IF(AND($E398="timed",$N398&gt;=Settings!$C$9),1,0)</f>
        <v>0</v>
      </c>
      <c r="AJ398" s="39" t="str">
        <f>IF(OR($S398="",Settings!$C$16=""),"",IF($S398&lt;=Settings!$C$16,1,2))</f>
        <v/>
      </c>
      <c r="AK398" s="39" t="str">
        <f>IF($C398="","",IFERROR(IF(INDEX(Settings!$C$20:$C$59,MATCH($C398,Settings!$B$20:$B$59,0))="",Settings!$C$10,INDEX(Settings!$C$20:$C$59,MATCH($C398,Settings!$B$20:$B$59,0))),Settings!$C$10))</f>
        <v/>
      </c>
      <c r="AL398" s="108">
        <f t="shared" si="120"/>
        <v>0</v>
      </c>
      <c r="AM398" s="39" t="str">
        <f t="shared" si="121"/>
        <v/>
      </c>
      <c r="AN398" s="39" t="str">
        <f t="shared" si="122"/>
        <v/>
      </c>
      <c r="AO398" s="39" t="str">
        <f t="shared" si="123"/>
        <v/>
      </c>
      <c r="AP398" s="39">
        <f t="shared" si="124"/>
        <v>0</v>
      </c>
      <c r="AQ398" s="39">
        <f t="shared" si="125"/>
        <v>0</v>
      </c>
    </row>
    <row r="399" spans="14:43" x14ac:dyDescent="0.25">
      <c r="N399" s="105">
        <f t="shared" si="108"/>
        <v>0</v>
      </c>
      <c r="O399" s="106" t="str">
        <f>IF($F399="","",IF(ISNUMBER($F399),$F399+Settings!$C$7/24,IFERROR(DATEVALUE(LEFT($F399,10))+TIMEVALUE(MID($F399,12,8))+Settings!$C$7/24,"")))</f>
        <v/>
      </c>
      <c r="P399" s="106" t="str">
        <f>IF($G399="","",IF(ISNUMBER($G399),$G399+Settings!$C$7/24,IFERROR(DATEVALUE(LEFT($G399,10))+TIMEVALUE(MID($G399,12,8))+Settings!$C$7/24,"")))</f>
        <v/>
      </c>
      <c r="Q399" s="39" t="str">
        <f t="shared" si="109"/>
        <v/>
      </c>
      <c r="R399" s="39" t="str">
        <f t="shared" si="110"/>
        <v/>
      </c>
      <c r="S399" s="107" t="str">
        <f t="shared" si="111"/>
        <v/>
      </c>
      <c r="T399" s="39" t="str">
        <f>IF($C399="","",IF(COUNTIF($C$2:$C399,$C399)=1,1,0))</f>
        <v/>
      </c>
      <c r="U399" s="39" t="str">
        <f>IF($T399=1,COUNTIF($T$2:$T399,1),"")</f>
        <v/>
      </c>
      <c r="V399" s="39" t="str">
        <f>IF($B399="","",IF(COUNTIF($B$2:$B399,$B399)=1,1,0))</f>
        <v/>
      </c>
      <c r="W399" s="39" t="str">
        <f>IF($V399=1,COUNTIF($V$2:$V399,1),"")</f>
        <v/>
      </c>
      <c r="X399" s="39" t="str">
        <f>IF($A399="","",IF(COUNTIF($A$2:$A399,$A399)=1,1,0))</f>
        <v/>
      </c>
      <c r="Y399" s="39" t="str">
        <f>IF($X399=1,COUNTIF($X$2:$X399,1),"")</f>
        <v/>
      </c>
      <c r="Z399" s="39">
        <f>IF(AND($E399="timed",$N399&gt;Settings!$C$8),1,0)</f>
        <v>0</v>
      </c>
      <c r="AA399" s="39">
        <f t="shared" si="112"/>
        <v>0</v>
      </c>
      <c r="AB399" s="39">
        <f t="shared" si="113"/>
        <v>0</v>
      </c>
      <c r="AC399" s="39" t="str">
        <f t="shared" si="114"/>
        <v/>
      </c>
      <c r="AD399" s="39" t="str">
        <f t="shared" si="115"/>
        <v/>
      </c>
      <c r="AE399" s="39" t="str">
        <f t="shared" si="116"/>
        <v/>
      </c>
      <c r="AF399" s="106" t="str">
        <f t="shared" si="117"/>
        <v/>
      </c>
      <c r="AG399" s="39">
        <f t="shared" si="118"/>
        <v>0</v>
      </c>
      <c r="AH399" s="39" t="str">
        <f t="shared" si="119"/>
        <v/>
      </c>
      <c r="AI399" s="39">
        <f>IF(AND($E399="timed",$N399&gt;=Settings!$C$9),1,0)</f>
        <v>0</v>
      </c>
      <c r="AJ399" s="39" t="str">
        <f>IF(OR($S399="",Settings!$C$16=""),"",IF($S399&lt;=Settings!$C$16,1,2))</f>
        <v/>
      </c>
      <c r="AK399" s="39" t="str">
        <f>IF($C399="","",IFERROR(IF(INDEX(Settings!$C$20:$C$59,MATCH($C399,Settings!$B$20:$B$59,0))="",Settings!$C$10,INDEX(Settings!$C$20:$C$59,MATCH($C399,Settings!$B$20:$B$59,0))),Settings!$C$10))</f>
        <v/>
      </c>
      <c r="AL399" s="108">
        <f t="shared" si="120"/>
        <v>0</v>
      </c>
      <c r="AM399" s="39" t="str">
        <f t="shared" si="121"/>
        <v/>
      </c>
      <c r="AN399" s="39" t="str">
        <f t="shared" si="122"/>
        <v/>
      </c>
      <c r="AO399" s="39" t="str">
        <f t="shared" si="123"/>
        <v/>
      </c>
      <c r="AP399" s="39">
        <f t="shared" si="124"/>
        <v>0</v>
      </c>
      <c r="AQ399" s="39">
        <f t="shared" si="125"/>
        <v>0</v>
      </c>
    </row>
    <row r="400" spans="14:43" x14ac:dyDescent="0.25">
      <c r="N400" s="105">
        <f t="shared" si="108"/>
        <v>0</v>
      </c>
      <c r="O400" s="106" t="str">
        <f>IF($F400="","",IF(ISNUMBER($F400),$F400+Settings!$C$7/24,IFERROR(DATEVALUE(LEFT($F400,10))+TIMEVALUE(MID($F400,12,8))+Settings!$C$7/24,"")))</f>
        <v/>
      </c>
      <c r="P400" s="106" t="str">
        <f>IF($G400="","",IF(ISNUMBER($G400),$G400+Settings!$C$7/24,IFERROR(DATEVALUE(LEFT($G400,10))+TIMEVALUE(MID($G400,12,8))+Settings!$C$7/24,"")))</f>
        <v/>
      </c>
      <c r="Q400" s="39" t="str">
        <f t="shared" si="109"/>
        <v/>
      </c>
      <c r="R400" s="39" t="str">
        <f t="shared" si="110"/>
        <v/>
      </c>
      <c r="S400" s="107" t="str">
        <f t="shared" si="111"/>
        <v/>
      </c>
      <c r="T400" s="39" t="str">
        <f>IF($C400="","",IF(COUNTIF($C$2:$C400,$C400)=1,1,0))</f>
        <v/>
      </c>
      <c r="U400" s="39" t="str">
        <f>IF($T400=1,COUNTIF($T$2:$T400,1),"")</f>
        <v/>
      </c>
      <c r="V400" s="39" t="str">
        <f>IF($B400="","",IF(COUNTIF($B$2:$B400,$B400)=1,1,0))</f>
        <v/>
      </c>
      <c r="W400" s="39" t="str">
        <f>IF($V400=1,COUNTIF($V$2:$V400,1),"")</f>
        <v/>
      </c>
      <c r="X400" s="39" t="str">
        <f>IF($A400="","",IF(COUNTIF($A$2:$A400,$A400)=1,1,0))</f>
        <v/>
      </c>
      <c r="Y400" s="39" t="str">
        <f>IF($X400=1,COUNTIF($X$2:$X400,1),"")</f>
        <v/>
      </c>
      <c r="Z400" s="39">
        <f>IF(AND($E400="timed",$N400&gt;Settings!$C$8),1,0)</f>
        <v>0</v>
      </c>
      <c r="AA400" s="39">
        <f t="shared" si="112"/>
        <v>0</v>
      </c>
      <c r="AB400" s="39">
        <f t="shared" si="113"/>
        <v>0</v>
      </c>
      <c r="AC400" s="39" t="str">
        <f t="shared" si="114"/>
        <v/>
      </c>
      <c r="AD400" s="39" t="str">
        <f t="shared" si="115"/>
        <v/>
      </c>
      <c r="AE400" s="39" t="str">
        <f t="shared" si="116"/>
        <v/>
      </c>
      <c r="AF400" s="106" t="str">
        <f t="shared" si="117"/>
        <v/>
      </c>
      <c r="AG400" s="39">
        <f t="shared" si="118"/>
        <v>0</v>
      </c>
      <c r="AH400" s="39" t="str">
        <f t="shared" si="119"/>
        <v/>
      </c>
      <c r="AI400" s="39">
        <f>IF(AND($E400="timed",$N400&gt;=Settings!$C$9),1,0)</f>
        <v>0</v>
      </c>
      <c r="AJ400" s="39" t="str">
        <f>IF(OR($S400="",Settings!$C$16=""),"",IF($S400&lt;=Settings!$C$16,1,2))</f>
        <v/>
      </c>
      <c r="AK400" s="39" t="str">
        <f>IF($C400="","",IFERROR(IF(INDEX(Settings!$C$20:$C$59,MATCH($C400,Settings!$B$20:$B$59,0))="",Settings!$C$10,INDEX(Settings!$C$20:$C$59,MATCH($C400,Settings!$B$20:$B$59,0))),Settings!$C$10))</f>
        <v/>
      </c>
      <c r="AL400" s="108">
        <f t="shared" si="120"/>
        <v>0</v>
      </c>
      <c r="AM400" s="39" t="str">
        <f t="shared" si="121"/>
        <v/>
      </c>
      <c r="AN400" s="39" t="str">
        <f t="shared" si="122"/>
        <v/>
      </c>
      <c r="AO400" s="39" t="str">
        <f t="shared" si="123"/>
        <v/>
      </c>
      <c r="AP400" s="39">
        <f t="shared" si="124"/>
        <v>0</v>
      </c>
      <c r="AQ400" s="39">
        <f t="shared" si="125"/>
        <v>0</v>
      </c>
    </row>
    <row r="401" spans="14:43" x14ac:dyDescent="0.25">
      <c r="N401" s="105">
        <f t="shared" si="108"/>
        <v>0</v>
      </c>
      <c r="O401" s="106" t="str">
        <f>IF($F401="","",IF(ISNUMBER($F401),$F401+Settings!$C$7/24,IFERROR(DATEVALUE(LEFT($F401,10))+TIMEVALUE(MID($F401,12,8))+Settings!$C$7/24,"")))</f>
        <v/>
      </c>
      <c r="P401" s="106" t="str">
        <f>IF($G401="","",IF(ISNUMBER($G401),$G401+Settings!$C$7/24,IFERROR(DATEVALUE(LEFT($G401,10))+TIMEVALUE(MID($G401,12,8))+Settings!$C$7/24,"")))</f>
        <v/>
      </c>
      <c r="Q401" s="39" t="str">
        <f t="shared" si="109"/>
        <v/>
      </c>
      <c r="R401" s="39" t="str">
        <f t="shared" si="110"/>
        <v/>
      </c>
      <c r="S401" s="107" t="str">
        <f t="shared" si="111"/>
        <v/>
      </c>
      <c r="T401" s="39" t="str">
        <f>IF($C401="","",IF(COUNTIF($C$2:$C401,$C401)=1,1,0))</f>
        <v/>
      </c>
      <c r="U401" s="39" t="str">
        <f>IF($T401=1,COUNTIF($T$2:$T401,1),"")</f>
        <v/>
      </c>
      <c r="V401" s="39" t="str">
        <f>IF($B401="","",IF(COUNTIF($B$2:$B401,$B401)=1,1,0))</f>
        <v/>
      </c>
      <c r="W401" s="39" t="str">
        <f>IF($V401=1,COUNTIF($V$2:$V401,1),"")</f>
        <v/>
      </c>
      <c r="X401" s="39" t="str">
        <f>IF($A401="","",IF(COUNTIF($A$2:$A401,$A401)=1,1,0))</f>
        <v/>
      </c>
      <c r="Y401" s="39" t="str">
        <f>IF($X401=1,COUNTIF($X$2:$X401,1),"")</f>
        <v/>
      </c>
      <c r="Z401" s="39">
        <f>IF(AND($E401="timed",$N401&gt;Settings!$C$8),1,0)</f>
        <v>0</v>
      </c>
      <c r="AA401" s="39">
        <f t="shared" si="112"/>
        <v>0</v>
      </c>
      <c r="AB401" s="39">
        <f t="shared" si="113"/>
        <v>0</v>
      </c>
      <c r="AC401" s="39" t="str">
        <f t="shared" si="114"/>
        <v/>
      </c>
      <c r="AD401" s="39" t="str">
        <f t="shared" si="115"/>
        <v/>
      </c>
      <c r="AE401" s="39" t="str">
        <f t="shared" si="116"/>
        <v/>
      </c>
      <c r="AF401" s="106" t="str">
        <f t="shared" si="117"/>
        <v/>
      </c>
      <c r="AG401" s="39">
        <f t="shared" si="118"/>
        <v>0</v>
      </c>
      <c r="AH401" s="39" t="str">
        <f t="shared" si="119"/>
        <v/>
      </c>
      <c r="AI401" s="39">
        <f>IF(AND($E401="timed",$N401&gt;=Settings!$C$9),1,0)</f>
        <v>0</v>
      </c>
      <c r="AJ401" s="39" t="str">
        <f>IF(OR($S401="",Settings!$C$16=""),"",IF($S401&lt;=Settings!$C$16,1,2))</f>
        <v/>
      </c>
      <c r="AK401" s="39" t="str">
        <f>IF($C401="","",IFERROR(IF(INDEX(Settings!$C$20:$C$59,MATCH($C401,Settings!$B$20:$B$59,0))="",Settings!$C$10,INDEX(Settings!$C$20:$C$59,MATCH($C401,Settings!$B$20:$B$59,0))),Settings!$C$10))</f>
        <v/>
      </c>
      <c r="AL401" s="108">
        <f t="shared" si="120"/>
        <v>0</v>
      </c>
      <c r="AM401" s="39" t="str">
        <f t="shared" si="121"/>
        <v/>
      </c>
      <c r="AN401" s="39" t="str">
        <f t="shared" si="122"/>
        <v/>
      </c>
      <c r="AO401" s="39" t="str">
        <f t="shared" si="123"/>
        <v/>
      </c>
      <c r="AP401" s="39">
        <f t="shared" si="124"/>
        <v>0</v>
      </c>
      <c r="AQ401" s="39">
        <f t="shared" si="125"/>
        <v>0</v>
      </c>
    </row>
    <row r="402" spans="14:43" x14ac:dyDescent="0.25">
      <c r="N402" s="105">
        <f t="shared" si="108"/>
        <v>0</v>
      </c>
      <c r="O402" s="106" t="str">
        <f>IF($F402="","",IF(ISNUMBER($F402),$F402+Settings!$C$7/24,IFERROR(DATEVALUE(LEFT($F402,10))+TIMEVALUE(MID($F402,12,8))+Settings!$C$7/24,"")))</f>
        <v/>
      </c>
      <c r="P402" s="106" t="str">
        <f>IF($G402="","",IF(ISNUMBER($G402),$G402+Settings!$C$7/24,IFERROR(DATEVALUE(LEFT($G402,10))+TIMEVALUE(MID($G402,12,8))+Settings!$C$7/24,"")))</f>
        <v/>
      </c>
      <c r="Q402" s="39" t="str">
        <f t="shared" si="109"/>
        <v/>
      </c>
      <c r="R402" s="39" t="str">
        <f t="shared" si="110"/>
        <v/>
      </c>
      <c r="S402" s="107" t="str">
        <f t="shared" si="111"/>
        <v/>
      </c>
      <c r="T402" s="39" t="str">
        <f>IF($C402="","",IF(COUNTIF($C$2:$C402,$C402)=1,1,0))</f>
        <v/>
      </c>
      <c r="U402" s="39" t="str">
        <f>IF($T402=1,COUNTIF($T$2:$T402,1),"")</f>
        <v/>
      </c>
      <c r="V402" s="39" t="str">
        <f>IF($B402="","",IF(COUNTIF($B$2:$B402,$B402)=1,1,0))</f>
        <v/>
      </c>
      <c r="W402" s="39" t="str">
        <f>IF($V402=1,COUNTIF($V$2:$V402,1),"")</f>
        <v/>
      </c>
      <c r="X402" s="39" t="str">
        <f>IF($A402="","",IF(COUNTIF($A$2:$A402,$A402)=1,1,0))</f>
        <v/>
      </c>
      <c r="Y402" s="39" t="str">
        <f>IF($X402=1,COUNTIF($X$2:$X402,1),"")</f>
        <v/>
      </c>
      <c r="Z402" s="39">
        <f>IF(AND($E402="timed",$N402&gt;Settings!$C$8),1,0)</f>
        <v>0</v>
      </c>
      <c r="AA402" s="39">
        <f t="shared" si="112"/>
        <v>0</v>
      </c>
      <c r="AB402" s="39">
        <f t="shared" si="113"/>
        <v>0</v>
      </c>
      <c r="AC402" s="39" t="str">
        <f t="shared" si="114"/>
        <v/>
      </c>
      <c r="AD402" s="39" t="str">
        <f t="shared" si="115"/>
        <v/>
      </c>
      <c r="AE402" s="39" t="str">
        <f t="shared" si="116"/>
        <v/>
      </c>
      <c r="AF402" s="106" t="str">
        <f t="shared" si="117"/>
        <v/>
      </c>
      <c r="AG402" s="39">
        <f t="shared" si="118"/>
        <v>0</v>
      </c>
      <c r="AH402" s="39" t="str">
        <f t="shared" si="119"/>
        <v/>
      </c>
      <c r="AI402" s="39">
        <f>IF(AND($E402="timed",$N402&gt;=Settings!$C$9),1,0)</f>
        <v>0</v>
      </c>
      <c r="AJ402" s="39" t="str">
        <f>IF(OR($S402="",Settings!$C$16=""),"",IF($S402&lt;=Settings!$C$16,1,2))</f>
        <v/>
      </c>
      <c r="AK402" s="39" t="str">
        <f>IF($C402="","",IFERROR(IF(INDEX(Settings!$C$20:$C$59,MATCH($C402,Settings!$B$20:$B$59,0))="",Settings!$C$10,INDEX(Settings!$C$20:$C$59,MATCH($C402,Settings!$B$20:$B$59,0))),Settings!$C$10))</f>
        <v/>
      </c>
      <c r="AL402" s="108">
        <f t="shared" si="120"/>
        <v>0</v>
      </c>
      <c r="AM402" s="39" t="str">
        <f t="shared" si="121"/>
        <v/>
      </c>
      <c r="AN402" s="39" t="str">
        <f t="shared" si="122"/>
        <v/>
      </c>
      <c r="AO402" s="39" t="str">
        <f t="shared" si="123"/>
        <v/>
      </c>
      <c r="AP402" s="39">
        <f t="shared" si="124"/>
        <v>0</v>
      </c>
      <c r="AQ402" s="39">
        <f t="shared" si="125"/>
        <v>0</v>
      </c>
    </row>
    <row r="403" spans="14:43" x14ac:dyDescent="0.25">
      <c r="N403" s="105">
        <f t="shared" si="108"/>
        <v>0</v>
      </c>
      <c r="O403" s="106" t="str">
        <f>IF($F403="","",IF(ISNUMBER($F403),$F403+Settings!$C$7/24,IFERROR(DATEVALUE(LEFT($F403,10))+TIMEVALUE(MID($F403,12,8))+Settings!$C$7/24,"")))</f>
        <v/>
      </c>
      <c r="P403" s="106" t="str">
        <f>IF($G403="","",IF(ISNUMBER($G403),$G403+Settings!$C$7/24,IFERROR(DATEVALUE(LEFT($G403,10))+TIMEVALUE(MID($G403,12,8))+Settings!$C$7/24,"")))</f>
        <v/>
      </c>
      <c r="Q403" s="39" t="str">
        <f t="shared" si="109"/>
        <v/>
      </c>
      <c r="R403" s="39" t="str">
        <f t="shared" si="110"/>
        <v/>
      </c>
      <c r="S403" s="107" t="str">
        <f t="shared" si="111"/>
        <v/>
      </c>
      <c r="T403" s="39" t="str">
        <f>IF($C403="","",IF(COUNTIF($C$2:$C403,$C403)=1,1,0))</f>
        <v/>
      </c>
      <c r="U403" s="39" t="str">
        <f>IF($T403=1,COUNTIF($T$2:$T403,1),"")</f>
        <v/>
      </c>
      <c r="V403" s="39" t="str">
        <f>IF($B403="","",IF(COUNTIF($B$2:$B403,$B403)=1,1,0))</f>
        <v/>
      </c>
      <c r="W403" s="39" t="str">
        <f>IF($V403=1,COUNTIF($V$2:$V403,1),"")</f>
        <v/>
      </c>
      <c r="X403" s="39" t="str">
        <f>IF($A403="","",IF(COUNTIF($A$2:$A403,$A403)=1,1,0))</f>
        <v/>
      </c>
      <c r="Y403" s="39" t="str">
        <f>IF($X403=1,COUNTIF($X$2:$X403,1),"")</f>
        <v/>
      </c>
      <c r="Z403" s="39">
        <f>IF(AND($E403="timed",$N403&gt;Settings!$C$8),1,0)</f>
        <v>0</v>
      </c>
      <c r="AA403" s="39">
        <f t="shared" si="112"/>
        <v>0</v>
      </c>
      <c r="AB403" s="39">
        <f t="shared" si="113"/>
        <v>0</v>
      </c>
      <c r="AC403" s="39" t="str">
        <f t="shared" si="114"/>
        <v/>
      </c>
      <c r="AD403" s="39" t="str">
        <f t="shared" si="115"/>
        <v/>
      </c>
      <c r="AE403" s="39" t="str">
        <f t="shared" si="116"/>
        <v/>
      </c>
      <c r="AF403" s="106" t="str">
        <f t="shared" si="117"/>
        <v/>
      </c>
      <c r="AG403" s="39">
        <f t="shared" si="118"/>
        <v>0</v>
      </c>
      <c r="AH403" s="39" t="str">
        <f t="shared" si="119"/>
        <v/>
      </c>
      <c r="AI403" s="39">
        <f>IF(AND($E403="timed",$N403&gt;=Settings!$C$9),1,0)</f>
        <v>0</v>
      </c>
      <c r="AJ403" s="39" t="str">
        <f>IF(OR($S403="",Settings!$C$16=""),"",IF($S403&lt;=Settings!$C$16,1,2))</f>
        <v/>
      </c>
      <c r="AK403" s="39" t="str">
        <f>IF($C403="","",IFERROR(IF(INDEX(Settings!$C$20:$C$59,MATCH($C403,Settings!$B$20:$B$59,0))="",Settings!$C$10,INDEX(Settings!$C$20:$C$59,MATCH($C403,Settings!$B$20:$B$59,0))),Settings!$C$10))</f>
        <v/>
      </c>
      <c r="AL403" s="108">
        <f t="shared" si="120"/>
        <v>0</v>
      </c>
      <c r="AM403" s="39" t="str">
        <f t="shared" si="121"/>
        <v/>
      </c>
      <c r="AN403" s="39" t="str">
        <f t="shared" si="122"/>
        <v/>
      </c>
      <c r="AO403" s="39" t="str">
        <f t="shared" si="123"/>
        <v/>
      </c>
      <c r="AP403" s="39">
        <f t="shared" si="124"/>
        <v>0</v>
      </c>
      <c r="AQ403" s="39">
        <f t="shared" si="125"/>
        <v>0</v>
      </c>
    </row>
    <row r="404" spans="14:43" x14ac:dyDescent="0.25">
      <c r="N404" s="105">
        <f t="shared" si="108"/>
        <v>0</v>
      </c>
      <c r="O404" s="106" t="str">
        <f>IF($F404="","",IF(ISNUMBER($F404),$F404+Settings!$C$7/24,IFERROR(DATEVALUE(LEFT($F404,10))+TIMEVALUE(MID($F404,12,8))+Settings!$C$7/24,"")))</f>
        <v/>
      </c>
      <c r="P404" s="106" t="str">
        <f>IF($G404="","",IF(ISNUMBER($G404),$G404+Settings!$C$7/24,IFERROR(DATEVALUE(LEFT($G404,10))+TIMEVALUE(MID($G404,12,8))+Settings!$C$7/24,"")))</f>
        <v/>
      </c>
      <c r="Q404" s="39" t="str">
        <f t="shared" si="109"/>
        <v/>
      </c>
      <c r="R404" s="39" t="str">
        <f t="shared" si="110"/>
        <v/>
      </c>
      <c r="S404" s="107" t="str">
        <f t="shared" si="111"/>
        <v/>
      </c>
      <c r="T404" s="39" t="str">
        <f>IF($C404="","",IF(COUNTIF($C$2:$C404,$C404)=1,1,0))</f>
        <v/>
      </c>
      <c r="U404" s="39" t="str">
        <f>IF($T404=1,COUNTIF($T$2:$T404,1),"")</f>
        <v/>
      </c>
      <c r="V404" s="39" t="str">
        <f>IF($B404="","",IF(COUNTIF($B$2:$B404,$B404)=1,1,0))</f>
        <v/>
      </c>
      <c r="W404" s="39" t="str">
        <f>IF($V404=1,COUNTIF($V$2:$V404,1),"")</f>
        <v/>
      </c>
      <c r="X404" s="39" t="str">
        <f>IF($A404="","",IF(COUNTIF($A$2:$A404,$A404)=1,1,0))</f>
        <v/>
      </c>
      <c r="Y404" s="39" t="str">
        <f>IF($X404=1,COUNTIF($X$2:$X404,1),"")</f>
        <v/>
      </c>
      <c r="Z404" s="39">
        <f>IF(AND($E404="timed",$N404&gt;Settings!$C$8),1,0)</f>
        <v>0</v>
      </c>
      <c r="AA404" s="39">
        <f t="shared" si="112"/>
        <v>0</v>
      </c>
      <c r="AB404" s="39">
        <f t="shared" si="113"/>
        <v>0</v>
      </c>
      <c r="AC404" s="39" t="str">
        <f t="shared" si="114"/>
        <v/>
      </c>
      <c r="AD404" s="39" t="str">
        <f t="shared" si="115"/>
        <v/>
      </c>
      <c r="AE404" s="39" t="str">
        <f t="shared" si="116"/>
        <v/>
      </c>
      <c r="AF404" s="106" t="str">
        <f t="shared" si="117"/>
        <v/>
      </c>
      <c r="AG404" s="39">
        <f t="shared" si="118"/>
        <v>0</v>
      </c>
      <c r="AH404" s="39" t="str">
        <f t="shared" si="119"/>
        <v/>
      </c>
      <c r="AI404" s="39">
        <f>IF(AND($E404="timed",$N404&gt;=Settings!$C$9),1,0)</f>
        <v>0</v>
      </c>
      <c r="AJ404" s="39" t="str">
        <f>IF(OR($S404="",Settings!$C$16=""),"",IF($S404&lt;=Settings!$C$16,1,2))</f>
        <v/>
      </c>
      <c r="AK404" s="39" t="str">
        <f>IF($C404="","",IFERROR(IF(INDEX(Settings!$C$20:$C$59,MATCH($C404,Settings!$B$20:$B$59,0))="",Settings!$C$10,INDEX(Settings!$C$20:$C$59,MATCH($C404,Settings!$B$20:$B$59,0))),Settings!$C$10))</f>
        <v/>
      </c>
      <c r="AL404" s="108">
        <f t="shared" si="120"/>
        <v>0</v>
      </c>
      <c r="AM404" s="39" t="str">
        <f t="shared" si="121"/>
        <v/>
      </c>
      <c r="AN404" s="39" t="str">
        <f t="shared" si="122"/>
        <v/>
      </c>
      <c r="AO404" s="39" t="str">
        <f t="shared" si="123"/>
        <v/>
      </c>
      <c r="AP404" s="39">
        <f t="shared" si="124"/>
        <v>0</v>
      </c>
      <c r="AQ404" s="39">
        <f t="shared" si="125"/>
        <v>0</v>
      </c>
    </row>
    <row r="405" spans="14:43" x14ac:dyDescent="0.25">
      <c r="N405" s="105">
        <f t="shared" si="108"/>
        <v>0</v>
      </c>
      <c r="O405" s="106" t="str">
        <f>IF($F405="","",IF(ISNUMBER($F405),$F405+Settings!$C$7/24,IFERROR(DATEVALUE(LEFT($F405,10))+TIMEVALUE(MID($F405,12,8))+Settings!$C$7/24,"")))</f>
        <v/>
      </c>
      <c r="P405" s="106" t="str">
        <f>IF($G405="","",IF(ISNUMBER($G405),$G405+Settings!$C$7/24,IFERROR(DATEVALUE(LEFT($G405,10))+TIMEVALUE(MID($G405,12,8))+Settings!$C$7/24,"")))</f>
        <v/>
      </c>
      <c r="Q405" s="39" t="str">
        <f t="shared" si="109"/>
        <v/>
      </c>
      <c r="R405" s="39" t="str">
        <f t="shared" si="110"/>
        <v/>
      </c>
      <c r="S405" s="107" t="str">
        <f t="shared" si="111"/>
        <v/>
      </c>
      <c r="T405" s="39" t="str">
        <f>IF($C405="","",IF(COUNTIF($C$2:$C405,$C405)=1,1,0))</f>
        <v/>
      </c>
      <c r="U405" s="39" t="str">
        <f>IF($T405=1,COUNTIF($T$2:$T405,1),"")</f>
        <v/>
      </c>
      <c r="V405" s="39" t="str">
        <f>IF($B405="","",IF(COUNTIF($B$2:$B405,$B405)=1,1,0))</f>
        <v/>
      </c>
      <c r="W405" s="39" t="str">
        <f>IF($V405=1,COUNTIF($V$2:$V405,1),"")</f>
        <v/>
      </c>
      <c r="X405" s="39" t="str">
        <f>IF($A405="","",IF(COUNTIF($A$2:$A405,$A405)=1,1,0))</f>
        <v/>
      </c>
      <c r="Y405" s="39" t="str">
        <f>IF($X405=1,COUNTIF($X$2:$X405,1),"")</f>
        <v/>
      </c>
      <c r="Z405" s="39">
        <f>IF(AND($E405="timed",$N405&gt;Settings!$C$8),1,0)</f>
        <v>0</v>
      </c>
      <c r="AA405" s="39">
        <f t="shared" si="112"/>
        <v>0</v>
      </c>
      <c r="AB405" s="39">
        <f t="shared" si="113"/>
        <v>0</v>
      </c>
      <c r="AC405" s="39" t="str">
        <f t="shared" si="114"/>
        <v/>
      </c>
      <c r="AD405" s="39" t="str">
        <f t="shared" si="115"/>
        <v/>
      </c>
      <c r="AE405" s="39" t="str">
        <f t="shared" si="116"/>
        <v/>
      </c>
      <c r="AF405" s="106" t="str">
        <f t="shared" si="117"/>
        <v/>
      </c>
      <c r="AG405" s="39">
        <f t="shared" si="118"/>
        <v>0</v>
      </c>
      <c r="AH405" s="39" t="str">
        <f t="shared" si="119"/>
        <v/>
      </c>
      <c r="AI405" s="39">
        <f>IF(AND($E405="timed",$N405&gt;=Settings!$C$9),1,0)</f>
        <v>0</v>
      </c>
      <c r="AJ405" s="39" t="str">
        <f>IF(OR($S405="",Settings!$C$16=""),"",IF($S405&lt;=Settings!$C$16,1,2))</f>
        <v/>
      </c>
      <c r="AK405" s="39" t="str">
        <f>IF($C405="","",IFERROR(IF(INDEX(Settings!$C$20:$C$59,MATCH($C405,Settings!$B$20:$B$59,0))="",Settings!$C$10,INDEX(Settings!$C$20:$C$59,MATCH($C405,Settings!$B$20:$B$59,0))),Settings!$C$10))</f>
        <v/>
      </c>
      <c r="AL405" s="108">
        <f t="shared" si="120"/>
        <v>0</v>
      </c>
      <c r="AM405" s="39" t="str">
        <f t="shared" si="121"/>
        <v/>
      </c>
      <c r="AN405" s="39" t="str">
        <f t="shared" si="122"/>
        <v/>
      </c>
      <c r="AO405" s="39" t="str">
        <f t="shared" si="123"/>
        <v/>
      </c>
      <c r="AP405" s="39">
        <f t="shared" si="124"/>
        <v>0</v>
      </c>
      <c r="AQ405" s="39">
        <f t="shared" si="125"/>
        <v>0</v>
      </c>
    </row>
    <row r="406" spans="14:43" x14ac:dyDescent="0.25">
      <c r="N406" s="105">
        <f t="shared" si="108"/>
        <v>0</v>
      </c>
      <c r="O406" s="106" t="str">
        <f>IF($F406="","",IF(ISNUMBER($F406),$F406+Settings!$C$7/24,IFERROR(DATEVALUE(LEFT($F406,10))+TIMEVALUE(MID($F406,12,8))+Settings!$C$7/24,"")))</f>
        <v/>
      </c>
      <c r="P406" s="106" t="str">
        <f>IF($G406="","",IF(ISNUMBER($G406),$G406+Settings!$C$7/24,IFERROR(DATEVALUE(LEFT($G406,10))+TIMEVALUE(MID($G406,12,8))+Settings!$C$7/24,"")))</f>
        <v/>
      </c>
      <c r="Q406" s="39" t="str">
        <f t="shared" si="109"/>
        <v/>
      </c>
      <c r="R406" s="39" t="str">
        <f t="shared" si="110"/>
        <v/>
      </c>
      <c r="S406" s="107" t="str">
        <f t="shared" si="111"/>
        <v/>
      </c>
      <c r="T406" s="39" t="str">
        <f>IF($C406="","",IF(COUNTIF($C$2:$C406,$C406)=1,1,0))</f>
        <v/>
      </c>
      <c r="U406" s="39" t="str">
        <f>IF($T406=1,COUNTIF($T$2:$T406,1),"")</f>
        <v/>
      </c>
      <c r="V406" s="39" t="str">
        <f>IF($B406="","",IF(COUNTIF($B$2:$B406,$B406)=1,1,0))</f>
        <v/>
      </c>
      <c r="W406" s="39" t="str">
        <f>IF($V406=1,COUNTIF($V$2:$V406,1),"")</f>
        <v/>
      </c>
      <c r="X406" s="39" t="str">
        <f>IF($A406="","",IF(COUNTIF($A$2:$A406,$A406)=1,1,0))</f>
        <v/>
      </c>
      <c r="Y406" s="39" t="str">
        <f>IF($X406=1,COUNTIF($X$2:$X406,1),"")</f>
        <v/>
      </c>
      <c r="Z406" s="39">
        <f>IF(AND($E406="timed",$N406&gt;Settings!$C$8),1,0)</f>
        <v>0</v>
      </c>
      <c r="AA406" s="39">
        <f t="shared" si="112"/>
        <v>0</v>
      </c>
      <c r="AB406" s="39">
        <f t="shared" si="113"/>
        <v>0</v>
      </c>
      <c r="AC406" s="39" t="str">
        <f t="shared" si="114"/>
        <v/>
      </c>
      <c r="AD406" s="39" t="str">
        <f t="shared" si="115"/>
        <v/>
      </c>
      <c r="AE406" s="39" t="str">
        <f t="shared" si="116"/>
        <v/>
      </c>
      <c r="AF406" s="106" t="str">
        <f t="shared" si="117"/>
        <v/>
      </c>
      <c r="AG406" s="39">
        <f t="shared" si="118"/>
        <v>0</v>
      </c>
      <c r="AH406" s="39" t="str">
        <f t="shared" si="119"/>
        <v/>
      </c>
      <c r="AI406" s="39">
        <f>IF(AND($E406="timed",$N406&gt;=Settings!$C$9),1,0)</f>
        <v>0</v>
      </c>
      <c r="AJ406" s="39" t="str">
        <f>IF(OR($S406="",Settings!$C$16=""),"",IF($S406&lt;=Settings!$C$16,1,2))</f>
        <v/>
      </c>
      <c r="AK406" s="39" t="str">
        <f>IF($C406="","",IFERROR(IF(INDEX(Settings!$C$20:$C$59,MATCH($C406,Settings!$B$20:$B$59,0))="",Settings!$C$10,INDEX(Settings!$C$20:$C$59,MATCH($C406,Settings!$B$20:$B$59,0))),Settings!$C$10))</f>
        <v/>
      </c>
      <c r="AL406" s="108">
        <f t="shared" si="120"/>
        <v>0</v>
      </c>
      <c r="AM406" s="39" t="str">
        <f t="shared" si="121"/>
        <v/>
      </c>
      <c r="AN406" s="39" t="str">
        <f t="shared" si="122"/>
        <v/>
      </c>
      <c r="AO406" s="39" t="str">
        <f t="shared" si="123"/>
        <v/>
      </c>
      <c r="AP406" s="39">
        <f t="shared" si="124"/>
        <v>0</v>
      </c>
      <c r="AQ406" s="39">
        <f t="shared" si="125"/>
        <v>0</v>
      </c>
    </row>
    <row r="407" spans="14:43" x14ac:dyDescent="0.25">
      <c r="N407" s="105">
        <f t="shared" si="108"/>
        <v>0</v>
      </c>
      <c r="O407" s="106" t="str">
        <f>IF($F407="","",IF(ISNUMBER($F407),$F407+Settings!$C$7/24,IFERROR(DATEVALUE(LEFT($F407,10))+TIMEVALUE(MID($F407,12,8))+Settings!$C$7/24,"")))</f>
        <v/>
      </c>
      <c r="P407" s="106" t="str">
        <f>IF($G407="","",IF(ISNUMBER($G407),$G407+Settings!$C$7/24,IFERROR(DATEVALUE(LEFT($G407,10))+TIMEVALUE(MID($G407,12,8))+Settings!$C$7/24,"")))</f>
        <v/>
      </c>
      <c r="Q407" s="39" t="str">
        <f t="shared" si="109"/>
        <v/>
      </c>
      <c r="R407" s="39" t="str">
        <f t="shared" si="110"/>
        <v/>
      </c>
      <c r="S407" s="107" t="str">
        <f t="shared" si="111"/>
        <v/>
      </c>
      <c r="T407" s="39" t="str">
        <f>IF($C407="","",IF(COUNTIF($C$2:$C407,$C407)=1,1,0))</f>
        <v/>
      </c>
      <c r="U407" s="39" t="str">
        <f>IF($T407=1,COUNTIF($T$2:$T407,1),"")</f>
        <v/>
      </c>
      <c r="V407" s="39" t="str">
        <f>IF($B407="","",IF(COUNTIF($B$2:$B407,$B407)=1,1,0))</f>
        <v/>
      </c>
      <c r="W407" s="39" t="str">
        <f>IF($V407=1,COUNTIF($V$2:$V407,1),"")</f>
        <v/>
      </c>
      <c r="X407" s="39" t="str">
        <f>IF($A407="","",IF(COUNTIF($A$2:$A407,$A407)=1,1,0))</f>
        <v/>
      </c>
      <c r="Y407" s="39" t="str">
        <f>IF($X407=1,COUNTIF($X$2:$X407,1),"")</f>
        <v/>
      </c>
      <c r="Z407" s="39">
        <f>IF(AND($E407="timed",$N407&gt;Settings!$C$8),1,0)</f>
        <v>0</v>
      </c>
      <c r="AA407" s="39">
        <f t="shared" si="112"/>
        <v>0</v>
      </c>
      <c r="AB407" s="39">
        <f t="shared" si="113"/>
        <v>0</v>
      </c>
      <c r="AC407" s="39" t="str">
        <f t="shared" si="114"/>
        <v/>
      </c>
      <c r="AD407" s="39" t="str">
        <f t="shared" si="115"/>
        <v/>
      </c>
      <c r="AE407" s="39" t="str">
        <f t="shared" si="116"/>
        <v/>
      </c>
      <c r="AF407" s="106" t="str">
        <f t="shared" si="117"/>
        <v/>
      </c>
      <c r="AG407" s="39">
        <f t="shared" si="118"/>
        <v>0</v>
      </c>
      <c r="AH407" s="39" t="str">
        <f t="shared" si="119"/>
        <v/>
      </c>
      <c r="AI407" s="39">
        <f>IF(AND($E407="timed",$N407&gt;=Settings!$C$9),1,0)</f>
        <v>0</v>
      </c>
      <c r="AJ407" s="39" t="str">
        <f>IF(OR($S407="",Settings!$C$16=""),"",IF($S407&lt;=Settings!$C$16,1,2))</f>
        <v/>
      </c>
      <c r="AK407" s="39" t="str">
        <f>IF($C407="","",IFERROR(IF(INDEX(Settings!$C$20:$C$59,MATCH($C407,Settings!$B$20:$B$59,0))="",Settings!$C$10,INDEX(Settings!$C$20:$C$59,MATCH($C407,Settings!$B$20:$B$59,0))),Settings!$C$10))</f>
        <v/>
      </c>
      <c r="AL407" s="108">
        <f t="shared" si="120"/>
        <v>0</v>
      </c>
      <c r="AM407" s="39" t="str">
        <f t="shared" si="121"/>
        <v/>
      </c>
      <c r="AN407" s="39" t="str">
        <f t="shared" si="122"/>
        <v/>
      </c>
      <c r="AO407" s="39" t="str">
        <f t="shared" si="123"/>
        <v/>
      </c>
      <c r="AP407" s="39">
        <f t="shared" si="124"/>
        <v>0</v>
      </c>
      <c r="AQ407" s="39">
        <f t="shared" si="125"/>
        <v>0</v>
      </c>
    </row>
    <row r="408" spans="14:43" x14ac:dyDescent="0.25">
      <c r="N408" s="105">
        <f t="shared" si="108"/>
        <v>0</v>
      </c>
      <c r="O408" s="106" t="str">
        <f>IF($F408="","",IF(ISNUMBER($F408),$F408+Settings!$C$7/24,IFERROR(DATEVALUE(LEFT($F408,10))+TIMEVALUE(MID($F408,12,8))+Settings!$C$7/24,"")))</f>
        <v/>
      </c>
      <c r="P408" s="106" t="str">
        <f>IF($G408="","",IF(ISNUMBER($G408),$G408+Settings!$C$7/24,IFERROR(DATEVALUE(LEFT($G408,10))+TIMEVALUE(MID($G408,12,8))+Settings!$C$7/24,"")))</f>
        <v/>
      </c>
      <c r="Q408" s="39" t="str">
        <f t="shared" si="109"/>
        <v/>
      </c>
      <c r="R408" s="39" t="str">
        <f t="shared" si="110"/>
        <v/>
      </c>
      <c r="S408" s="107" t="str">
        <f t="shared" si="111"/>
        <v/>
      </c>
      <c r="T408" s="39" t="str">
        <f>IF($C408="","",IF(COUNTIF($C$2:$C408,$C408)=1,1,0))</f>
        <v/>
      </c>
      <c r="U408" s="39" t="str">
        <f>IF($T408=1,COUNTIF($T$2:$T408,1),"")</f>
        <v/>
      </c>
      <c r="V408" s="39" t="str">
        <f>IF($B408="","",IF(COUNTIF($B$2:$B408,$B408)=1,1,0))</f>
        <v/>
      </c>
      <c r="W408" s="39" t="str">
        <f>IF($V408=1,COUNTIF($V$2:$V408,1),"")</f>
        <v/>
      </c>
      <c r="X408" s="39" t="str">
        <f>IF($A408="","",IF(COUNTIF($A$2:$A408,$A408)=1,1,0))</f>
        <v/>
      </c>
      <c r="Y408" s="39" t="str">
        <f>IF($X408=1,COUNTIF($X$2:$X408,1),"")</f>
        <v/>
      </c>
      <c r="Z408" s="39">
        <f>IF(AND($E408="timed",$N408&gt;Settings!$C$8),1,0)</f>
        <v>0</v>
      </c>
      <c r="AA408" s="39">
        <f t="shared" si="112"/>
        <v>0</v>
      </c>
      <c r="AB408" s="39">
        <f t="shared" si="113"/>
        <v>0</v>
      </c>
      <c r="AC408" s="39" t="str">
        <f t="shared" si="114"/>
        <v/>
      </c>
      <c r="AD408" s="39" t="str">
        <f t="shared" si="115"/>
        <v/>
      </c>
      <c r="AE408" s="39" t="str">
        <f t="shared" si="116"/>
        <v/>
      </c>
      <c r="AF408" s="106" t="str">
        <f t="shared" si="117"/>
        <v/>
      </c>
      <c r="AG408" s="39">
        <f t="shared" si="118"/>
        <v>0</v>
      </c>
      <c r="AH408" s="39" t="str">
        <f t="shared" si="119"/>
        <v/>
      </c>
      <c r="AI408" s="39">
        <f>IF(AND($E408="timed",$N408&gt;=Settings!$C$9),1,0)</f>
        <v>0</v>
      </c>
      <c r="AJ408" s="39" t="str">
        <f>IF(OR($S408="",Settings!$C$16=""),"",IF($S408&lt;=Settings!$C$16,1,2))</f>
        <v/>
      </c>
      <c r="AK408" s="39" t="str">
        <f>IF($C408="","",IFERROR(IF(INDEX(Settings!$C$20:$C$59,MATCH($C408,Settings!$B$20:$B$59,0))="",Settings!$C$10,INDEX(Settings!$C$20:$C$59,MATCH($C408,Settings!$B$20:$B$59,0))),Settings!$C$10))</f>
        <v/>
      </c>
      <c r="AL408" s="108">
        <f t="shared" si="120"/>
        <v>0</v>
      </c>
      <c r="AM408" s="39" t="str">
        <f t="shared" si="121"/>
        <v/>
      </c>
      <c r="AN408" s="39" t="str">
        <f t="shared" si="122"/>
        <v/>
      </c>
      <c r="AO408" s="39" t="str">
        <f t="shared" si="123"/>
        <v/>
      </c>
      <c r="AP408" s="39">
        <f t="shared" si="124"/>
        <v>0</v>
      </c>
      <c r="AQ408" s="39">
        <f t="shared" si="125"/>
        <v>0</v>
      </c>
    </row>
    <row r="409" spans="14:43" x14ac:dyDescent="0.25">
      <c r="N409" s="105">
        <f t="shared" si="108"/>
        <v>0</v>
      </c>
      <c r="O409" s="106" t="str">
        <f>IF($F409="","",IF(ISNUMBER($F409),$F409+Settings!$C$7/24,IFERROR(DATEVALUE(LEFT($F409,10))+TIMEVALUE(MID($F409,12,8))+Settings!$C$7/24,"")))</f>
        <v/>
      </c>
      <c r="P409" s="106" t="str">
        <f>IF($G409="","",IF(ISNUMBER($G409),$G409+Settings!$C$7/24,IFERROR(DATEVALUE(LEFT($G409,10))+TIMEVALUE(MID($G409,12,8))+Settings!$C$7/24,"")))</f>
        <v/>
      </c>
      <c r="Q409" s="39" t="str">
        <f t="shared" si="109"/>
        <v/>
      </c>
      <c r="R409" s="39" t="str">
        <f t="shared" si="110"/>
        <v/>
      </c>
      <c r="S409" s="107" t="str">
        <f t="shared" si="111"/>
        <v/>
      </c>
      <c r="T409" s="39" t="str">
        <f>IF($C409="","",IF(COUNTIF($C$2:$C409,$C409)=1,1,0))</f>
        <v/>
      </c>
      <c r="U409" s="39" t="str">
        <f>IF($T409=1,COUNTIF($T$2:$T409,1),"")</f>
        <v/>
      </c>
      <c r="V409" s="39" t="str">
        <f>IF($B409="","",IF(COUNTIF($B$2:$B409,$B409)=1,1,0))</f>
        <v/>
      </c>
      <c r="W409" s="39" t="str">
        <f>IF($V409=1,COUNTIF($V$2:$V409,1),"")</f>
        <v/>
      </c>
      <c r="X409" s="39" t="str">
        <f>IF($A409="","",IF(COUNTIF($A$2:$A409,$A409)=1,1,0))</f>
        <v/>
      </c>
      <c r="Y409" s="39" t="str">
        <f>IF($X409=1,COUNTIF($X$2:$X409,1),"")</f>
        <v/>
      </c>
      <c r="Z409" s="39">
        <f>IF(AND($E409="timed",$N409&gt;Settings!$C$8),1,0)</f>
        <v>0</v>
      </c>
      <c r="AA409" s="39">
        <f t="shared" si="112"/>
        <v>0</v>
      </c>
      <c r="AB409" s="39">
        <f t="shared" si="113"/>
        <v>0</v>
      </c>
      <c r="AC409" s="39" t="str">
        <f t="shared" si="114"/>
        <v/>
      </c>
      <c r="AD409" s="39" t="str">
        <f t="shared" si="115"/>
        <v/>
      </c>
      <c r="AE409" s="39" t="str">
        <f t="shared" si="116"/>
        <v/>
      </c>
      <c r="AF409" s="106" t="str">
        <f t="shared" si="117"/>
        <v/>
      </c>
      <c r="AG409" s="39">
        <f t="shared" si="118"/>
        <v>0</v>
      </c>
      <c r="AH409" s="39" t="str">
        <f t="shared" si="119"/>
        <v/>
      </c>
      <c r="AI409" s="39">
        <f>IF(AND($E409="timed",$N409&gt;=Settings!$C$9),1,0)</f>
        <v>0</v>
      </c>
      <c r="AJ409" s="39" t="str">
        <f>IF(OR($S409="",Settings!$C$16=""),"",IF($S409&lt;=Settings!$C$16,1,2))</f>
        <v/>
      </c>
      <c r="AK409" s="39" t="str">
        <f>IF($C409="","",IFERROR(IF(INDEX(Settings!$C$20:$C$59,MATCH($C409,Settings!$B$20:$B$59,0))="",Settings!$C$10,INDEX(Settings!$C$20:$C$59,MATCH($C409,Settings!$B$20:$B$59,0))),Settings!$C$10))</f>
        <v/>
      </c>
      <c r="AL409" s="108">
        <f t="shared" si="120"/>
        <v>0</v>
      </c>
      <c r="AM409" s="39" t="str">
        <f t="shared" si="121"/>
        <v/>
      </c>
      <c r="AN409" s="39" t="str">
        <f t="shared" si="122"/>
        <v/>
      </c>
      <c r="AO409" s="39" t="str">
        <f t="shared" si="123"/>
        <v/>
      </c>
      <c r="AP409" s="39">
        <f t="shared" si="124"/>
        <v>0</v>
      </c>
      <c r="AQ409" s="39">
        <f t="shared" si="125"/>
        <v>0</v>
      </c>
    </row>
    <row r="410" spans="14:43" x14ac:dyDescent="0.25">
      <c r="N410" s="105">
        <f t="shared" si="108"/>
        <v>0</v>
      </c>
      <c r="O410" s="106" t="str">
        <f>IF($F410="","",IF(ISNUMBER($F410),$F410+Settings!$C$7/24,IFERROR(DATEVALUE(LEFT($F410,10))+TIMEVALUE(MID($F410,12,8))+Settings!$C$7/24,"")))</f>
        <v/>
      </c>
      <c r="P410" s="106" t="str">
        <f>IF($G410="","",IF(ISNUMBER($G410),$G410+Settings!$C$7/24,IFERROR(DATEVALUE(LEFT($G410,10))+TIMEVALUE(MID($G410,12,8))+Settings!$C$7/24,"")))</f>
        <v/>
      </c>
      <c r="Q410" s="39" t="str">
        <f t="shared" si="109"/>
        <v/>
      </c>
      <c r="R410" s="39" t="str">
        <f t="shared" si="110"/>
        <v/>
      </c>
      <c r="S410" s="107" t="str">
        <f t="shared" si="111"/>
        <v/>
      </c>
      <c r="T410" s="39" t="str">
        <f>IF($C410="","",IF(COUNTIF($C$2:$C410,$C410)=1,1,0))</f>
        <v/>
      </c>
      <c r="U410" s="39" t="str">
        <f>IF($T410=1,COUNTIF($T$2:$T410,1),"")</f>
        <v/>
      </c>
      <c r="V410" s="39" t="str">
        <f>IF($B410="","",IF(COUNTIF($B$2:$B410,$B410)=1,1,0))</f>
        <v/>
      </c>
      <c r="W410" s="39" t="str">
        <f>IF($V410=1,COUNTIF($V$2:$V410,1),"")</f>
        <v/>
      </c>
      <c r="X410" s="39" t="str">
        <f>IF($A410="","",IF(COUNTIF($A$2:$A410,$A410)=1,1,0))</f>
        <v/>
      </c>
      <c r="Y410" s="39" t="str">
        <f>IF($X410=1,COUNTIF($X$2:$X410,1),"")</f>
        <v/>
      </c>
      <c r="Z410" s="39">
        <f>IF(AND($E410="timed",$N410&gt;Settings!$C$8),1,0)</f>
        <v>0</v>
      </c>
      <c r="AA410" s="39">
        <f t="shared" si="112"/>
        <v>0</v>
      </c>
      <c r="AB410" s="39">
        <f t="shared" si="113"/>
        <v>0</v>
      </c>
      <c r="AC410" s="39" t="str">
        <f t="shared" si="114"/>
        <v/>
      </c>
      <c r="AD410" s="39" t="str">
        <f t="shared" si="115"/>
        <v/>
      </c>
      <c r="AE410" s="39" t="str">
        <f t="shared" si="116"/>
        <v/>
      </c>
      <c r="AF410" s="106" t="str">
        <f t="shared" si="117"/>
        <v/>
      </c>
      <c r="AG410" s="39">
        <f t="shared" si="118"/>
        <v>0</v>
      </c>
      <c r="AH410" s="39" t="str">
        <f t="shared" si="119"/>
        <v/>
      </c>
      <c r="AI410" s="39">
        <f>IF(AND($E410="timed",$N410&gt;=Settings!$C$9),1,0)</f>
        <v>0</v>
      </c>
      <c r="AJ410" s="39" t="str">
        <f>IF(OR($S410="",Settings!$C$16=""),"",IF($S410&lt;=Settings!$C$16,1,2))</f>
        <v/>
      </c>
      <c r="AK410" s="39" t="str">
        <f>IF($C410="","",IFERROR(IF(INDEX(Settings!$C$20:$C$59,MATCH($C410,Settings!$B$20:$B$59,0))="",Settings!$C$10,INDEX(Settings!$C$20:$C$59,MATCH($C410,Settings!$B$20:$B$59,0))),Settings!$C$10))</f>
        <v/>
      </c>
      <c r="AL410" s="108">
        <f t="shared" si="120"/>
        <v>0</v>
      </c>
      <c r="AM410" s="39" t="str">
        <f t="shared" si="121"/>
        <v/>
      </c>
      <c r="AN410" s="39" t="str">
        <f t="shared" si="122"/>
        <v/>
      </c>
      <c r="AO410" s="39" t="str">
        <f t="shared" si="123"/>
        <v/>
      </c>
      <c r="AP410" s="39">
        <f t="shared" si="124"/>
        <v>0</v>
      </c>
      <c r="AQ410" s="39">
        <f t="shared" si="125"/>
        <v>0</v>
      </c>
    </row>
    <row r="411" spans="14:43" x14ac:dyDescent="0.25">
      <c r="N411" s="105">
        <f t="shared" si="108"/>
        <v>0</v>
      </c>
      <c r="O411" s="106" t="str">
        <f>IF($F411="","",IF(ISNUMBER($F411),$F411+Settings!$C$7/24,IFERROR(DATEVALUE(LEFT($F411,10))+TIMEVALUE(MID($F411,12,8))+Settings!$C$7/24,"")))</f>
        <v/>
      </c>
      <c r="P411" s="106" t="str">
        <f>IF($G411="","",IF(ISNUMBER($G411),$G411+Settings!$C$7/24,IFERROR(DATEVALUE(LEFT($G411,10))+TIMEVALUE(MID($G411,12,8))+Settings!$C$7/24,"")))</f>
        <v/>
      </c>
      <c r="Q411" s="39" t="str">
        <f t="shared" si="109"/>
        <v/>
      </c>
      <c r="R411" s="39" t="str">
        <f t="shared" si="110"/>
        <v/>
      </c>
      <c r="S411" s="107" t="str">
        <f t="shared" si="111"/>
        <v/>
      </c>
      <c r="T411" s="39" t="str">
        <f>IF($C411="","",IF(COUNTIF($C$2:$C411,$C411)=1,1,0))</f>
        <v/>
      </c>
      <c r="U411" s="39" t="str">
        <f>IF($T411=1,COUNTIF($T$2:$T411,1),"")</f>
        <v/>
      </c>
      <c r="V411" s="39" t="str">
        <f>IF($B411="","",IF(COUNTIF($B$2:$B411,$B411)=1,1,0))</f>
        <v/>
      </c>
      <c r="W411" s="39" t="str">
        <f>IF($V411=1,COUNTIF($V$2:$V411,1),"")</f>
        <v/>
      </c>
      <c r="X411" s="39" t="str">
        <f>IF($A411="","",IF(COUNTIF($A$2:$A411,$A411)=1,1,0))</f>
        <v/>
      </c>
      <c r="Y411" s="39" t="str">
        <f>IF($X411=1,COUNTIF($X$2:$X411,1),"")</f>
        <v/>
      </c>
      <c r="Z411" s="39">
        <f>IF(AND($E411="timed",$N411&gt;Settings!$C$8),1,0)</f>
        <v>0</v>
      </c>
      <c r="AA411" s="39">
        <f t="shared" si="112"/>
        <v>0</v>
      </c>
      <c r="AB411" s="39">
        <f t="shared" si="113"/>
        <v>0</v>
      </c>
      <c r="AC411" s="39" t="str">
        <f t="shared" si="114"/>
        <v/>
      </c>
      <c r="AD411" s="39" t="str">
        <f t="shared" si="115"/>
        <v/>
      </c>
      <c r="AE411" s="39" t="str">
        <f t="shared" si="116"/>
        <v/>
      </c>
      <c r="AF411" s="106" t="str">
        <f t="shared" si="117"/>
        <v/>
      </c>
      <c r="AG411" s="39">
        <f t="shared" si="118"/>
        <v>0</v>
      </c>
      <c r="AH411" s="39" t="str">
        <f t="shared" si="119"/>
        <v/>
      </c>
      <c r="AI411" s="39">
        <f>IF(AND($E411="timed",$N411&gt;=Settings!$C$9),1,0)</f>
        <v>0</v>
      </c>
      <c r="AJ411" s="39" t="str">
        <f>IF(OR($S411="",Settings!$C$16=""),"",IF($S411&lt;=Settings!$C$16,1,2))</f>
        <v/>
      </c>
      <c r="AK411" s="39" t="str">
        <f>IF($C411="","",IFERROR(IF(INDEX(Settings!$C$20:$C$59,MATCH($C411,Settings!$B$20:$B$59,0))="",Settings!$C$10,INDEX(Settings!$C$20:$C$59,MATCH($C411,Settings!$B$20:$B$59,0))),Settings!$C$10))</f>
        <v/>
      </c>
      <c r="AL411" s="108">
        <f t="shared" si="120"/>
        <v>0</v>
      </c>
      <c r="AM411" s="39" t="str">
        <f t="shared" si="121"/>
        <v/>
      </c>
      <c r="AN411" s="39" t="str">
        <f t="shared" si="122"/>
        <v/>
      </c>
      <c r="AO411" s="39" t="str">
        <f t="shared" si="123"/>
        <v/>
      </c>
      <c r="AP411" s="39">
        <f t="shared" si="124"/>
        <v>0</v>
      </c>
      <c r="AQ411" s="39">
        <f t="shared" si="125"/>
        <v>0</v>
      </c>
    </row>
    <row r="412" spans="14:43" x14ac:dyDescent="0.25">
      <c r="N412" s="105">
        <f t="shared" si="108"/>
        <v>0</v>
      </c>
      <c r="O412" s="106" t="str">
        <f>IF($F412="","",IF(ISNUMBER($F412),$F412+Settings!$C$7/24,IFERROR(DATEVALUE(LEFT($F412,10))+TIMEVALUE(MID($F412,12,8))+Settings!$C$7/24,"")))</f>
        <v/>
      </c>
      <c r="P412" s="106" t="str">
        <f>IF($G412="","",IF(ISNUMBER($G412),$G412+Settings!$C$7/24,IFERROR(DATEVALUE(LEFT($G412,10))+TIMEVALUE(MID($G412,12,8))+Settings!$C$7/24,"")))</f>
        <v/>
      </c>
      <c r="Q412" s="39" t="str">
        <f t="shared" si="109"/>
        <v/>
      </c>
      <c r="R412" s="39" t="str">
        <f t="shared" si="110"/>
        <v/>
      </c>
      <c r="S412" s="107" t="str">
        <f t="shared" si="111"/>
        <v/>
      </c>
      <c r="T412" s="39" t="str">
        <f>IF($C412="","",IF(COUNTIF($C$2:$C412,$C412)=1,1,0))</f>
        <v/>
      </c>
      <c r="U412" s="39" t="str">
        <f>IF($T412=1,COUNTIF($T$2:$T412,1),"")</f>
        <v/>
      </c>
      <c r="V412" s="39" t="str">
        <f>IF($B412="","",IF(COUNTIF($B$2:$B412,$B412)=1,1,0))</f>
        <v/>
      </c>
      <c r="W412" s="39" t="str">
        <f>IF($V412=1,COUNTIF($V$2:$V412,1),"")</f>
        <v/>
      </c>
      <c r="X412" s="39" t="str">
        <f>IF($A412="","",IF(COUNTIF($A$2:$A412,$A412)=1,1,0))</f>
        <v/>
      </c>
      <c r="Y412" s="39" t="str">
        <f>IF($X412=1,COUNTIF($X$2:$X412,1),"")</f>
        <v/>
      </c>
      <c r="Z412" s="39">
        <f>IF(AND($E412="timed",$N412&gt;Settings!$C$8),1,0)</f>
        <v>0</v>
      </c>
      <c r="AA412" s="39">
        <f t="shared" si="112"/>
        <v>0</v>
      </c>
      <c r="AB412" s="39">
        <f t="shared" si="113"/>
        <v>0</v>
      </c>
      <c r="AC412" s="39" t="str">
        <f t="shared" si="114"/>
        <v/>
      </c>
      <c r="AD412" s="39" t="str">
        <f t="shared" si="115"/>
        <v/>
      </c>
      <c r="AE412" s="39" t="str">
        <f t="shared" si="116"/>
        <v/>
      </c>
      <c r="AF412" s="106" t="str">
        <f t="shared" si="117"/>
        <v/>
      </c>
      <c r="AG412" s="39">
        <f t="shared" si="118"/>
        <v>0</v>
      </c>
      <c r="AH412" s="39" t="str">
        <f t="shared" si="119"/>
        <v/>
      </c>
      <c r="AI412" s="39">
        <f>IF(AND($E412="timed",$N412&gt;=Settings!$C$9),1,0)</f>
        <v>0</v>
      </c>
      <c r="AJ412" s="39" t="str">
        <f>IF(OR($S412="",Settings!$C$16=""),"",IF($S412&lt;=Settings!$C$16,1,2))</f>
        <v/>
      </c>
      <c r="AK412" s="39" t="str">
        <f>IF($C412="","",IFERROR(IF(INDEX(Settings!$C$20:$C$59,MATCH($C412,Settings!$B$20:$B$59,0))="",Settings!$C$10,INDEX(Settings!$C$20:$C$59,MATCH($C412,Settings!$B$20:$B$59,0))),Settings!$C$10))</f>
        <v/>
      </c>
      <c r="AL412" s="108">
        <f t="shared" si="120"/>
        <v>0</v>
      </c>
      <c r="AM412" s="39" t="str">
        <f t="shared" si="121"/>
        <v/>
      </c>
      <c r="AN412" s="39" t="str">
        <f t="shared" si="122"/>
        <v/>
      </c>
      <c r="AO412" s="39" t="str">
        <f t="shared" si="123"/>
        <v/>
      </c>
      <c r="AP412" s="39">
        <f t="shared" si="124"/>
        <v>0</v>
      </c>
      <c r="AQ412" s="39">
        <f t="shared" si="125"/>
        <v>0</v>
      </c>
    </row>
    <row r="413" spans="14:43" x14ac:dyDescent="0.25">
      <c r="N413" s="105">
        <f t="shared" si="108"/>
        <v>0</v>
      </c>
      <c r="O413" s="106" t="str">
        <f>IF($F413="","",IF(ISNUMBER($F413),$F413+Settings!$C$7/24,IFERROR(DATEVALUE(LEFT($F413,10))+TIMEVALUE(MID($F413,12,8))+Settings!$C$7/24,"")))</f>
        <v/>
      </c>
      <c r="P413" s="106" t="str">
        <f>IF($G413="","",IF(ISNUMBER($G413),$G413+Settings!$C$7/24,IFERROR(DATEVALUE(LEFT($G413,10))+TIMEVALUE(MID($G413,12,8))+Settings!$C$7/24,"")))</f>
        <v/>
      </c>
      <c r="Q413" s="39" t="str">
        <f t="shared" si="109"/>
        <v/>
      </c>
      <c r="R413" s="39" t="str">
        <f t="shared" si="110"/>
        <v/>
      </c>
      <c r="S413" s="107" t="str">
        <f t="shared" si="111"/>
        <v/>
      </c>
      <c r="T413" s="39" t="str">
        <f>IF($C413="","",IF(COUNTIF($C$2:$C413,$C413)=1,1,0))</f>
        <v/>
      </c>
      <c r="U413" s="39" t="str">
        <f>IF($T413=1,COUNTIF($T$2:$T413,1),"")</f>
        <v/>
      </c>
      <c r="V413" s="39" t="str">
        <f>IF($B413="","",IF(COUNTIF($B$2:$B413,$B413)=1,1,0))</f>
        <v/>
      </c>
      <c r="W413" s="39" t="str">
        <f>IF($V413=1,COUNTIF($V$2:$V413,1),"")</f>
        <v/>
      </c>
      <c r="X413" s="39" t="str">
        <f>IF($A413="","",IF(COUNTIF($A$2:$A413,$A413)=1,1,0))</f>
        <v/>
      </c>
      <c r="Y413" s="39" t="str">
        <f>IF($X413=1,COUNTIF($X$2:$X413,1),"")</f>
        <v/>
      </c>
      <c r="Z413" s="39">
        <f>IF(AND($E413="timed",$N413&gt;Settings!$C$8),1,0)</f>
        <v>0</v>
      </c>
      <c r="AA413" s="39">
        <f t="shared" si="112"/>
        <v>0</v>
      </c>
      <c r="AB413" s="39">
        <f t="shared" si="113"/>
        <v>0</v>
      </c>
      <c r="AC413" s="39" t="str">
        <f t="shared" si="114"/>
        <v/>
      </c>
      <c r="AD413" s="39" t="str">
        <f t="shared" si="115"/>
        <v/>
      </c>
      <c r="AE413" s="39" t="str">
        <f t="shared" si="116"/>
        <v/>
      </c>
      <c r="AF413" s="106" t="str">
        <f t="shared" si="117"/>
        <v/>
      </c>
      <c r="AG413" s="39">
        <f t="shared" si="118"/>
        <v>0</v>
      </c>
      <c r="AH413" s="39" t="str">
        <f t="shared" si="119"/>
        <v/>
      </c>
      <c r="AI413" s="39">
        <f>IF(AND($E413="timed",$N413&gt;=Settings!$C$9),1,0)</f>
        <v>0</v>
      </c>
      <c r="AJ413" s="39" t="str">
        <f>IF(OR($S413="",Settings!$C$16=""),"",IF($S413&lt;=Settings!$C$16,1,2))</f>
        <v/>
      </c>
      <c r="AK413" s="39" t="str">
        <f>IF($C413="","",IFERROR(IF(INDEX(Settings!$C$20:$C$59,MATCH($C413,Settings!$B$20:$B$59,0))="",Settings!$C$10,INDEX(Settings!$C$20:$C$59,MATCH($C413,Settings!$B$20:$B$59,0))),Settings!$C$10))</f>
        <v/>
      </c>
      <c r="AL413" s="108">
        <f t="shared" si="120"/>
        <v>0</v>
      </c>
      <c r="AM413" s="39" t="str">
        <f t="shared" si="121"/>
        <v/>
      </c>
      <c r="AN413" s="39" t="str">
        <f t="shared" si="122"/>
        <v/>
      </c>
      <c r="AO413" s="39" t="str">
        <f t="shared" si="123"/>
        <v/>
      </c>
      <c r="AP413" s="39">
        <f t="shared" si="124"/>
        <v>0</v>
      </c>
      <c r="AQ413" s="39">
        <f t="shared" si="125"/>
        <v>0</v>
      </c>
    </row>
    <row r="414" spans="14:43" x14ac:dyDescent="0.25">
      <c r="N414" s="105">
        <f t="shared" si="108"/>
        <v>0</v>
      </c>
      <c r="O414" s="106" t="str">
        <f>IF($F414="","",IF(ISNUMBER($F414),$F414+Settings!$C$7/24,IFERROR(DATEVALUE(LEFT($F414,10))+TIMEVALUE(MID($F414,12,8))+Settings!$C$7/24,"")))</f>
        <v/>
      </c>
      <c r="P414" s="106" t="str">
        <f>IF($G414="","",IF(ISNUMBER($G414),$G414+Settings!$C$7/24,IFERROR(DATEVALUE(LEFT($G414,10))+TIMEVALUE(MID($G414,12,8))+Settings!$C$7/24,"")))</f>
        <v/>
      </c>
      <c r="Q414" s="39" t="str">
        <f t="shared" si="109"/>
        <v/>
      </c>
      <c r="R414" s="39" t="str">
        <f t="shared" si="110"/>
        <v/>
      </c>
      <c r="S414" s="107" t="str">
        <f t="shared" si="111"/>
        <v/>
      </c>
      <c r="T414" s="39" t="str">
        <f>IF($C414="","",IF(COUNTIF($C$2:$C414,$C414)=1,1,0))</f>
        <v/>
      </c>
      <c r="U414" s="39" t="str">
        <f>IF($T414=1,COUNTIF($T$2:$T414,1),"")</f>
        <v/>
      </c>
      <c r="V414" s="39" t="str">
        <f>IF($B414="","",IF(COUNTIF($B$2:$B414,$B414)=1,1,0))</f>
        <v/>
      </c>
      <c r="W414" s="39" t="str">
        <f>IF($V414=1,COUNTIF($V$2:$V414,1),"")</f>
        <v/>
      </c>
      <c r="X414" s="39" t="str">
        <f>IF($A414="","",IF(COUNTIF($A$2:$A414,$A414)=1,1,0))</f>
        <v/>
      </c>
      <c r="Y414" s="39" t="str">
        <f>IF($X414=1,COUNTIF($X$2:$X414,1),"")</f>
        <v/>
      </c>
      <c r="Z414" s="39">
        <f>IF(AND($E414="timed",$N414&gt;Settings!$C$8),1,0)</f>
        <v>0</v>
      </c>
      <c r="AA414" s="39">
        <f t="shared" si="112"/>
        <v>0</v>
      </c>
      <c r="AB414" s="39">
        <f t="shared" si="113"/>
        <v>0</v>
      </c>
      <c r="AC414" s="39" t="str">
        <f t="shared" si="114"/>
        <v/>
      </c>
      <c r="AD414" s="39" t="str">
        <f t="shared" si="115"/>
        <v/>
      </c>
      <c r="AE414" s="39" t="str">
        <f t="shared" si="116"/>
        <v/>
      </c>
      <c r="AF414" s="106" t="str">
        <f t="shared" si="117"/>
        <v/>
      </c>
      <c r="AG414" s="39">
        <f t="shared" si="118"/>
        <v>0</v>
      </c>
      <c r="AH414" s="39" t="str">
        <f t="shared" si="119"/>
        <v/>
      </c>
      <c r="AI414" s="39">
        <f>IF(AND($E414="timed",$N414&gt;=Settings!$C$9),1,0)</f>
        <v>0</v>
      </c>
      <c r="AJ414" s="39" t="str">
        <f>IF(OR($S414="",Settings!$C$16=""),"",IF($S414&lt;=Settings!$C$16,1,2))</f>
        <v/>
      </c>
      <c r="AK414" s="39" t="str">
        <f>IF($C414="","",IFERROR(IF(INDEX(Settings!$C$20:$C$59,MATCH($C414,Settings!$B$20:$B$59,0))="",Settings!$C$10,INDEX(Settings!$C$20:$C$59,MATCH($C414,Settings!$B$20:$B$59,0))),Settings!$C$10))</f>
        <v/>
      </c>
      <c r="AL414" s="108">
        <f t="shared" si="120"/>
        <v>0</v>
      </c>
      <c r="AM414" s="39" t="str">
        <f t="shared" si="121"/>
        <v/>
      </c>
      <c r="AN414" s="39" t="str">
        <f t="shared" si="122"/>
        <v/>
      </c>
      <c r="AO414" s="39" t="str">
        <f t="shared" si="123"/>
        <v/>
      </c>
      <c r="AP414" s="39">
        <f t="shared" si="124"/>
        <v>0</v>
      </c>
      <c r="AQ414" s="39">
        <f t="shared" si="125"/>
        <v>0</v>
      </c>
    </row>
    <row r="415" spans="14:43" x14ac:dyDescent="0.25">
      <c r="N415" s="105">
        <f t="shared" si="108"/>
        <v>0</v>
      </c>
      <c r="O415" s="106" t="str">
        <f>IF($F415="","",IF(ISNUMBER($F415),$F415+Settings!$C$7/24,IFERROR(DATEVALUE(LEFT($F415,10))+TIMEVALUE(MID($F415,12,8))+Settings!$C$7/24,"")))</f>
        <v/>
      </c>
      <c r="P415" s="106" t="str">
        <f>IF($G415="","",IF(ISNUMBER($G415),$G415+Settings!$C$7/24,IFERROR(DATEVALUE(LEFT($G415,10))+TIMEVALUE(MID($G415,12,8))+Settings!$C$7/24,"")))</f>
        <v/>
      </c>
      <c r="Q415" s="39" t="str">
        <f t="shared" si="109"/>
        <v/>
      </c>
      <c r="R415" s="39" t="str">
        <f t="shared" si="110"/>
        <v/>
      </c>
      <c r="S415" s="107" t="str">
        <f t="shared" si="111"/>
        <v/>
      </c>
      <c r="T415" s="39" t="str">
        <f>IF($C415="","",IF(COUNTIF($C$2:$C415,$C415)=1,1,0))</f>
        <v/>
      </c>
      <c r="U415" s="39" t="str">
        <f>IF($T415=1,COUNTIF($T$2:$T415,1),"")</f>
        <v/>
      </c>
      <c r="V415" s="39" t="str">
        <f>IF($B415="","",IF(COUNTIF($B$2:$B415,$B415)=1,1,0))</f>
        <v/>
      </c>
      <c r="W415" s="39" t="str">
        <f>IF($V415=1,COUNTIF($V$2:$V415,1),"")</f>
        <v/>
      </c>
      <c r="X415" s="39" t="str">
        <f>IF($A415="","",IF(COUNTIF($A$2:$A415,$A415)=1,1,0))</f>
        <v/>
      </c>
      <c r="Y415" s="39" t="str">
        <f>IF($X415=1,COUNTIF($X$2:$X415,1),"")</f>
        <v/>
      </c>
      <c r="Z415" s="39">
        <f>IF(AND($E415="timed",$N415&gt;Settings!$C$8),1,0)</f>
        <v>0</v>
      </c>
      <c r="AA415" s="39">
        <f t="shared" si="112"/>
        <v>0</v>
      </c>
      <c r="AB415" s="39">
        <f t="shared" si="113"/>
        <v>0</v>
      </c>
      <c r="AC415" s="39" t="str">
        <f t="shared" si="114"/>
        <v/>
      </c>
      <c r="AD415" s="39" t="str">
        <f t="shared" si="115"/>
        <v/>
      </c>
      <c r="AE415" s="39" t="str">
        <f t="shared" si="116"/>
        <v/>
      </c>
      <c r="AF415" s="106" t="str">
        <f t="shared" si="117"/>
        <v/>
      </c>
      <c r="AG415" s="39">
        <f t="shared" si="118"/>
        <v>0</v>
      </c>
      <c r="AH415" s="39" t="str">
        <f t="shared" si="119"/>
        <v/>
      </c>
      <c r="AI415" s="39">
        <f>IF(AND($E415="timed",$N415&gt;=Settings!$C$9),1,0)</f>
        <v>0</v>
      </c>
      <c r="AJ415" s="39" t="str">
        <f>IF(OR($S415="",Settings!$C$16=""),"",IF($S415&lt;=Settings!$C$16,1,2))</f>
        <v/>
      </c>
      <c r="AK415" s="39" t="str">
        <f>IF($C415="","",IFERROR(IF(INDEX(Settings!$C$20:$C$59,MATCH($C415,Settings!$B$20:$B$59,0))="",Settings!$C$10,INDEX(Settings!$C$20:$C$59,MATCH($C415,Settings!$B$20:$B$59,0))),Settings!$C$10))</f>
        <v/>
      </c>
      <c r="AL415" s="108">
        <f t="shared" si="120"/>
        <v>0</v>
      </c>
      <c r="AM415" s="39" t="str">
        <f t="shared" si="121"/>
        <v/>
      </c>
      <c r="AN415" s="39" t="str">
        <f t="shared" si="122"/>
        <v/>
      </c>
      <c r="AO415" s="39" t="str">
        <f t="shared" si="123"/>
        <v/>
      </c>
      <c r="AP415" s="39">
        <f t="shared" si="124"/>
        <v>0</v>
      </c>
      <c r="AQ415" s="39">
        <f t="shared" si="125"/>
        <v>0</v>
      </c>
    </row>
    <row r="416" spans="14:43" x14ac:dyDescent="0.25">
      <c r="N416" s="105">
        <f t="shared" si="108"/>
        <v>0</v>
      </c>
      <c r="O416" s="106" t="str">
        <f>IF($F416="","",IF(ISNUMBER($F416),$F416+Settings!$C$7/24,IFERROR(DATEVALUE(LEFT($F416,10))+TIMEVALUE(MID($F416,12,8))+Settings!$C$7/24,"")))</f>
        <v/>
      </c>
      <c r="P416" s="106" t="str">
        <f>IF($G416="","",IF(ISNUMBER($G416),$G416+Settings!$C$7/24,IFERROR(DATEVALUE(LEFT($G416,10))+TIMEVALUE(MID($G416,12,8))+Settings!$C$7/24,"")))</f>
        <v/>
      </c>
      <c r="Q416" s="39" t="str">
        <f t="shared" si="109"/>
        <v/>
      </c>
      <c r="R416" s="39" t="str">
        <f t="shared" si="110"/>
        <v/>
      </c>
      <c r="S416" s="107" t="str">
        <f t="shared" si="111"/>
        <v/>
      </c>
      <c r="T416" s="39" t="str">
        <f>IF($C416="","",IF(COUNTIF($C$2:$C416,$C416)=1,1,0))</f>
        <v/>
      </c>
      <c r="U416" s="39" t="str">
        <f>IF($T416=1,COUNTIF($T$2:$T416,1),"")</f>
        <v/>
      </c>
      <c r="V416" s="39" t="str">
        <f>IF($B416="","",IF(COUNTIF($B$2:$B416,$B416)=1,1,0))</f>
        <v/>
      </c>
      <c r="W416" s="39" t="str">
        <f>IF($V416=1,COUNTIF($V$2:$V416,1),"")</f>
        <v/>
      </c>
      <c r="X416" s="39" t="str">
        <f>IF($A416="","",IF(COUNTIF($A$2:$A416,$A416)=1,1,0))</f>
        <v/>
      </c>
      <c r="Y416" s="39" t="str">
        <f>IF($X416=1,COUNTIF($X$2:$X416,1),"")</f>
        <v/>
      </c>
      <c r="Z416" s="39">
        <f>IF(AND($E416="timed",$N416&gt;Settings!$C$8),1,0)</f>
        <v>0</v>
      </c>
      <c r="AA416" s="39">
        <f t="shared" si="112"/>
        <v>0</v>
      </c>
      <c r="AB416" s="39">
        <f t="shared" si="113"/>
        <v>0</v>
      </c>
      <c r="AC416" s="39" t="str">
        <f t="shared" si="114"/>
        <v/>
      </c>
      <c r="AD416" s="39" t="str">
        <f t="shared" si="115"/>
        <v/>
      </c>
      <c r="AE416" s="39" t="str">
        <f t="shared" si="116"/>
        <v/>
      </c>
      <c r="AF416" s="106" t="str">
        <f t="shared" si="117"/>
        <v/>
      </c>
      <c r="AG416" s="39">
        <f t="shared" si="118"/>
        <v>0</v>
      </c>
      <c r="AH416" s="39" t="str">
        <f t="shared" si="119"/>
        <v/>
      </c>
      <c r="AI416" s="39">
        <f>IF(AND($E416="timed",$N416&gt;=Settings!$C$9),1,0)</f>
        <v>0</v>
      </c>
      <c r="AJ416" s="39" t="str">
        <f>IF(OR($S416="",Settings!$C$16=""),"",IF($S416&lt;=Settings!$C$16,1,2))</f>
        <v/>
      </c>
      <c r="AK416" s="39" t="str">
        <f>IF($C416="","",IFERROR(IF(INDEX(Settings!$C$20:$C$59,MATCH($C416,Settings!$B$20:$B$59,0))="",Settings!$C$10,INDEX(Settings!$C$20:$C$59,MATCH($C416,Settings!$B$20:$B$59,0))),Settings!$C$10))</f>
        <v/>
      </c>
      <c r="AL416" s="108">
        <f t="shared" si="120"/>
        <v>0</v>
      </c>
      <c r="AM416" s="39" t="str">
        <f t="shared" si="121"/>
        <v/>
      </c>
      <c r="AN416" s="39" t="str">
        <f t="shared" si="122"/>
        <v/>
      </c>
      <c r="AO416" s="39" t="str">
        <f t="shared" si="123"/>
        <v/>
      </c>
      <c r="AP416" s="39">
        <f t="shared" si="124"/>
        <v>0</v>
      </c>
      <c r="AQ416" s="39">
        <f t="shared" si="125"/>
        <v>0</v>
      </c>
    </row>
    <row r="417" spans="14:43" x14ac:dyDescent="0.25">
      <c r="N417" s="105">
        <f t="shared" si="108"/>
        <v>0</v>
      </c>
      <c r="O417" s="106" t="str">
        <f>IF($F417="","",IF(ISNUMBER($F417),$F417+Settings!$C$7/24,IFERROR(DATEVALUE(LEFT($F417,10))+TIMEVALUE(MID($F417,12,8))+Settings!$C$7/24,"")))</f>
        <v/>
      </c>
      <c r="P417" s="106" t="str">
        <f>IF($G417="","",IF(ISNUMBER($G417),$G417+Settings!$C$7/24,IFERROR(DATEVALUE(LEFT($G417,10))+TIMEVALUE(MID($G417,12,8))+Settings!$C$7/24,"")))</f>
        <v/>
      </c>
      <c r="Q417" s="39" t="str">
        <f t="shared" si="109"/>
        <v/>
      </c>
      <c r="R417" s="39" t="str">
        <f t="shared" si="110"/>
        <v/>
      </c>
      <c r="S417" s="107" t="str">
        <f t="shared" si="111"/>
        <v/>
      </c>
      <c r="T417" s="39" t="str">
        <f>IF($C417="","",IF(COUNTIF($C$2:$C417,$C417)=1,1,0))</f>
        <v/>
      </c>
      <c r="U417" s="39" t="str">
        <f>IF($T417=1,COUNTIF($T$2:$T417,1),"")</f>
        <v/>
      </c>
      <c r="V417" s="39" t="str">
        <f>IF($B417="","",IF(COUNTIF($B$2:$B417,$B417)=1,1,0))</f>
        <v/>
      </c>
      <c r="W417" s="39" t="str">
        <f>IF($V417=1,COUNTIF($V$2:$V417,1),"")</f>
        <v/>
      </c>
      <c r="X417" s="39" t="str">
        <f>IF($A417="","",IF(COUNTIF($A$2:$A417,$A417)=1,1,0))</f>
        <v/>
      </c>
      <c r="Y417" s="39" t="str">
        <f>IF($X417=1,COUNTIF($X$2:$X417,1),"")</f>
        <v/>
      </c>
      <c r="Z417" s="39">
        <f>IF(AND($E417="timed",$N417&gt;Settings!$C$8),1,0)</f>
        <v>0</v>
      </c>
      <c r="AA417" s="39">
        <f t="shared" si="112"/>
        <v>0</v>
      </c>
      <c r="AB417" s="39">
        <f t="shared" si="113"/>
        <v>0</v>
      </c>
      <c r="AC417" s="39" t="str">
        <f t="shared" si="114"/>
        <v/>
      </c>
      <c r="AD417" s="39" t="str">
        <f t="shared" si="115"/>
        <v/>
      </c>
      <c r="AE417" s="39" t="str">
        <f t="shared" si="116"/>
        <v/>
      </c>
      <c r="AF417" s="106" t="str">
        <f t="shared" si="117"/>
        <v/>
      </c>
      <c r="AG417" s="39">
        <f t="shared" si="118"/>
        <v>0</v>
      </c>
      <c r="AH417" s="39" t="str">
        <f t="shared" si="119"/>
        <v/>
      </c>
      <c r="AI417" s="39">
        <f>IF(AND($E417="timed",$N417&gt;=Settings!$C$9),1,0)</f>
        <v>0</v>
      </c>
      <c r="AJ417" s="39" t="str">
        <f>IF(OR($S417="",Settings!$C$16=""),"",IF($S417&lt;=Settings!$C$16,1,2))</f>
        <v/>
      </c>
      <c r="AK417" s="39" t="str">
        <f>IF($C417="","",IFERROR(IF(INDEX(Settings!$C$20:$C$59,MATCH($C417,Settings!$B$20:$B$59,0))="",Settings!$C$10,INDEX(Settings!$C$20:$C$59,MATCH($C417,Settings!$B$20:$B$59,0))),Settings!$C$10))</f>
        <v/>
      </c>
      <c r="AL417" s="108">
        <f t="shared" si="120"/>
        <v>0</v>
      </c>
      <c r="AM417" s="39" t="str">
        <f t="shared" si="121"/>
        <v/>
      </c>
      <c r="AN417" s="39" t="str">
        <f t="shared" si="122"/>
        <v/>
      </c>
      <c r="AO417" s="39" t="str">
        <f t="shared" si="123"/>
        <v/>
      </c>
      <c r="AP417" s="39">
        <f t="shared" si="124"/>
        <v>0</v>
      </c>
      <c r="AQ417" s="39">
        <f t="shared" si="125"/>
        <v>0</v>
      </c>
    </row>
    <row r="418" spans="14:43" x14ac:dyDescent="0.25">
      <c r="N418" s="105">
        <f t="shared" si="108"/>
        <v>0</v>
      </c>
      <c r="O418" s="106" t="str">
        <f>IF($F418="","",IF(ISNUMBER($F418),$F418+Settings!$C$7/24,IFERROR(DATEVALUE(LEFT($F418,10))+TIMEVALUE(MID($F418,12,8))+Settings!$C$7/24,"")))</f>
        <v/>
      </c>
      <c r="P418" s="106" t="str">
        <f>IF($G418="","",IF(ISNUMBER($G418),$G418+Settings!$C$7/24,IFERROR(DATEVALUE(LEFT($G418,10))+TIMEVALUE(MID($G418,12,8))+Settings!$C$7/24,"")))</f>
        <v/>
      </c>
      <c r="Q418" s="39" t="str">
        <f t="shared" si="109"/>
        <v/>
      </c>
      <c r="R418" s="39" t="str">
        <f t="shared" si="110"/>
        <v/>
      </c>
      <c r="S418" s="107" t="str">
        <f t="shared" si="111"/>
        <v/>
      </c>
      <c r="T418" s="39" t="str">
        <f>IF($C418="","",IF(COUNTIF($C$2:$C418,$C418)=1,1,0))</f>
        <v/>
      </c>
      <c r="U418" s="39" t="str">
        <f>IF($T418=1,COUNTIF($T$2:$T418,1),"")</f>
        <v/>
      </c>
      <c r="V418" s="39" t="str">
        <f>IF($B418="","",IF(COUNTIF($B$2:$B418,$B418)=1,1,0))</f>
        <v/>
      </c>
      <c r="W418" s="39" t="str">
        <f>IF($V418=1,COUNTIF($V$2:$V418,1),"")</f>
        <v/>
      </c>
      <c r="X418" s="39" t="str">
        <f>IF($A418="","",IF(COUNTIF($A$2:$A418,$A418)=1,1,0))</f>
        <v/>
      </c>
      <c r="Y418" s="39" t="str">
        <f>IF($X418=1,COUNTIF($X$2:$X418,1),"")</f>
        <v/>
      </c>
      <c r="Z418" s="39">
        <f>IF(AND($E418="timed",$N418&gt;Settings!$C$8),1,0)</f>
        <v>0</v>
      </c>
      <c r="AA418" s="39">
        <f t="shared" si="112"/>
        <v>0</v>
      </c>
      <c r="AB418" s="39">
        <f t="shared" si="113"/>
        <v>0</v>
      </c>
      <c r="AC418" s="39" t="str">
        <f t="shared" si="114"/>
        <v/>
      </c>
      <c r="AD418" s="39" t="str">
        <f t="shared" si="115"/>
        <v/>
      </c>
      <c r="AE418" s="39" t="str">
        <f t="shared" si="116"/>
        <v/>
      </c>
      <c r="AF418" s="106" t="str">
        <f t="shared" si="117"/>
        <v/>
      </c>
      <c r="AG418" s="39">
        <f t="shared" si="118"/>
        <v>0</v>
      </c>
      <c r="AH418" s="39" t="str">
        <f t="shared" si="119"/>
        <v/>
      </c>
      <c r="AI418" s="39">
        <f>IF(AND($E418="timed",$N418&gt;=Settings!$C$9),1,0)</f>
        <v>0</v>
      </c>
      <c r="AJ418" s="39" t="str">
        <f>IF(OR($S418="",Settings!$C$16=""),"",IF($S418&lt;=Settings!$C$16,1,2))</f>
        <v/>
      </c>
      <c r="AK418" s="39" t="str">
        <f>IF($C418="","",IFERROR(IF(INDEX(Settings!$C$20:$C$59,MATCH($C418,Settings!$B$20:$B$59,0))="",Settings!$C$10,INDEX(Settings!$C$20:$C$59,MATCH($C418,Settings!$B$20:$B$59,0))),Settings!$C$10))</f>
        <v/>
      </c>
      <c r="AL418" s="108">
        <f t="shared" si="120"/>
        <v>0</v>
      </c>
      <c r="AM418" s="39" t="str">
        <f t="shared" si="121"/>
        <v/>
      </c>
      <c r="AN418" s="39" t="str">
        <f t="shared" si="122"/>
        <v/>
      </c>
      <c r="AO418" s="39" t="str">
        <f t="shared" si="123"/>
        <v/>
      </c>
      <c r="AP418" s="39">
        <f t="shared" si="124"/>
        <v>0</v>
      </c>
      <c r="AQ418" s="39">
        <f t="shared" si="125"/>
        <v>0</v>
      </c>
    </row>
    <row r="419" spans="14:43" x14ac:dyDescent="0.25">
      <c r="N419" s="105">
        <f t="shared" si="108"/>
        <v>0</v>
      </c>
      <c r="O419" s="106" t="str">
        <f>IF($F419="","",IF(ISNUMBER($F419),$F419+Settings!$C$7/24,IFERROR(DATEVALUE(LEFT($F419,10))+TIMEVALUE(MID($F419,12,8))+Settings!$C$7/24,"")))</f>
        <v/>
      </c>
      <c r="P419" s="106" t="str">
        <f>IF($G419="","",IF(ISNUMBER($G419),$G419+Settings!$C$7/24,IFERROR(DATEVALUE(LEFT($G419,10))+TIMEVALUE(MID($G419,12,8))+Settings!$C$7/24,"")))</f>
        <v/>
      </c>
      <c r="Q419" s="39" t="str">
        <f t="shared" si="109"/>
        <v/>
      </c>
      <c r="R419" s="39" t="str">
        <f t="shared" si="110"/>
        <v/>
      </c>
      <c r="S419" s="107" t="str">
        <f t="shared" si="111"/>
        <v/>
      </c>
      <c r="T419" s="39" t="str">
        <f>IF($C419="","",IF(COUNTIF($C$2:$C419,$C419)=1,1,0))</f>
        <v/>
      </c>
      <c r="U419" s="39" t="str">
        <f>IF($T419=1,COUNTIF($T$2:$T419,1),"")</f>
        <v/>
      </c>
      <c r="V419" s="39" t="str">
        <f>IF($B419="","",IF(COUNTIF($B$2:$B419,$B419)=1,1,0))</f>
        <v/>
      </c>
      <c r="W419" s="39" t="str">
        <f>IF($V419=1,COUNTIF($V$2:$V419,1),"")</f>
        <v/>
      </c>
      <c r="X419" s="39" t="str">
        <f>IF($A419="","",IF(COUNTIF($A$2:$A419,$A419)=1,1,0))</f>
        <v/>
      </c>
      <c r="Y419" s="39" t="str">
        <f>IF($X419=1,COUNTIF($X$2:$X419,1),"")</f>
        <v/>
      </c>
      <c r="Z419" s="39">
        <f>IF(AND($E419="timed",$N419&gt;Settings!$C$8),1,0)</f>
        <v>0</v>
      </c>
      <c r="AA419" s="39">
        <f t="shared" si="112"/>
        <v>0</v>
      </c>
      <c r="AB419" s="39">
        <f t="shared" si="113"/>
        <v>0</v>
      </c>
      <c r="AC419" s="39" t="str">
        <f t="shared" si="114"/>
        <v/>
      </c>
      <c r="AD419" s="39" t="str">
        <f t="shared" si="115"/>
        <v/>
      </c>
      <c r="AE419" s="39" t="str">
        <f t="shared" si="116"/>
        <v/>
      </c>
      <c r="AF419" s="106" t="str">
        <f t="shared" si="117"/>
        <v/>
      </c>
      <c r="AG419" s="39">
        <f t="shared" si="118"/>
        <v>0</v>
      </c>
      <c r="AH419" s="39" t="str">
        <f t="shared" si="119"/>
        <v/>
      </c>
      <c r="AI419" s="39">
        <f>IF(AND($E419="timed",$N419&gt;=Settings!$C$9),1,0)</f>
        <v>0</v>
      </c>
      <c r="AJ419" s="39" t="str">
        <f>IF(OR($S419="",Settings!$C$16=""),"",IF($S419&lt;=Settings!$C$16,1,2))</f>
        <v/>
      </c>
      <c r="AK419" s="39" t="str">
        <f>IF($C419="","",IFERROR(IF(INDEX(Settings!$C$20:$C$59,MATCH($C419,Settings!$B$20:$B$59,0))="",Settings!$C$10,INDEX(Settings!$C$20:$C$59,MATCH($C419,Settings!$B$20:$B$59,0))),Settings!$C$10))</f>
        <v/>
      </c>
      <c r="AL419" s="108">
        <f t="shared" si="120"/>
        <v>0</v>
      </c>
      <c r="AM419" s="39" t="str">
        <f t="shared" si="121"/>
        <v/>
      </c>
      <c r="AN419" s="39" t="str">
        <f t="shared" si="122"/>
        <v/>
      </c>
      <c r="AO419" s="39" t="str">
        <f t="shared" si="123"/>
        <v/>
      </c>
      <c r="AP419" s="39">
        <f t="shared" si="124"/>
        <v>0</v>
      </c>
      <c r="AQ419" s="39">
        <f t="shared" si="125"/>
        <v>0</v>
      </c>
    </row>
    <row r="420" spans="14:43" x14ac:dyDescent="0.25">
      <c r="N420" s="105">
        <f t="shared" si="108"/>
        <v>0</v>
      </c>
      <c r="O420" s="106" t="str">
        <f>IF($F420="","",IF(ISNUMBER($F420),$F420+Settings!$C$7/24,IFERROR(DATEVALUE(LEFT($F420,10))+TIMEVALUE(MID($F420,12,8))+Settings!$C$7/24,"")))</f>
        <v/>
      </c>
      <c r="P420" s="106" t="str">
        <f>IF($G420="","",IF(ISNUMBER($G420),$G420+Settings!$C$7/24,IFERROR(DATEVALUE(LEFT($G420,10))+TIMEVALUE(MID($G420,12,8))+Settings!$C$7/24,"")))</f>
        <v/>
      </c>
      <c r="Q420" s="39" t="str">
        <f t="shared" si="109"/>
        <v/>
      </c>
      <c r="R420" s="39" t="str">
        <f t="shared" si="110"/>
        <v/>
      </c>
      <c r="S420" s="107" t="str">
        <f t="shared" si="111"/>
        <v/>
      </c>
      <c r="T420" s="39" t="str">
        <f>IF($C420="","",IF(COUNTIF($C$2:$C420,$C420)=1,1,0))</f>
        <v/>
      </c>
      <c r="U420" s="39" t="str">
        <f>IF($T420=1,COUNTIF($T$2:$T420,1),"")</f>
        <v/>
      </c>
      <c r="V420" s="39" t="str">
        <f>IF($B420="","",IF(COUNTIF($B$2:$B420,$B420)=1,1,0))</f>
        <v/>
      </c>
      <c r="W420" s="39" t="str">
        <f>IF($V420=1,COUNTIF($V$2:$V420,1),"")</f>
        <v/>
      </c>
      <c r="X420" s="39" t="str">
        <f>IF($A420="","",IF(COUNTIF($A$2:$A420,$A420)=1,1,0))</f>
        <v/>
      </c>
      <c r="Y420" s="39" t="str">
        <f>IF($X420=1,COUNTIF($X$2:$X420,1),"")</f>
        <v/>
      </c>
      <c r="Z420" s="39">
        <f>IF(AND($E420="timed",$N420&gt;Settings!$C$8),1,0)</f>
        <v>0</v>
      </c>
      <c r="AA420" s="39">
        <f t="shared" si="112"/>
        <v>0</v>
      </c>
      <c r="AB420" s="39">
        <f t="shared" si="113"/>
        <v>0</v>
      </c>
      <c r="AC420" s="39" t="str">
        <f t="shared" si="114"/>
        <v/>
      </c>
      <c r="AD420" s="39" t="str">
        <f t="shared" si="115"/>
        <v/>
      </c>
      <c r="AE420" s="39" t="str">
        <f t="shared" si="116"/>
        <v/>
      </c>
      <c r="AF420" s="106" t="str">
        <f t="shared" si="117"/>
        <v/>
      </c>
      <c r="AG420" s="39">
        <f t="shared" si="118"/>
        <v>0</v>
      </c>
      <c r="AH420" s="39" t="str">
        <f t="shared" si="119"/>
        <v/>
      </c>
      <c r="AI420" s="39">
        <f>IF(AND($E420="timed",$N420&gt;=Settings!$C$9),1,0)</f>
        <v>0</v>
      </c>
      <c r="AJ420" s="39" t="str">
        <f>IF(OR($S420="",Settings!$C$16=""),"",IF($S420&lt;=Settings!$C$16,1,2))</f>
        <v/>
      </c>
      <c r="AK420" s="39" t="str">
        <f>IF($C420="","",IFERROR(IF(INDEX(Settings!$C$20:$C$59,MATCH($C420,Settings!$B$20:$B$59,0))="",Settings!$C$10,INDEX(Settings!$C$20:$C$59,MATCH($C420,Settings!$B$20:$B$59,0))),Settings!$C$10))</f>
        <v/>
      </c>
      <c r="AL420" s="108">
        <f t="shared" si="120"/>
        <v>0</v>
      </c>
      <c r="AM420" s="39" t="str">
        <f t="shared" si="121"/>
        <v/>
      </c>
      <c r="AN420" s="39" t="str">
        <f t="shared" si="122"/>
        <v/>
      </c>
      <c r="AO420" s="39" t="str">
        <f t="shared" si="123"/>
        <v/>
      </c>
      <c r="AP420" s="39">
        <f t="shared" si="124"/>
        <v>0</v>
      </c>
      <c r="AQ420" s="39">
        <f t="shared" si="125"/>
        <v>0</v>
      </c>
    </row>
    <row r="421" spans="14:43" x14ac:dyDescent="0.25">
      <c r="N421" s="105">
        <f t="shared" si="108"/>
        <v>0</v>
      </c>
      <c r="O421" s="106" t="str">
        <f>IF($F421="","",IF(ISNUMBER($F421),$F421+Settings!$C$7/24,IFERROR(DATEVALUE(LEFT($F421,10))+TIMEVALUE(MID($F421,12,8))+Settings!$C$7/24,"")))</f>
        <v/>
      </c>
      <c r="P421" s="106" t="str">
        <f>IF($G421="","",IF(ISNUMBER($G421),$G421+Settings!$C$7/24,IFERROR(DATEVALUE(LEFT($G421,10))+TIMEVALUE(MID($G421,12,8))+Settings!$C$7/24,"")))</f>
        <v/>
      </c>
      <c r="Q421" s="39" t="str">
        <f t="shared" si="109"/>
        <v/>
      </c>
      <c r="R421" s="39" t="str">
        <f t="shared" si="110"/>
        <v/>
      </c>
      <c r="S421" s="107" t="str">
        <f t="shared" si="111"/>
        <v/>
      </c>
      <c r="T421" s="39" t="str">
        <f>IF($C421="","",IF(COUNTIF($C$2:$C421,$C421)=1,1,0))</f>
        <v/>
      </c>
      <c r="U421" s="39" t="str">
        <f>IF($T421=1,COUNTIF($T$2:$T421,1),"")</f>
        <v/>
      </c>
      <c r="V421" s="39" t="str">
        <f>IF($B421="","",IF(COUNTIF($B$2:$B421,$B421)=1,1,0))</f>
        <v/>
      </c>
      <c r="W421" s="39" t="str">
        <f>IF($V421=1,COUNTIF($V$2:$V421,1),"")</f>
        <v/>
      </c>
      <c r="X421" s="39" t="str">
        <f>IF($A421="","",IF(COUNTIF($A$2:$A421,$A421)=1,1,0))</f>
        <v/>
      </c>
      <c r="Y421" s="39" t="str">
        <f>IF($X421=1,COUNTIF($X$2:$X421,1),"")</f>
        <v/>
      </c>
      <c r="Z421" s="39">
        <f>IF(AND($E421="timed",$N421&gt;Settings!$C$8),1,0)</f>
        <v>0</v>
      </c>
      <c r="AA421" s="39">
        <f t="shared" si="112"/>
        <v>0</v>
      </c>
      <c r="AB421" s="39">
        <f t="shared" si="113"/>
        <v>0</v>
      </c>
      <c r="AC421" s="39" t="str">
        <f t="shared" si="114"/>
        <v/>
      </c>
      <c r="AD421" s="39" t="str">
        <f t="shared" si="115"/>
        <v/>
      </c>
      <c r="AE421" s="39" t="str">
        <f t="shared" si="116"/>
        <v/>
      </c>
      <c r="AF421" s="106" t="str">
        <f t="shared" si="117"/>
        <v/>
      </c>
      <c r="AG421" s="39">
        <f t="shared" si="118"/>
        <v>0</v>
      </c>
      <c r="AH421" s="39" t="str">
        <f t="shared" si="119"/>
        <v/>
      </c>
      <c r="AI421" s="39">
        <f>IF(AND($E421="timed",$N421&gt;=Settings!$C$9),1,0)</f>
        <v>0</v>
      </c>
      <c r="AJ421" s="39" t="str">
        <f>IF(OR($S421="",Settings!$C$16=""),"",IF($S421&lt;=Settings!$C$16,1,2))</f>
        <v/>
      </c>
      <c r="AK421" s="39" t="str">
        <f>IF($C421="","",IFERROR(IF(INDEX(Settings!$C$20:$C$59,MATCH($C421,Settings!$B$20:$B$59,0))="",Settings!$C$10,INDEX(Settings!$C$20:$C$59,MATCH($C421,Settings!$B$20:$B$59,0))),Settings!$C$10))</f>
        <v/>
      </c>
      <c r="AL421" s="108">
        <f t="shared" si="120"/>
        <v>0</v>
      </c>
      <c r="AM421" s="39" t="str">
        <f t="shared" si="121"/>
        <v/>
      </c>
      <c r="AN421" s="39" t="str">
        <f t="shared" si="122"/>
        <v/>
      </c>
      <c r="AO421" s="39" t="str">
        <f t="shared" si="123"/>
        <v/>
      </c>
      <c r="AP421" s="39">
        <f t="shared" si="124"/>
        <v>0</v>
      </c>
      <c r="AQ421" s="39">
        <f t="shared" si="125"/>
        <v>0</v>
      </c>
    </row>
    <row r="422" spans="14:43" x14ac:dyDescent="0.25">
      <c r="N422" s="105">
        <f t="shared" si="108"/>
        <v>0</v>
      </c>
      <c r="O422" s="106" t="str">
        <f>IF($F422="","",IF(ISNUMBER($F422),$F422+Settings!$C$7/24,IFERROR(DATEVALUE(LEFT($F422,10))+TIMEVALUE(MID($F422,12,8))+Settings!$C$7/24,"")))</f>
        <v/>
      </c>
      <c r="P422" s="106" t="str">
        <f>IF($G422="","",IF(ISNUMBER($G422),$G422+Settings!$C$7/24,IFERROR(DATEVALUE(LEFT($G422,10))+TIMEVALUE(MID($G422,12,8))+Settings!$C$7/24,"")))</f>
        <v/>
      </c>
      <c r="Q422" s="39" t="str">
        <f t="shared" si="109"/>
        <v/>
      </c>
      <c r="R422" s="39" t="str">
        <f t="shared" si="110"/>
        <v/>
      </c>
      <c r="S422" s="107" t="str">
        <f t="shared" si="111"/>
        <v/>
      </c>
      <c r="T422" s="39" t="str">
        <f>IF($C422="","",IF(COUNTIF($C$2:$C422,$C422)=1,1,0))</f>
        <v/>
      </c>
      <c r="U422" s="39" t="str">
        <f>IF($T422=1,COUNTIF($T$2:$T422,1),"")</f>
        <v/>
      </c>
      <c r="V422" s="39" t="str">
        <f>IF($B422="","",IF(COUNTIF($B$2:$B422,$B422)=1,1,0))</f>
        <v/>
      </c>
      <c r="W422" s="39" t="str">
        <f>IF($V422=1,COUNTIF($V$2:$V422,1),"")</f>
        <v/>
      </c>
      <c r="X422" s="39" t="str">
        <f>IF($A422="","",IF(COUNTIF($A$2:$A422,$A422)=1,1,0))</f>
        <v/>
      </c>
      <c r="Y422" s="39" t="str">
        <f>IF($X422=1,COUNTIF($X$2:$X422,1),"")</f>
        <v/>
      </c>
      <c r="Z422" s="39">
        <f>IF(AND($E422="timed",$N422&gt;Settings!$C$8),1,0)</f>
        <v>0</v>
      </c>
      <c r="AA422" s="39">
        <f t="shared" si="112"/>
        <v>0</v>
      </c>
      <c r="AB422" s="39">
        <f t="shared" si="113"/>
        <v>0</v>
      </c>
      <c r="AC422" s="39" t="str">
        <f t="shared" si="114"/>
        <v/>
      </c>
      <c r="AD422" s="39" t="str">
        <f t="shared" si="115"/>
        <v/>
      </c>
      <c r="AE422" s="39" t="str">
        <f t="shared" si="116"/>
        <v/>
      </c>
      <c r="AF422" s="106" t="str">
        <f t="shared" si="117"/>
        <v/>
      </c>
      <c r="AG422" s="39">
        <f t="shared" si="118"/>
        <v>0</v>
      </c>
      <c r="AH422" s="39" t="str">
        <f t="shared" si="119"/>
        <v/>
      </c>
      <c r="AI422" s="39">
        <f>IF(AND($E422="timed",$N422&gt;=Settings!$C$9),1,0)</f>
        <v>0</v>
      </c>
      <c r="AJ422" s="39" t="str">
        <f>IF(OR($S422="",Settings!$C$16=""),"",IF($S422&lt;=Settings!$C$16,1,2))</f>
        <v/>
      </c>
      <c r="AK422" s="39" t="str">
        <f>IF($C422="","",IFERROR(IF(INDEX(Settings!$C$20:$C$59,MATCH($C422,Settings!$B$20:$B$59,0))="",Settings!$C$10,INDEX(Settings!$C$20:$C$59,MATCH($C422,Settings!$B$20:$B$59,0))),Settings!$C$10))</f>
        <v/>
      </c>
      <c r="AL422" s="108">
        <f t="shared" si="120"/>
        <v>0</v>
      </c>
      <c r="AM422" s="39" t="str">
        <f t="shared" si="121"/>
        <v/>
      </c>
      <c r="AN422" s="39" t="str">
        <f t="shared" si="122"/>
        <v/>
      </c>
      <c r="AO422" s="39" t="str">
        <f t="shared" si="123"/>
        <v/>
      </c>
      <c r="AP422" s="39">
        <f t="shared" si="124"/>
        <v>0</v>
      </c>
      <c r="AQ422" s="39">
        <f t="shared" si="125"/>
        <v>0</v>
      </c>
    </row>
    <row r="423" spans="14:43" x14ac:dyDescent="0.25">
      <c r="N423" s="105">
        <f t="shared" si="108"/>
        <v>0</v>
      </c>
      <c r="O423" s="106" t="str">
        <f>IF($F423="","",IF(ISNUMBER($F423),$F423+Settings!$C$7/24,IFERROR(DATEVALUE(LEFT($F423,10))+TIMEVALUE(MID($F423,12,8))+Settings!$C$7/24,"")))</f>
        <v/>
      </c>
      <c r="P423" s="106" t="str">
        <f>IF($G423="","",IF(ISNUMBER($G423),$G423+Settings!$C$7/24,IFERROR(DATEVALUE(LEFT($G423,10))+TIMEVALUE(MID($G423,12,8))+Settings!$C$7/24,"")))</f>
        <v/>
      </c>
      <c r="Q423" s="39" t="str">
        <f t="shared" si="109"/>
        <v/>
      </c>
      <c r="R423" s="39" t="str">
        <f t="shared" si="110"/>
        <v/>
      </c>
      <c r="S423" s="107" t="str">
        <f t="shared" si="111"/>
        <v/>
      </c>
      <c r="T423" s="39" t="str">
        <f>IF($C423="","",IF(COUNTIF($C$2:$C423,$C423)=1,1,0))</f>
        <v/>
      </c>
      <c r="U423" s="39" t="str">
        <f>IF($T423=1,COUNTIF($T$2:$T423,1),"")</f>
        <v/>
      </c>
      <c r="V423" s="39" t="str">
        <f>IF($B423="","",IF(COUNTIF($B$2:$B423,$B423)=1,1,0))</f>
        <v/>
      </c>
      <c r="W423" s="39" t="str">
        <f>IF($V423=1,COUNTIF($V$2:$V423,1),"")</f>
        <v/>
      </c>
      <c r="X423" s="39" t="str">
        <f>IF($A423="","",IF(COUNTIF($A$2:$A423,$A423)=1,1,0))</f>
        <v/>
      </c>
      <c r="Y423" s="39" t="str">
        <f>IF($X423=1,COUNTIF($X$2:$X423,1),"")</f>
        <v/>
      </c>
      <c r="Z423" s="39">
        <f>IF(AND($E423="timed",$N423&gt;Settings!$C$8),1,0)</f>
        <v>0</v>
      </c>
      <c r="AA423" s="39">
        <f t="shared" si="112"/>
        <v>0</v>
      </c>
      <c r="AB423" s="39">
        <f t="shared" si="113"/>
        <v>0</v>
      </c>
      <c r="AC423" s="39" t="str">
        <f t="shared" si="114"/>
        <v/>
      </c>
      <c r="AD423" s="39" t="str">
        <f t="shared" si="115"/>
        <v/>
      </c>
      <c r="AE423" s="39" t="str">
        <f t="shared" si="116"/>
        <v/>
      </c>
      <c r="AF423" s="106" t="str">
        <f t="shared" si="117"/>
        <v/>
      </c>
      <c r="AG423" s="39">
        <f t="shared" si="118"/>
        <v>0</v>
      </c>
      <c r="AH423" s="39" t="str">
        <f t="shared" si="119"/>
        <v/>
      </c>
      <c r="AI423" s="39">
        <f>IF(AND($E423="timed",$N423&gt;=Settings!$C$9),1,0)</f>
        <v>0</v>
      </c>
      <c r="AJ423" s="39" t="str">
        <f>IF(OR($S423="",Settings!$C$16=""),"",IF($S423&lt;=Settings!$C$16,1,2))</f>
        <v/>
      </c>
      <c r="AK423" s="39" t="str">
        <f>IF($C423="","",IFERROR(IF(INDEX(Settings!$C$20:$C$59,MATCH($C423,Settings!$B$20:$B$59,0))="",Settings!$C$10,INDEX(Settings!$C$20:$C$59,MATCH($C423,Settings!$B$20:$B$59,0))),Settings!$C$10))</f>
        <v/>
      </c>
      <c r="AL423" s="108">
        <f t="shared" si="120"/>
        <v>0</v>
      </c>
      <c r="AM423" s="39" t="str">
        <f t="shared" si="121"/>
        <v/>
      </c>
      <c r="AN423" s="39" t="str">
        <f t="shared" si="122"/>
        <v/>
      </c>
      <c r="AO423" s="39" t="str">
        <f t="shared" si="123"/>
        <v/>
      </c>
      <c r="AP423" s="39">
        <f t="shared" si="124"/>
        <v>0</v>
      </c>
      <c r="AQ423" s="39">
        <f t="shared" si="125"/>
        <v>0</v>
      </c>
    </row>
    <row r="424" spans="14:43" x14ac:dyDescent="0.25">
      <c r="N424" s="105">
        <f t="shared" si="108"/>
        <v>0</v>
      </c>
      <c r="O424" s="106" t="str">
        <f>IF($F424="","",IF(ISNUMBER($F424),$F424+Settings!$C$7/24,IFERROR(DATEVALUE(LEFT($F424,10))+TIMEVALUE(MID($F424,12,8))+Settings!$C$7/24,"")))</f>
        <v/>
      </c>
      <c r="P424" s="106" t="str">
        <f>IF($G424="","",IF(ISNUMBER($G424),$G424+Settings!$C$7/24,IFERROR(DATEVALUE(LEFT($G424,10))+TIMEVALUE(MID($G424,12,8))+Settings!$C$7/24,"")))</f>
        <v/>
      </c>
      <c r="Q424" s="39" t="str">
        <f t="shared" si="109"/>
        <v/>
      </c>
      <c r="R424" s="39" t="str">
        <f t="shared" si="110"/>
        <v/>
      </c>
      <c r="S424" s="107" t="str">
        <f t="shared" si="111"/>
        <v/>
      </c>
      <c r="T424" s="39" t="str">
        <f>IF($C424="","",IF(COUNTIF($C$2:$C424,$C424)=1,1,0))</f>
        <v/>
      </c>
      <c r="U424" s="39" t="str">
        <f>IF($T424=1,COUNTIF($T$2:$T424,1),"")</f>
        <v/>
      </c>
      <c r="V424" s="39" t="str">
        <f>IF($B424="","",IF(COUNTIF($B$2:$B424,$B424)=1,1,0))</f>
        <v/>
      </c>
      <c r="W424" s="39" t="str">
        <f>IF($V424=1,COUNTIF($V$2:$V424,1),"")</f>
        <v/>
      </c>
      <c r="X424" s="39" t="str">
        <f>IF($A424="","",IF(COUNTIF($A$2:$A424,$A424)=1,1,0))</f>
        <v/>
      </c>
      <c r="Y424" s="39" t="str">
        <f>IF($X424=1,COUNTIF($X$2:$X424,1),"")</f>
        <v/>
      </c>
      <c r="Z424" s="39">
        <f>IF(AND($E424="timed",$N424&gt;Settings!$C$8),1,0)</f>
        <v>0</v>
      </c>
      <c r="AA424" s="39">
        <f t="shared" si="112"/>
        <v>0</v>
      </c>
      <c r="AB424" s="39">
        <f t="shared" si="113"/>
        <v>0</v>
      </c>
      <c r="AC424" s="39" t="str">
        <f t="shared" si="114"/>
        <v/>
      </c>
      <c r="AD424" s="39" t="str">
        <f t="shared" si="115"/>
        <v/>
      </c>
      <c r="AE424" s="39" t="str">
        <f t="shared" si="116"/>
        <v/>
      </c>
      <c r="AF424" s="106" t="str">
        <f t="shared" si="117"/>
        <v/>
      </c>
      <c r="AG424" s="39">
        <f t="shared" si="118"/>
        <v>0</v>
      </c>
      <c r="AH424" s="39" t="str">
        <f t="shared" si="119"/>
        <v/>
      </c>
      <c r="AI424" s="39">
        <f>IF(AND($E424="timed",$N424&gt;=Settings!$C$9),1,0)</f>
        <v>0</v>
      </c>
      <c r="AJ424" s="39" t="str">
        <f>IF(OR($S424="",Settings!$C$16=""),"",IF($S424&lt;=Settings!$C$16,1,2))</f>
        <v/>
      </c>
      <c r="AK424" s="39" t="str">
        <f>IF($C424="","",IFERROR(IF(INDEX(Settings!$C$20:$C$59,MATCH($C424,Settings!$B$20:$B$59,0))="",Settings!$C$10,INDEX(Settings!$C$20:$C$59,MATCH($C424,Settings!$B$20:$B$59,0))),Settings!$C$10))</f>
        <v/>
      </c>
      <c r="AL424" s="108">
        <f t="shared" si="120"/>
        <v>0</v>
      </c>
      <c r="AM424" s="39" t="str">
        <f t="shared" si="121"/>
        <v/>
      </c>
      <c r="AN424" s="39" t="str">
        <f t="shared" si="122"/>
        <v/>
      </c>
      <c r="AO424" s="39" t="str">
        <f t="shared" si="123"/>
        <v/>
      </c>
      <c r="AP424" s="39">
        <f t="shared" si="124"/>
        <v>0</v>
      </c>
      <c r="AQ424" s="39">
        <f t="shared" si="125"/>
        <v>0</v>
      </c>
    </row>
    <row r="425" spans="14:43" x14ac:dyDescent="0.25">
      <c r="N425" s="105">
        <f t="shared" si="108"/>
        <v>0</v>
      </c>
      <c r="O425" s="106" t="str">
        <f>IF($F425="","",IF(ISNUMBER($F425),$F425+Settings!$C$7/24,IFERROR(DATEVALUE(LEFT($F425,10))+TIMEVALUE(MID($F425,12,8))+Settings!$C$7/24,"")))</f>
        <v/>
      </c>
      <c r="P425" s="106" t="str">
        <f>IF($G425="","",IF(ISNUMBER($G425),$G425+Settings!$C$7/24,IFERROR(DATEVALUE(LEFT($G425,10))+TIMEVALUE(MID($G425,12,8))+Settings!$C$7/24,"")))</f>
        <v/>
      </c>
      <c r="Q425" s="39" t="str">
        <f t="shared" si="109"/>
        <v/>
      </c>
      <c r="R425" s="39" t="str">
        <f t="shared" si="110"/>
        <v/>
      </c>
      <c r="S425" s="107" t="str">
        <f t="shared" si="111"/>
        <v/>
      </c>
      <c r="T425" s="39" t="str">
        <f>IF($C425="","",IF(COUNTIF($C$2:$C425,$C425)=1,1,0))</f>
        <v/>
      </c>
      <c r="U425" s="39" t="str">
        <f>IF($T425=1,COUNTIF($T$2:$T425,1),"")</f>
        <v/>
      </c>
      <c r="V425" s="39" t="str">
        <f>IF($B425="","",IF(COUNTIF($B$2:$B425,$B425)=1,1,0))</f>
        <v/>
      </c>
      <c r="W425" s="39" t="str">
        <f>IF($V425=1,COUNTIF($V$2:$V425,1),"")</f>
        <v/>
      </c>
      <c r="X425" s="39" t="str">
        <f>IF($A425="","",IF(COUNTIF($A$2:$A425,$A425)=1,1,0))</f>
        <v/>
      </c>
      <c r="Y425" s="39" t="str">
        <f>IF($X425=1,COUNTIF($X$2:$X425,1),"")</f>
        <v/>
      </c>
      <c r="Z425" s="39">
        <f>IF(AND($E425="timed",$N425&gt;Settings!$C$8),1,0)</f>
        <v>0</v>
      </c>
      <c r="AA425" s="39">
        <f t="shared" si="112"/>
        <v>0</v>
      </c>
      <c r="AB425" s="39">
        <f t="shared" si="113"/>
        <v>0</v>
      </c>
      <c r="AC425" s="39" t="str">
        <f t="shared" si="114"/>
        <v/>
      </c>
      <c r="AD425" s="39" t="str">
        <f t="shared" si="115"/>
        <v/>
      </c>
      <c r="AE425" s="39" t="str">
        <f t="shared" si="116"/>
        <v/>
      </c>
      <c r="AF425" s="106" t="str">
        <f t="shared" si="117"/>
        <v/>
      </c>
      <c r="AG425" s="39">
        <f t="shared" si="118"/>
        <v>0</v>
      </c>
      <c r="AH425" s="39" t="str">
        <f t="shared" si="119"/>
        <v/>
      </c>
      <c r="AI425" s="39">
        <f>IF(AND($E425="timed",$N425&gt;=Settings!$C$9),1,0)</f>
        <v>0</v>
      </c>
      <c r="AJ425" s="39" t="str">
        <f>IF(OR($S425="",Settings!$C$16=""),"",IF($S425&lt;=Settings!$C$16,1,2))</f>
        <v/>
      </c>
      <c r="AK425" s="39" t="str">
        <f>IF($C425="","",IFERROR(IF(INDEX(Settings!$C$20:$C$59,MATCH($C425,Settings!$B$20:$B$59,0))="",Settings!$C$10,INDEX(Settings!$C$20:$C$59,MATCH($C425,Settings!$B$20:$B$59,0))),Settings!$C$10))</f>
        <v/>
      </c>
      <c r="AL425" s="108">
        <f t="shared" si="120"/>
        <v>0</v>
      </c>
      <c r="AM425" s="39" t="str">
        <f t="shared" si="121"/>
        <v/>
      </c>
      <c r="AN425" s="39" t="str">
        <f t="shared" si="122"/>
        <v/>
      </c>
      <c r="AO425" s="39" t="str">
        <f t="shared" si="123"/>
        <v/>
      </c>
      <c r="AP425" s="39">
        <f t="shared" si="124"/>
        <v>0</v>
      </c>
      <c r="AQ425" s="39">
        <f t="shared" si="125"/>
        <v>0</v>
      </c>
    </row>
    <row r="426" spans="14:43" x14ac:dyDescent="0.25">
      <c r="N426" s="105">
        <f t="shared" si="108"/>
        <v>0</v>
      </c>
      <c r="O426" s="106" t="str">
        <f>IF($F426="","",IF(ISNUMBER($F426),$F426+Settings!$C$7/24,IFERROR(DATEVALUE(LEFT($F426,10))+TIMEVALUE(MID($F426,12,8))+Settings!$C$7/24,"")))</f>
        <v/>
      </c>
      <c r="P426" s="106" t="str">
        <f>IF($G426="","",IF(ISNUMBER($G426),$G426+Settings!$C$7/24,IFERROR(DATEVALUE(LEFT($G426,10))+TIMEVALUE(MID($G426,12,8))+Settings!$C$7/24,"")))</f>
        <v/>
      </c>
      <c r="Q426" s="39" t="str">
        <f t="shared" si="109"/>
        <v/>
      </c>
      <c r="R426" s="39" t="str">
        <f t="shared" si="110"/>
        <v/>
      </c>
      <c r="S426" s="107" t="str">
        <f t="shared" si="111"/>
        <v/>
      </c>
      <c r="T426" s="39" t="str">
        <f>IF($C426="","",IF(COUNTIF($C$2:$C426,$C426)=1,1,0))</f>
        <v/>
      </c>
      <c r="U426" s="39" t="str">
        <f>IF($T426=1,COUNTIF($T$2:$T426,1),"")</f>
        <v/>
      </c>
      <c r="V426" s="39" t="str">
        <f>IF($B426="","",IF(COUNTIF($B$2:$B426,$B426)=1,1,0))</f>
        <v/>
      </c>
      <c r="W426" s="39" t="str">
        <f>IF($V426=1,COUNTIF($V$2:$V426,1),"")</f>
        <v/>
      </c>
      <c r="X426" s="39" t="str">
        <f>IF($A426="","",IF(COUNTIF($A$2:$A426,$A426)=1,1,0))</f>
        <v/>
      </c>
      <c r="Y426" s="39" t="str">
        <f>IF($X426=1,COUNTIF($X$2:$X426,1),"")</f>
        <v/>
      </c>
      <c r="Z426" s="39">
        <f>IF(AND($E426="timed",$N426&gt;Settings!$C$8),1,0)</f>
        <v>0</v>
      </c>
      <c r="AA426" s="39">
        <f t="shared" si="112"/>
        <v>0</v>
      </c>
      <c r="AB426" s="39">
        <f t="shared" si="113"/>
        <v>0</v>
      </c>
      <c r="AC426" s="39" t="str">
        <f t="shared" si="114"/>
        <v/>
      </c>
      <c r="AD426" s="39" t="str">
        <f t="shared" si="115"/>
        <v/>
      </c>
      <c r="AE426" s="39" t="str">
        <f t="shared" si="116"/>
        <v/>
      </c>
      <c r="AF426" s="106" t="str">
        <f t="shared" si="117"/>
        <v/>
      </c>
      <c r="AG426" s="39">
        <f t="shared" si="118"/>
        <v>0</v>
      </c>
      <c r="AH426" s="39" t="str">
        <f t="shared" si="119"/>
        <v/>
      </c>
      <c r="AI426" s="39">
        <f>IF(AND($E426="timed",$N426&gt;=Settings!$C$9),1,0)</f>
        <v>0</v>
      </c>
      <c r="AJ426" s="39" t="str">
        <f>IF(OR($S426="",Settings!$C$16=""),"",IF($S426&lt;=Settings!$C$16,1,2))</f>
        <v/>
      </c>
      <c r="AK426" s="39" t="str">
        <f>IF($C426="","",IFERROR(IF(INDEX(Settings!$C$20:$C$59,MATCH($C426,Settings!$B$20:$B$59,0))="",Settings!$C$10,INDEX(Settings!$C$20:$C$59,MATCH($C426,Settings!$B$20:$B$59,0))),Settings!$C$10))</f>
        <v/>
      </c>
      <c r="AL426" s="108">
        <f t="shared" si="120"/>
        <v>0</v>
      </c>
      <c r="AM426" s="39" t="str">
        <f t="shared" si="121"/>
        <v/>
      </c>
      <c r="AN426" s="39" t="str">
        <f t="shared" si="122"/>
        <v/>
      </c>
      <c r="AO426" s="39" t="str">
        <f t="shared" si="123"/>
        <v/>
      </c>
      <c r="AP426" s="39">
        <f t="shared" si="124"/>
        <v>0</v>
      </c>
      <c r="AQ426" s="39">
        <f t="shared" si="125"/>
        <v>0</v>
      </c>
    </row>
    <row r="427" spans="14:43" x14ac:dyDescent="0.25">
      <c r="N427" s="105">
        <f t="shared" si="108"/>
        <v>0</v>
      </c>
      <c r="O427" s="106" t="str">
        <f>IF($F427="","",IF(ISNUMBER($F427),$F427+Settings!$C$7/24,IFERROR(DATEVALUE(LEFT($F427,10))+TIMEVALUE(MID($F427,12,8))+Settings!$C$7/24,"")))</f>
        <v/>
      </c>
      <c r="P427" s="106" t="str">
        <f>IF($G427="","",IF(ISNUMBER($G427),$G427+Settings!$C$7/24,IFERROR(DATEVALUE(LEFT($G427,10))+TIMEVALUE(MID($G427,12,8))+Settings!$C$7/24,"")))</f>
        <v/>
      </c>
      <c r="Q427" s="39" t="str">
        <f t="shared" si="109"/>
        <v/>
      </c>
      <c r="R427" s="39" t="str">
        <f t="shared" si="110"/>
        <v/>
      </c>
      <c r="S427" s="107" t="str">
        <f t="shared" si="111"/>
        <v/>
      </c>
      <c r="T427" s="39" t="str">
        <f>IF($C427="","",IF(COUNTIF($C$2:$C427,$C427)=1,1,0))</f>
        <v/>
      </c>
      <c r="U427" s="39" t="str">
        <f>IF($T427=1,COUNTIF($T$2:$T427,1),"")</f>
        <v/>
      </c>
      <c r="V427" s="39" t="str">
        <f>IF($B427="","",IF(COUNTIF($B$2:$B427,$B427)=1,1,0))</f>
        <v/>
      </c>
      <c r="W427" s="39" t="str">
        <f>IF($V427=1,COUNTIF($V$2:$V427,1),"")</f>
        <v/>
      </c>
      <c r="X427" s="39" t="str">
        <f>IF($A427="","",IF(COUNTIF($A$2:$A427,$A427)=1,1,0))</f>
        <v/>
      </c>
      <c r="Y427" s="39" t="str">
        <f>IF($X427=1,COUNTIF($X$2:$X427,1),"")</f>
        <v/>
      </c>
      <c r="Z427" s="39">
        <f>IF(AND($E427="timed",$N427&gt;Settings!$C$8),1,0)</f>
        <v>0</v>
      </c>
      <c r="AA427" s="39">
        <f t="shared" si="112"/>
        <v>0</v>
      </c>
      <c r="AB427" s="39">
        <f t="shared" si="113"/>
        <v>0</v>
      </c>
      <c r="AC427" s="39" t="str">
        <f t="shared" si="114"/>
        <v/>
      </c>
      <c r="AD427" s="39" t="str">
        <f t="shared" si="115"/>
        <v/>
      </c>
      <c r="AE427" s="39" t="str">
        <f t="shared" si="116"/>
        <v/>
      </c>
      <c r="AF427" s="106" t="str">
        <f t="shared" si="117"/>
        <v/>
      </c>
      <c r="AG427" s="39">
        <f t="shared" si="118"/>
        <v>0</v>
      </c>
      <c r="AH427" s="39" t="str">
        <f t="shared" si="119"/>
        <v/>
      </c>
      <c r="AI427" s="39">
        <f>IF(AND($E427="timed",$N427&gt;=Settings!$C$9),1,0)</f>
        <v>0</v>
      </c>
      <c r="AJ427" s="39" t="str">
        <f>IF(OR($S427="",Settings!$C$16=""),"",IF($S427&lt;=Settings!$C$16,1,2))</f>
        <v/>
      </c>
      <c r="AK427" s="39" t="str">
        <f>IF($C427="","",IFERROR(IF(INDEX(Settings!$C$20:$C$59,MATCH($C427,Settings!$B$20:$B$59,0))="",Settings!$C$10,INDEX(Settings!$C$20:$C$59,MATCH($C427,Settings!$B$20:$B$59,0))),Settings!$C$10))</f>
        <v/>
      </c>
      <c r="AL427" s="108">
        <f t="shared" si="120"/>
        <v>0</v>
      </c>
      <c r="AM427" s="39" t="str">
        <f t="shared" si="121"/>
        <v/>
      </c>
      <c r="AN427" s="39" t="str">
        <f t="shared" si="122"/>
        <v/>
      </c>
      <c r="AO427" s="39" t="str">
        <f t="shared" si="123"/>
        <v/>
      </c>
      <c r="AP427" s="39">
        <f t="shared" si="124"/>
        <v>0</v>
      </c>
      <c r="AQ427" s="39">
        <f t="shared" si="125"/>
        <v>0</v>
      </c>
    </row>
    <row r="428" spans="14:43" x14ac:dyDescent="0.25">
      <c r="N428" s="105">
        <f t="shared" si="108"/>
        <v>0</v>
      </c>
      <c r="O428" s="106" t="str">
        <f>IF($F428="","",IF(ISNUMBER($F428),$F428+Settings!$C$7/24,IFERROR(DATEVALUE(LEFT($F428,10))+TIMEVALUE(MID($F428,12,8))+Settings!$C$7/24,"")))</f>
        <v/>
      </c>
      <c r="P428" s="106" t="str">
        <f>IF($G428="","",IF(ISNUMBER($G428),$G428+Settings!$C$7/24,IFERROR(DATEVALUE(LEFT($G428,10))+TIMEVALUE(MID($G428,12,8))+Settings!$C$7/24,"")))</f>
        <v/>
      </c>
      <c r="Q428" s="39" t="str">
        <f t="shared" si="109"/>
        <v/>
      </c>
      <c r="R428" s="39" t="str">
        <f t="shared" si="110"/>
        <v/>
      </c>
      <c r="S428" s="107" t="str">
        <f t="shared" si="111"/>
        <v/>
      </c>
      <c r="T428" s="39" t="str">
        <f>IF($C428="","",IF(COUNTIF($C$2:$C428,$C428)=1,1,0))</f>
        <v/>
      </c>
      <c r="U428" s="39" t="str">
        <f>IF($T428=1,COUNTIF($T$2:$T428,1),"")</f>
        <v/>
      </c>
      <c r="V428" s="39" t="str">
        <f>IF($B428="","",IF(COUNTIF($B$2:$B428,$B428)=1,1,0))</f>
        <v/>
      </c>
      <c r="W428" s="39" t="str">
        <f>IF($V428=1,COUNTIF($V$2:$V428,1),"")</f>
        <v/>
      </c>
      <c r="X428" s="39" t="str">
        <f>IF($A428="","",IF(COUNTIF($A$2:$A428,$A428)=1,1,0))</f>
        <v/>
      </c>
      <c r="Y428" s="39" t="str">
        <f>IF($X428=1,COUNTIF($X$2:$X428,1),"")</f>
        <v/>
      </c>
      <c r="Z428" s="39">
        <f>IF(AND($E428="timed",$N428&gt;Settings!$C$8),1,0)</f>
        <v>0</v>
      </c>
      <c r="AA428" s="39">
        <f t="shared" si="112"/>
        <v>0</v>
      </c>
      <c r="AB428" s="39">
        <f t="shared" si="113"/>
        <v>0</v>
      </c>
      <c r="AC428" s="39" t="str">
        <f t="shared" si="114"/>
        <v/>
      </c>
      <c r="AD428" s="39" t="str">
        <f t="shared" si="115"/>
        <v/>
      </c>
      <c r="AE428" s="39" t="str">
        <f t="shared" si="116"/>
        <v/>
      </c>
      <c r="AF428" s="106" t="str">
        <f t="shared" si="117"/>
        <v/>
      </c>
      <c r="AG428" s="39">
        <f t="shared" si="118"/>
        <v>0</v>
      </c>
      <c r="AH428" s="39" t="str">
        <f t="shared" si="119"/>
        <v/>
      </c>
      <c r="AI428" s="39">
        <f>IF(AND($E428="timed",$N428&gt;=Settings!$C$9),1,0)</f>
        <v>0</v>
      </c>
      <c r="AJ428" s="39" t="str">
        <f>IF(OR($S428="",Settings!$C$16=""),"",IF($S428&lt;=Settings!$C$16,1,2))</f>
        <v/>
      </c>
      <c r="AK428" s="39" t="str">
        <f>IF($C428="","",IFERROR(IF(INDEX(Settings!$C$20:$C$59,MATCH($C428,Settings!$B$20:$B$59,0))="",Settings!$C$10,INDEX(Settings!$C$20:$C$59,MATCH($C428,Settings!$B$20:$B$59,0))),Settings!$C$10))</f>
        <v/>
      </c>
      <c r="AL428" s="108">
        <f t="shared" si="120"/>
        <v>0</v>
      </c>
      <c r="AM428" s="39" t="str">
        <f t="shared" si="121"/>
        <v/>
      </c>
      <c r="AN428" s="39" t="str">
        <f t="shared" si="122"/>
        <v/>
      </c>
      <c r="AO428" s="39" t="str">
        <f t="shared" si="123"/>
        <v/>
      </c>
      <c r="AP428" s="39">
        <f t="shared" si="124"/>
        <v>0</v>
      </c>
      <c r="AQ428" s="39">
        <f t="shared" si="125"/>
        <v>0</v>
      </c>
    </row>
    <row r="429" spans="14:43" x14ac:dyDescent="0.25">
      <c r="N429" s="105">
        <f t="shared" si="108"/>
        <v>0</v>
      </c>
      <c r="O429" s="106" t="str">
        <f>IF($F429="","",IF(ISNUMBER($F429),$F429+Settings!$C$7/24,IFERROR(DATEVALUE(LEFT($F429,10))+TIMEVALUE(MID($F429,12,8))+Settings!$C$7/24,"")))</f>
        <v/>
      </c>
      <c r="P429" s="106" t="str">
        <f>IF($G429="","",IF(ISNUMBER($G429),$G429+Settings!$C$7/24,IFERROR(DATEVALUE(LEFT($G429,10))+TIMEVALUE(MID($G429,12,8))+Settings!$C$7/24,"")))</f>
        <v/>
      </c>
      <c r="Q429" s="39" t="str">
        <f t="shared" si="109"/>
        <v/>
      </c>
      <c r="R429" s="39" t="str">
        <f t="shared" si="110"/>
        <v/>
      </c>
      <c r="S429" s="107" t="str">
        <f t="shared" si="111"/>
        <v/>
      </c>
      <c r="T429" s="39" t="str">
        <f>IF($C429="","",IF(COUNTIF($C$2:$C429,$C429)=1,1,0))</f>
        <v/>
      </c>
      <c r="U429" s="39" t="str">
        <f>IF($T429=1,COUNTIF($T$2:$T429,1),"")</f>
        <v/>
      </c>
      <c r="V429" s="39" t="str">
        <f>IF($B429="","",IF(COUNTIF($B$2:$B429,$B429)=1,1,0))</f>
        <v/>
      </c>
      <c r="W429" s="39" t="str">
        <f>IF($V429=1,COUNTIF($V$2:$V429,1),"")</f>
        <v/>
      </c>
      <c r="X429" s="39" t="str">
        <f>IF($A429="","",IF(COUNTIF($A$2:$A429,$A429)=1,1,0))</f>
        <v/>
      </c>
      <c r="Y429" s="39" t="str">
        <f>IF($X429=1,COUNTIF($X$2:$X429,1),"")</f>
        <v/>
      </c>
      <c r="Z429" s="39">
        <f>IF(AND($E429="timed",$N429&gt;Settings!$C$8),1,0)</f>
        <v>0</v>
      </c>
      <c r="AA429" s="39">
        <f t="shared" si="112"/>
        <v>0</v>
      </c>
      <c r="AB429" s="39">
        <f t="shared" si="113"/>
        <v>0</v>
      </c>
      <c r="AC429" s="39" t="str">
        <f t="shared" si="114"/>
        <v/>
      </c>
      <c r="AD429" s="39" t="str">
        <f t="shared" si="115"/>
        <v/>
      </c>
      <c r="AE429" s="39" t="str">
        <f t="shared" si="116"/>
        <v/>
      </c>
      <c r="AF429" s="106" t="str">
        <f t="shared" si="117"/>
        <v/>
      </c>
      <c r="AG429" s="39">
        <f t="shared" si="118"/>
        <v>0</v>
      </c>
      <c r="AH429" s="39" t="str">
        <f t="shared" si="119"/>
        <v/>
      </c>
      <c r="AI429" s="39">
        <f>IF(AND($E429="timed",$N429&gt;=Settings!$C$9),1,0)</f>
        <v>0</v>
      </c>
      <c r="AJ429" s="39" t="str">
        <f>IF(OR($S429="",Settings!$C$16=""),"",IF($S429&lt;=Settings!$C$16,1,2))</f>
        <v/>
      </c>
      <c r="AK429" s="39" t="str">
        <f>IF($C429="","",IFERROR(IF(INDEX(Settings!$C$20:$C$59,MATCH($C429,Settings!$B$20:$B$59,0))="",Settings!$C$10,INDEX(Settings!$C$20:$C$59,MATCH($C429,Settings!$B$20:$B$59,0))),Settings!$C$10))</f>
        <v/>
      </c>
      <c r="AL429" s="108">
        <f t="shared" si="120"/>
        <v>0</v>
      </c>
      <c r="AM429" s="39" t="str">
        <f t="shared" si="121"/>
        <v/>
      </c>
      <c r="AN429" s="39" t="str">
        <f t="shared" si="122"/>
        <v/>
      </c>
      <c r="AO429" s="39" t="str">
        <f t="shared" si="123"/>
        <v/>
      </c>
      <c r="AP429" s="39">
        <f t="shared" si="124"/>
        <v>0</v>
      </c>
      <c r="AQ429" s="39">
        <f t="shared" si="125"/>
        <v>0</v>
      </c>
    </row>
    <row r="430" spans="14:43" x14ac:dyDescent="0.25">
      <c r="N430" s="105">
        <f t="shared" si="108"/>
        <v>0</v>
      </c>
      <c r="O430" s="106" t="str">
        <f>IF($F430="","",IF(ISNUMBER($F430),$F430+Settings!$C$7/24,IFERROR(DATEVALUE(LEFT($F430,10))+TIMEVALUE(MID($F430,12,8))+Settings!$C$7/24,"")))</f>
        <v/>
      </c>
      <c r="P430" s="106" t="str">
        <f>IF($G430="","",IF(ISNUMBER($G430),$G430+Settings!$C$7/24,IFERROR(DATEVALUE(LEFT($G430,10))+TIMEVALUE(MID($G430,12,8))+Settings!$C$7/24,"")))</f>
        <v/>
      </c>
      <c r="Q430" s="39" t="str">
        <f t="shared" si="109"/>
        <v/>
      </c>
      <c r="R430" s="39" t="str">
        <f t="shared" si="110"/>
        <v/>
      </c>
      <c r="S430" s="107" t="str">
        <f t="shared" si="111"/>
        <v/>
      </c>
      <c r="T430" s="39" t="str">
        <f>IF($C430="","",IF(COUNTIF($C$2:$C430,$C430)=1,1,0))</f>
        <v/>
      </c>
      <c r="U430" s="39" t="str">
        <f>IF($T430=1,COUNTIF($T$2:$T430,1),"")</f>
        <v/>
      </c>
      <c r="V430" s="39" t="str">
        <f>IF($B430="","",IF(COUNTIF($B$2:$B430,$B430)=1,1,0))</f>
        <v/>
      </c>
      <c r="W430" s="39" t="str">
        <f>IF($V430=1,COUNTIF($V$2:$V430,1),"")</f>
        <v/>
      </c>
      <c r="X430" s="39" t="str">
        <f>IF($A430="","",IF(COUNTIF($A$2:$A430,$A430)=1,1,0))</f>
        <v/>
      </c>
      <c r="Y430" s="39" t="str">
        <f>IF($X430=1,COUNTIF($X$2:$X430,1),"")</f>
        <v/>
      </c>
      <c r="Z430" s="39">
        <f>IF(AND($E430="timed",$N430&gt;Settings!$C$8),1,0)</f>
        <v>0</v>
      </c>
      <c r="AA430" s="39">
        <f t="shared" si="112"/>
        <v>0</v>
      </c>
      <c r="AB430" s="39">
        <f t="shared" si="113"/>
        <v>0</v>
      </c>
      <c r="AC430" s="39" t="str">
        <f t="shared" si="114"/>
        <v/>
      </c>
      <c r="AD430" s="39" t="str">
        <f t="shared" si="115"/>
        <v/>
      </c>
      <c r="AE430" s="39" t="str">
        <f t="shared" si="116"/>
        <v/>
      </c>
      <c r="AF430" s="106" t="str">
        <f t="shared" si="117"/>
        <v/>
      </c>
      <c r="AG430" s="39">
        <f t="shared" si="118"/>
        <v>0</v>
      </c>
      <c r="AH430" s="39" t="str">
        <f t="shared" si="119"/>
        <v/>
      </c>
      <c r="AI430" s="39">
        <f>IF(AND($E430="timed",$N430&gt;=Settings!$C$9),1,0)</f>
        <v>0</v>
      </c>
      <c r="AJ430" s="39" t="str">
        <f>IF(OR($S430="",Settings!$C$16=""),"",IF($S430&lt;=Settings!$C$16,1,2))</f>
        <v/>
      </c>
      <c r="AK430" s="39" t="str">
        <f>IF($C430="","",IFERROR(IF(INDEX(Settings!$C$20:$C$59,MATCH($C430,Settings!$B$20:$B$59,0))="",Settings!$C$10,INDEX(Settings!$C$20:$C$59,MATCH($C430,Settings!$B$20:$B$59,0))),Settings!$C$10))</f>
        <v/>
      </c>
      <c r="AL430" s="108">
        <f t="shared" si="120"/>
        <v>0</v>
      </c>
      <c r="AM430" s="39" t="str">
        <f t="shared" si="121"/>
        <v/>
      </c>
      <c r="AN430" s="39" t="str">
        <f t="shared" si="122"/>
        <v/>
      </c>
      <c r="AO430" s="39" t="str">
        <f t="shared" si="123"/>
        <v/>
      </c>
      <c r="AP430" s="39">
        <f t="shared" si="124"/>
        <v>0</v>
      </c>
      <c r="AQ430" s="39">
        <f t="shared" si="125"/>
        <v>0</v>
      </c>
    </row>
    <row r="431" spans="14:43" x14ac:dyDescent="0.25">
      <c r="N431" s="105">
        <f t="shared" si="108"/>
        <v>0</v>
      </c>
      <c r="O431" s="106" t="str">
        <f>IF($F431="","",IF(ISNUMBER($F431),$F431+Settings!$C$7/24,IFERROR(DATEVALUE(LEFT($F431,10))+TIMEVALUE(MID($F431,12,8))+Settings!$C$7/24,"")))</f>
        <v/>
      </c>
      <c r="P431" s="106" t="str">
        <f>IF($G431="","",IF(ISNUMBER($G431),$G431+Settings!$C$7/24,IFERROR(DATEVALUE(LEFT($G431,10))+TIMEVALUE(MID($G431,12,8))+Settings!$C$7/24,"")))</f>
        <v/>
      </c>
      <c r="Q431" s="39" t="str">
        <f t="shared" si="109"/>
        <v/>
      </c>
      <c r="R431" s="39" t="str">
        <f t="shared" si="110"/>
        <v/>
      </c>
      <c r="S431" s="107" t="str">
        <f t="shared" si="111"/>
        <v/>
      </c>
      <c r="T431" s="39" t="str">
        <f>IF($C431="","",IF(COUNTIF($C$2:$C431,$C431)=1,1,0))</f>
        <v/>
      </c>
      <c r="U431" s="39" t="str">
        <f>IF($T431=1,COUNTIF($T$2:$T431,1),"")</f>
        <v/>
      </c>
      <c r="V431" s="39" t="str">
        <f>IF($B431="","",IF(COUNTIF($B$2:$B431,$B431)=1,1,0))</f>
        <v/>
      </c>
      <c r="W431" s="39" t="str">
        <f>IF($V431=1,COUNTIF($V$2:$V431,1),"")</f>
        <v/>
      </c>
      <c r="X431" s="39" t="str">
        <f>IF($A431="","",IF(COUNTIF($A$2:$A431,$A431)=1,1,0))</f>
        <v/>
      </c>
      <c r="Y431" s="39" t="str">
        <f>IF($X431=1,COUNTIF($X$2:$X431,1),"")</f>
        <v/>
      </c>
      <c r="Z431" s="39">
        <f>IF(AND($E431="timed",$N431&gt;Settings!$C$8),1,0)</f>
        <v>0</v>
      </c>
      <c r="AA431" s="39">
        <f t="shared" si="112"/>
        <v>0</v>
      </c>
      <c r="AB431" s="39">
        <f t="shared" si="113"/>
        <v>0</v>
      </c>
      <c r="AC431" s="39" t="str">
        <f t="shared" si="114"/>
        <v/>
      </c>
      <c r="AD431" s="39" t="str">
        <f t="shared" si="115"/>
        <v/>
      </c>
      <c r="AE431" s="39" t="str">
        <f t="shared" si="116"/>
        <v/>
      </c>
      <c r="AF431" s="106" t="str">
        <f t="shared" si="117"/>
        <v/>
      </c>
      <c r="AG431" s="39">
        <f t="shared" si="118"/>
        <v>0</v>
      </c>
      <c r="AH431" s="39" t="str">
        <f t="shared" si="119"/>
        <v/>
      </c>
      <c r="AI431" s="39">
        <f>IF(AND($E431="timed",$N431&gt;=Settings!$C$9),1,0)</f>
        <v>0</v>
      </c>
      <c r="AJ431" s="39" t="str">
        <f>IF(OR($S431="",Settings!$C$16=""),"",IF($S431&lt;=Settings!$C$16,1,2))</f>
        <v/>
      </c>
      <c r="AK431" s="39" t="str">
        <f>IF($C431="","",IFERROR(IF(INDEX(Settings!$C$20:$C$59,MATCH($C431,Settings!$B$20:$B$59,0))="",Settings!$C$10,INDEX(Settings!$C$20:$C$59,MATCH($C431,Settings!$B$20:$B$59,0))),Settings!$C$10))</f>
        <v/>
      </c>
      <c r="AL431" s="108">
        <f t="shared" si="120"/>
        <v>0</v>
      </c>
      <c r="AM431" s="39" t="str">
        <f t="shared" si="121"/>
        <v/>
      </c>
      <c r="AN431" s="39" t="str">
        <f t="shared" si="122"/>
        <v/>
      </c>
      <c r="AO431" s="39" t="str">
        <f t="shared" si="123"/>
        <v/>
      </c>
      <c r="AP431" s="39">
        <f t="shared" si="124"/>
        <v>0</v>
      </c>
      <c r="AQ431" s="39">
        <f t="shared" si="125"/>
        <v>0</v>
      </c>
    </row>
    <row r="432" spans="14:43" x14ac:dyDescent="0.25">
      <c r="N432" s="105">
        <f t="shared" si="108"/>
        <v>0</v>
      </c>
      <c r="O432" s="106" t="str">
        <f>IF($F432="","",IF(ISNUMBER($F432),$F432+Settings!$C$7/24,IFERROR(DATEVALUE(LEFT($F432,10))+TIMEVALUE(MID($F432,12,8))+Settings!$C$7/24,"")))</f>
        <v/>
      </c>
      <c r="P432" s="106" t="str">
        <f>IF($G432="","",IF(ISNUMBER($G432),$G432+Settings!$C$7/24,IFERROR(DATEVALUE(LEFT($G432,10))+TIMEVALUE(MID($G432,12,8))+Settings!$C$7/24,"")))</f>
        <v/>
      </c>
      <c r="Q432" s="39" t="str">
        <f t="shared" si="109"/>
        <v/>
      </c>
      <c r="R432" s="39" t="str">
        <f t="shared" si="110"/>
        <v/>
      </c>
      <c r="S432" s="107" t="str">
        <f t="shared" si="111"/>
        <v/>
      </c>
      <c r="T432" s="39" t="str">
        <f>IF($C432="","",IF(COUNTIF($C$2:$C432,$C432)=1,1,0))</f>
        <v/>
      </c>
      <c r="U432" s="39" t="str">
        <f>IF($T432=1,COUNTIF($T$2:$T432,1),"")</f>
        <v/>
      </c>
      <c r="V432" s="39" t="str">
        <f>IF($B432="","",IF(COUNTIF($B$2:$B432,$B432)=1,1,0))</f>
        <v/>
      </c>
      <c r="W432" s="39" t="str">
        <f>IF($V432=1,COUNTIF($V$2:$V432,1),"")</f>
        <v/>
      </c>
      <c r="X432" s="39" t="str">
        <f>IF($A432="","",IF(COUNTIF($A$2:$A432,$A432)=1,1,0))</f>
        <v/>
      </c>
      <c r="Y432" s="39" t="str">
        <f>IF($X432=1,COUNTIF($X$2:$X432,1),"")</f>
        <v/>
      </c>
      <c r="Z432" s="39">
        <f>IF(AND($E432="timed",$N432&gt;Settings!$C$8),1,0)</f>
        <v>0</v>
      </c>
      <c r="AA432" s="39">
        <f t="shared" si="112"/>
        <v>0</v>
      </c>
      <c r="AB432" s="39">
        <f t="shared" si="113"/>
        <v>0</v>
      </c>
      <c r="AC432" s="39" t="str">
        <f t="shared" si="114"/>
        <v/>
      </c>
      <c r="AD432" s="39" t="str">
        <f t="shared" si="115"/>
        <v/>
      </c>
      <c r="AE432" s="39" t="str">
        <f t="shared" si="116"/>
        <v/>
      </c>
      <c r="AF432" s="106" t="str">
        <f t="shared" si="117"/>
        <v/>
      </c>
      <c r="AG432" s="39">
        <f t="shared" si="118"/>
        <v>0</v>
      </c>
      <c r="AH432" s="39" t="str">
        <f t="shared" si="119"/>
        <v/>
      </c>
      <c r="AI432" s="39">
        <f>IF(AND($E432="timed",$N432&gt;=Settings!$C$9),1,0)</f>
        <v>0</v>
      </c>
      <c r="AJ432" s="39" t="str">
        <f>IF(OR($S432="",Settings!$C$16=""),"",IF($S432&lt;=Settings!$C$16,1,2))</f>
        <v/>
      </c>
      <c r="AK432" s="39" t="str">
        <f>IF($C432="","",IFERROR(IF(INDEX(Settings!$C$20:$C$59,MATCH($C432,Settings!$B$20:$B$59,0))="",Settings!$C$10,INDEX(Settings!$C$20:$C$59,MATCH($C432,Settings!$B$20:$B$59,0))),Settings!$C$10))</f>
        <v/>
      </c>
      <c r="AL432" s="108">
        <f t="shared" si="120"/>
        <v>0</v>
      </c>
      <c r="AM432" s="39" t="str">
        <f t="shared" si="121"/>
        <v/>
      </c>
      <c r="AN432" s="39" t="str">
        <f t="shared" si="122"/>
        <v/>
      </c>
      <c r="AO432" s="39" t="str">
        <f t="shared" si="123"/>
        <v/>
      </c>
      <c r="AP432" s="39">
        <f t="shared" si="124"/>
        <v>0</v>
      </c>
      <c r="AQ432" s="39">
        <f t="shared" si="125"/>
        <v>0</v>
      </c>
    </row>
    <row r="433" spans="14:43" x14ac:dyDescent="0.25">
      <c r="N433" s="105">
        <f t="shared" si="108"/>
        <v>0</v>
      </c>
      <c r="O433" s="106" t="str">
        <f>IF($F433="","",IF(ISNUMBER($F433),$F433+Settings!$C$7/24,IFERROR(DATEVALUE(LEFT($F433,10))+TIMEVALUE(MID($F433,12,8))+Settings!$C$7/24,"")))</f>
        <v/>
      </c>
      <c r="P433" s="106" t="str">
        <f>IF($G433="","",IF(ISNUMBER($G433),$G433+Settings!$C$7/24,IFERROR(DATEVALUE(LEFT($G433,10))+TIMEVALUE(MID($G433,12,8))+Settings!$C$7/24,"")))</f>
        <v/>
      </c>
      <c r="Q433" s="39" t="str">
        <f t="shared" si="109"/>
        <v/>
      </c>
      <c r="R433" s="39" t="str">
        <f t="shared" si="110"/>
        <v/>
      </c>
      <c r="S433" s="107" t="str">
        <f t="shared" si="111"/>
        <v/>
      </c>
      <c r="T433" s="39" t="str">
        <f>IF($C433="","",IF(COUNTIF($C$2:$C433,$C433)=1,1,0))</f>
        <v/>
      </c>
      <c r="U433" s="39" t="str">
        <f>IF($T433=1,COUNTIF($T$2:$T433,1),"")</f>
        <v/>
      </c>
      <c r="V433" s="39" t="str">
        <f>IF($B433="","",IF(COUNTIF($B$2:$B433,$B433)=1,1,0))</f>
        <v/>
      </c>
      <c r="W433" s="39" t="str">
        <f>IF($V433=1,COUNTIF($V$2:$V433,1),"")</f>
        <v/>
      </c>
      <c r="X433" s="39" t="str">
        <f>IF($A433="","",IF(COUNTIF($A$2:$A433,$A433)=1,1,0))</f>
        <v/>
      </c>
      <c r="Y433" s="39" t="str">
        <f>IF($X433=1,COUNTIF($X$2:$X433,1),"")</f>
        <v/>
      </c>
      <c r="Z433" s="39">
        <f>IF(AND($E433="timed",$N433&gt;Settings!$C$8),1,0)</f>
        <v>0</v>
      </c>
      <c r="AA433" s="39">
        <f t="shared" si="112"/>
        <v>0</v>
      </c>
      <c r="AB433" s="39">
        <f t="shared" si="113"/>
        <v>0</v>
      </c>
      <c r="AC433" s="39" t="str">
        <f t="shared" si="114"/>
        <v/>
      </c>
      <c r="AD433" s="39" t="str">
        <f t="shared" si="115"/>
        <v/>
      </c>
      <c r="AE433" s="39" t="str">
        <f t="shared" si="116"/>
        <v/>
      </c>
      <c r="AF433" s="106" t="str">
        <f t="shared" si="117"/>
        <v/>
      </c>
      <c r="AG433" s="39">
        <f t="shared" si="118"/>
        <v>0</v>
      </c>
      <c r="AH433" s="39" t="str">
        <f t="shared" si="119"/>
        <v/>
      </c>
      <c r="AI433" s="39">
        <f>IF(AND($E433="timed",$N433&gt;=Settings!$C$9),1,0)</f>
        <v>0</v>
      </c>
      <c r="AJ433" s="39" t="str">
        <f>IF(OR($S433="",Settings!$C$16=""),"",IF($S433&lt;=Settings!$C$16,1,2))</f>
        <v/>
      </c>
      <c r="AK433" s="39" t="str">
        <f>IF($C433="","",IFERROR(IF(INDEX(Settings!$C$20:$C$59,MATCH($C433,Settings!$B$20:$B$59,0))="",Settings!$C$10,INDEX(Settings!$C$20:$C$59,MATCH($C433,Settings!$B$20:$B$59,0))),Settings!$C$10))</f>
        <v/>
      </c>
      <c r="AL433" s="108">
        <f t="shared" si="120"/>
        <v>0</v>
      </c>
      <c r="AM433" s="39" t="str">
        <f t="shared" si="121"/>
        <v/>
      </c>
      <c r="AN433" s="39" t="str">
        <f t="shared" si="122"/>
        <v/>
      </c>
      <c r="AO433" s="39" t="str">
        <f t="shared" si="123"/>
        <v/>
      </c>
      <c r="AP433" s="39">
        <f t="shared" si="124"/>
        <v>0</v>
      </c>
      <c r="AQ433" s="39">
        <f t="shared" si="125"/>
        <v>0</v>
      </c>
    </row>
    <row r="434" spans="14:43" x14ac:dyDescent="0.25">
      <c r="N434" s="105">
        <f t="shared" si="108"/>
        <v>0</v>
      </c>
      <c r="O434" s="106" t="str">
        <f>IF($F434="","",IF(ISNUMBER($F434),$F434+Settings!$C$7/24,IFERROR(DATEVALUE(LEFT($F434,10))+TIMEVALUE(MID($F434,12,8))+Settings!$C$7/24,"")))</f>
        <v/>
      </c>
      <c r="P434" s="106" t="str">
        <f>IF($G434="","",IF(ISNUMBER($G434),$G434+Settings!$C$7/24,IFERROR(DATEVALUE(LEFT($G434,10))+TIMEVALUE(MID($G434,12,8))+Settings!$C$7/24,"")))</f>
        <v/>
      </c>
      <c r="Q434" s="39" t="str">
        <f t="shared" si="109"/>
        <v/>
      </c>
      <c r="R434" s="39" t="str">
        <f t="shared" si="110"/>
        <v/>
      </c>
      <c r="S434" s="107" t="str">
        <f t="shared" si="111"/>
        <v/>
      </c>
      <c r="T434" s="39" t="str">
        <f>IF($C434="","",IF(COUNTIF($C$2:$C434,$C434)=1,1,0))</f>
        <v/>
      </c>
      <c r="U434" s="39" t="str">
        <f>IF($T434=1,COUNTIF($T$2:$T434,1),"")</f>
        <v/>
      </c>
      <c r="V434" s="39" t="str">
        <f>IF($B434="","",IF(COUNTIF($B$2:$B434,$B434)=1,1,0))</f>
        <v/>
      </c>
      <c r="W434" s="39" t="str">
        <f>IF($V434=1,COUNTIF($V$2:$V434,1),"")</f>
        <v/>
      </c>
      <c r="X434" s="39" t="str">
        <f>IF($A434="","",IF(COUNTIF($A$2:$A434,$A434)=1,1,0))</f>
        <v/>
      </c>
      <c r="Y434" s="39" t="str">
        <f>IF($X434=1,COUNTIF($X$2:$X434,1),"")</f>
        <v/>
      </c>
      <c r="Z434" s="39">
        <f>IF(AND($E434="timed",$N434&gt;Settings!$C$8),1,0)</f>
        <v>0</v>
      </c>
      <c r="AA434" s="39">
        <f t="shared" si="112"/>
        <v>0</v>
      </c>
      <c r="AB434" s="39">
        <f t="shared" si="113"/>
        <v>0</v>
      </c>
      <c r="AC434" s="39" t="str">
        <f t="shared" si="114"/>
        <v/>
      </c>
      <c r="AD434" s="39" t="str">
        <f t="shared" si="115"/>
        <v/>
      </c>
      <c r="AE434" s="39" t="str">
        <f t="shared" si="116"/>
        <v/>
      </c>
      <c r="AF434" s="106" t="str">
        <f t="shared" si="117"/>
        <v/>
      </c>
      <c r="AG434" s="39">
        <f t="shared" si="118"/>
        <v>0</v>
      </c>
      <c r="AH434" s="39" t="str">
        <f t="shared" si="119"/>
        <v/>
      </c>
      <c r="AI434" s="39">
        <f>IF(AND($E434="timed",$N434&gt;=Settings!$C$9),1,0)</f>
        <v>0</v>
      </c>
      <c r="AJ434" s="39" t="str">
        <f>IF(OR($S434="",Settings!$C$16=""),"",IF($S434&lt;=Settings!$C$16,1,2))</f>
        <v/>
      </c>
      <c r="AK434" s="39" t="str">
        <f>IF($C434="","",IFERROR(IF(INDEX(Settings!$C$20:$C$59,MATCH($C434,Settings!$B$20:$B$59,0))="",Settings!$C$10,INDEX(Settings!$C$20:$C$59,MATCH($C434,Settings!$B$20:$B$59,0))),Settings!$C$10))</f>
        <v/>
      </c>
      <c r="AL434" s="108">
        <f t="shared" si="120"/>
        <v>0</v>
      </c>
      <c r="AM434" s="39" t="str">
        <f t="shared" si="121"/>
        <v/>
      </c>
      <c r="AN434" s="39" t="str">
        <f t="shared" si="122"/>
        <v/>
      </c>
      <c r="AO434" s="39" t="str">
        <f t="shared" si="123"/>
        <v/>
      </c>
      <c r="AP434" s="39">
        <f t="shared" si="124"/>
        <v>0</v>
      </c>
      <c r="AQ434" s="39">
        <f t="shared" si="125"/>
        <v>0</v>
      </c>
    </row>
    <row r="435" spans="14:43" x14ac:dyDescent="0.25">
      <c r="N435" s="105">
        <f t="shared" si="108"/>
        <v>0</v>
      </c>
      <c r="O435" s="106" t="str">
        <f>IF($F435="","",IF(ISNUMBER($F435),$F435+Settings!$C$7/24,IFERROR(DATEVALUE(LEFT($F435,10))+TIMEVALUE(MID($F435,12,8))+Settings!$C$7/24,"")))</f>
        <v/>
      </c>
      <c r="P435" s="106" t="str">
        <f>IF($G435="","",IF(ISNUMBER($G435),$G435+Settings!$C$7/24,IFERROR(DATEVALUE(LEFT($G435,10))+TIMEVALUE(MID($G435,12,8))+Settings!$C$7/24,"")))</f>
        <v/>
      </c>
      <c r="Q435" s="39" t="str">
        <f t="shared" si="109"/>
        <v/>
      </c>
      <c r="R435" s="39" t="str">
        <f t="shared" si="110"/>
        <v/>
      </c>
      <c r="S435" s="107" t="str">
        <f t="shared" si="111"/>
        <v/>
      </c>
      <c r="T435" s="39" t="str">
        <f>IF($C435="","",IF(COUNTIF($C$2:$C435,$C435)=1,1,0))</f>
        <v/>
      </c>
      <c r="U435" s="39" t="str">
        <f>IF($T435=1,COUNTIF($T$2:$T435,1),"")</f>
        <v/>
      </c>
      <c r="V435" s="39" t="str">
        <f>IF($B435="","",IF(COUNTIF($B$2:$B435,$B435)=1,1,0))</f>
        <v/>
      </c>
      <c r="W435" s="39" t="str">
        <f>IF($V435=1,COUNTIF($V$2:$V435,1),"")</f>
        <v/>
      </c>
      <c r="X435" s="39" t="str">
        <f>IF($A435="","",IF(COUNTIF($A$2:$A435,$A435)=1,1,0))</f>
        <v/>
      </c>
      <c r="Y435" s="39" t="str">
        <f>IF($X435=1,COUNTIF($X$2:$X435,1),"")</f>
        <v/>
      </c>
      <c r="Z435" s="39">
        <f>IF(AND($E435="timed",$N435&gt;Settings!$C$8),1,0)</f>
        <v>0</v>
      </c>
      <c r="AA435" s="39">
        <f t="shared" si="112"/>
        <v>0</v>
      </c>
      <c r="AB435" s="39">
        <f t="shared" si="113"/>
        <v>0</v>
      </c>
      <c r="AC435" s="39" t="str">
        <f t="shared" si="114"/>
        <v/>
      </c>
      <c r="AD435" s="39" t="str">
        <f t="shared" si="115"/>
        <v/>
      </c>
      <c r="AE435" s="39" t="str">
        <f t="shared" si="116"/>
        <v/>
      </c>
      <c r="AF435" s="106" t="str">
        <f t="shared" si="117"/>
        <v/>
      </c>
      <c r="AG435" s="39">
        <f t="shared" si="118"/>
        <v>0</v>
      </c>
      <c r="AH435" s="39" t="str">
        <f t="shared" si="119"/>
        <v/>
      </c>
      <c r="AI435" s="39">
        <f>IF(AND($E435="timed",$N435&gt;=Settings!$C$9),1,0)</f>
        <v>0</v>
      </c>
      <c r="AJ435" s="39" t="str">
        <f>IF(OR($S435="",Settings!$C$16=""),"",IF($S435&lt;=Settings!$C$16,1,2))</f>
        <v/>
      </c>
      <c r="AK435" s="39" t="str">
        <f>IF($C435="","",IFERROR(IF(INDEX(Settings!$C$20:$C$59,MATCH($C435,Settings!$B$20:$B$59,0))="",Settings!$C$10,INDEX(Settings!$C$20:$C$59,MATCH($C435,Settings!$B$20:$B$59,0))),Settings!$C$10))</f>
        <v/>
      </c>
      <c r="AL435" s="108">
        <f t="shared" si="120"/>
        <v>0</v>
      </c>
      <c r="AM435" s="39" t="str">
        <f t="shared" si="121"/>
        <v/>
      </c>
      <c r="AN435" s="39" t="str">
        <f t="shared" si="122"/>
        <v/>
      </c>
      <c r="AO435" s="39" t="str">
        <f t="shared" si="123"/>
        <v/>
      </c>
      <c r="AP435" s="39">
        <f t="shared" si="124"/>
        <v>0</v>
      </c>
      <c r="AQ435" s="39">
        <f t="shared" si="125"/>
        <v>0</v>
      </c>
    </row>
    <row r="436" spans="14:43" x14ac:dyDescent="0.25">
      <c r="N436" s="105">
        <f t="shared" si="108"/>
        <v>0</v>
      </c>
      <c r="O436" s="106" t="str">
        <f>IF($F436="","",IF(ISNUMBER($F436),$F436+Settings!$C$7/24,IFERROR(DATEVALUE(LEFT($F436,10))+TIMEVALUE(MID($F436,12,8))+Settings!$C$7/24,"")))</f>
        <v/>
      </c>
      <c r="P436" s="106" t="str">
        <f>IF($G436="","",IF(ISNUMBER($G436),$G436+Settings!$C$7/24,IFERROR(DATEVALUE(LEFT($G436,10))+TIMEVALUE(MID($G436,12,8))+Settings!$C$7/24,"")))</f>
        <v/>
      </c>
      <c r="Q436" s="39" t="str">
        <f t="shared" si="109"/>
        <v/>
      </c>
      <c r="R436" s="39" t="str">
        <f t="shared" si="110"/>
        <v/>
      </c>
      <c r="S436" s="107" t="str">
        <f t="shared" si="111"/>
        <v/>
      </c>
      <c r="T436" s="39" t="str">
        <f>IF($C436="","",IF(COUNTIF($C$2:$C436,$C436)=1,1,0))</f>
        <v/>
      </c>
      <c r="U436" s="39" t="str">
        <f>IF($T436=1,COUNTIF($T$2:$T436,1),"")</f>
        <v/>
      </c>
      <c r="V436" s="39" t="str">
        <f>IF($B436="","",IF(COUNTIF($B$2:$B436,$B436)=1,1,0))</f>
        <v/>
      </c>
      <c r="W436" s="39" t="str">
        <f>IF($V436=1,COUNTIF($V$2:$V436,1),"")</f>
        <v/>
      </c>
      <c r="X436" s="39" t="str">
        <f>IF($A436="","",IF(COUNTIF($A$2:$A436,$A436)=1,1,0))</f>
        <v/>
      </c>
      <c r="Y436" s="39" t="str">
        <f>IF($X436=1,COUNTIF($X$2:$X436,1),"")</f>
        <v/>
      </c>
      <c r="Z436" s="39">
        <f>IF(AND($E436="timed",$N436&gt;Settings!$C$8),1,0)</f>
        <v>0</v>
      </c>
      <c r="AA436" s="39">
        <f t="shared" si="112"/>
        <v>0</v>
      </c>
      <c r="AB436" s="39">
        <f t="shared" si="113"/>
        <v>0</v>
      </c>
      <c r="AC436" s="39" t="str">
        <f t="shared" si="114"/>
        <v/>
      </c>
      <c r="AD436" s="39" t="str">
        <f t="shared" si="115"/>
        <v/>
      </c>
      <c r="AE436" s="39" t="str">
        <f t="shared" si="116"/>
        <v/>
      </c>
      <c r="AF436" s="106" t="str">
        <f t="shared" si="117"/>
        <v/>
      </c>
      <c r="AG436" s="39">
        <f t="shared" si="118"/>
        <v>0</v>
      </c>
      <c r="AH436" s="39" t="str">
        <f t="shared" si="119"/>
        <v/>
      </c>
      <c r="AI436" s="39">
        <f>IF(AND($E436="timed",$N436&gt;=Settings!$C$9),1,0)</f>
        <v>0</v>
      </c>
      <c r="AJ436" s="39" t="str">
        <f>IF(OR($S436="",Settings!$C$16=""),"",IF($S436&lt;=Settings!$C$16,1,2))</f>
        <v/>
      </c>
      <c r="AK436" s="39" t="str">
        <f>IF($C436="","",IFERROR(IF(INDEX(Settings!$C$20:$C$59,MATCH($C436,Settings!$B$20:$B$59,0))="",Settings!$C$10,INDEX(Settings!$C$20:$C$59,MATCH($C436,Settings!$B$20:$B$59,0))),Settings!$C$10))</f>
        <v/>
      </c>
      <c r="AL436" s="108">
        <f t="shared" si="120"/>
        <v>0</v>
      </c>
      <c r="AM436" s="39" t="str">
        <f t="shared" si="121"/>
        <v/>
      </c>
      <c r="AN436" s="39" t="str">
        <f t="shared" si="122"/>
        <v/>
      </c>
      <c r="AO436" s="39" t="str">
        <f t="shared" si="123"/>
        <v/>
      </c>
      <c r="AP436" s="39">
        <f t="shared" si="124"/>
        <v>0</v>
      </c>
      <c r="AQ436" s="39">
        <f t="shared" si="125"/>
        <v>0</v>
      </c>
    </row>
    <row r="437" spans="14:43" x14ac:dyDescent="0.25">
      <c r="N437" s="105">
        <f t="shared" si="108"/>
        <v>0</v>
      </c>
      <c r="O437" s="106" t="str">
        <f>IF($F437="","",IF(ISNUMBER($F437),$F437+Settings!$C$7/24,IFERROR(DATEVALUE(LEFT($F437,10))+TIMEVALUE(MID($F437,12,8))+Settings!$C$7/24,"")))</f>
        <v/>
      </c>
      <c r="P437" s="106" t="str">
        <f>IF($G437="","",IF(ISNUMBER($G437),$G437+Settings!$C$7/24,IFERROR(DATEVALUE(LEFT($G437,10))+TIMEVALUE(MID($G437,12,8))+Settings!$C$7/24,"")))</f>
        <v/>
      </c>
      <c r="Q437" s="39" t="str">
        <f t="shared" si="109"/>
        <v/>
      </c>
      <c r="R437" s="39" t="str">
        <f t="shared" si="110"/>
        <v/>
      </c>
      <c r="S437" s="107" t="str">
        <f t="shared" si="111"/>
        <v/>
      </c>
      <c r="T437" s="39" t="str">
        <f>IF($C437="","",IF(COUNTIF($C$2:$C437,$C437)=1,1,0))</f>
        <v/>
      </c>
      <c r="U437" s="39" t="str">
        <f>IF($T437=1,COUNTIF($T$2:$T437,1),"")</f>
        <v/>
      </c>
      <c r="V437" s="39" t="str">
        <f>IF($B437="","",IF(COUNTIF($B$2:$B437,$B437)=1,1,0))</f>
        <v/>
      </c>
      <c r="W437" s="39" t="str">
        <f>IF($V437=1,COUNTIF($V$2:$V437,1),"")</f>
        <v/>
      </c>
      <c r="X437" s="39" t="str">
        <f>IF($A437="","",IF(COUNTIF($A$2:$A437,$A437)=1,1,0))</f>
        <v/>
      </c>
      <c r="Y437" s="39" t="str">
        <f>IF($X437=1,COUNTIF($X$2:$X437,1),"")</f>
        <v/>
      </c>
      <c r="Z437" s="39">
        <f>IF(AND($E437="timed",$N437&gt;Settings!$C$8),1,0)</f>
        <v>0</v>
      </c>
      <c r="AA437" s="39">
        <f t="shared" si="112"/>
        <v>0</v>
      </c>
      <c r="AB437" s="39">
        <f t="shared" si="113"/>
        <v>0</v>
      </c>
      <c r="AC437" s="39" t="str">
        <f t="shared" si="114"/>
        <v/>
      </c>
      <c r="AD437" s="39" t="str">
        <f t="shared" si="115"/>
        <v/>
      </c>
      <c r="AE437" s="39" t="str">
        <f t="shared" si="116"/>
        <v/>
      </c>
      <c r="AF437" s="106" t="str">
        <f t="shared" si="117"/>
        <v/>
      </c>
      <c r="AG437" s="39">
        <f t="shared" si="118"/>
        <v>0</v>
      </c>
      <c r="AH437" s="39" t="str">
        <f t="shared" si="119"/>
        <v/>
      </c>
      <c r="AI437" s="39">
        <f>IF(AND($E437="timed",$N437&gt;=Settings!$C$9),1,0)</f>
        <v>0</v>
      </c>
      <c r="AJ437" s="39" t="str">
        <f>IF(OR($S437="",Settings!$C$16=""),"",IF($S437&lt;=Settings!$C$16,1,2))</f>
        <v/>
      </c>
      <c r="AK437" s="39" t="str">
        <f>IF($C437="","",IFERROR(IF(INDEX(Settings!$C$20:$C$59,MATCH($C437,Settings!$B$20:$B$59,0))="",Settings!$C$10,INDEX(Settings!$C$20:$C$59,MATCH($C437,Settings!$B$20:$B$59,0))),Settings!$C$10))</f>
        <v/>
      </c>
      <c r="AL437" s="108">
        <f t="shared" si="120"/>
        <v>0</v>
      </c>
      <c r="AM437" s="39" t="str">
        <f t="shared" si="121"/>
        <v/>
      </c>
      <c r="AN437" s="39" t="str">
        <f t="shared" si="122"/>
        <v/>
      </c>
      <c r="AO437" s="39" t="str">
        <f t="shared" si="123"/>
        <v/>
      </c>
      <c r="AP437" s="39">
        <f t="shared" si="124"/>
        <v>0</v>
      </c>
      <c r="AQ437" s="39">
        <f t="shared" si="125"/>
        <v>0</v>
      </c>
    </row>
    <row r="438" spans="14:43" x14ac:dyDescent="0.25">
      <c r="N438" s="105">
        <f t="shared" si="108"/>
        <v>0</v>
      </c>
      <c r="O438" s="106" t="str">
        <f>IF($F438="","",IF(ISNUMBER($F438),$F438+Settings!$C$7/24,IFERROR(DATEVALUE(LEFT($F438,10))+TIMEVALUE(MID($F438,12,8))+Settings!$C$7/24,"")))</f>
        <v/>
      </c>
      <c r="P438" s="106" t="str">
        <f>IF($G438="","",IF(ISNUMBER($G438),$G438+Settings!$C$7/24,IFERROR(DATEVALUE(LEFT($G438,10))+TIMEVALUE(MID($G438,12,8))+Settings!$C$7/24,"")))</f>
        <v/>
      </c>
      <c r="Q438" s="39" t="str">
        <f t="shared" si="109"/>
        <v/>
      </c>
      <c r="R438" s="39" t="str">
        <f t="shared" si="110"/>
        <v/>
      </c>
      <c r="S438" s="107" t="str">
        <f t="shared" si="111"/>
        <v/>
      </c>
      <c r="T438" s="39" t="str">
        <f>IF($C438="","",IF(COUNTIF($C$2:$C438,$C438)=1,1,0))</f>
        <v/>
      </c>
      <c r="U438" s="39" t="str">
        <f>IF($T438=1,COUNTIF($T$2:$T438,1),"")</f>
        <v/>
      </c>
      <c r="V438" s="39" t="str">
        <f>IF($B438="","",IF(COUNTIF($B$2:$B438,$B438)=1,1,0))</f>
        <v/>
      </c>
      <c r="W438" s="39" t="str">
        <f>IF($V438=1,COUNTIF($V$2:$V438,1),"")</f>
        <v/>
      </c>
      <c r="X438" s="39" t="str">
        <f>IF($A438="","",IF(COUNTIF($A$2:$A438,$A438)=1,1,0))</f>
        <v/>
      </c>
      <c r="Y438" s="39" t="str">
        <f>IF($X438=1,COUNTIF($X$2:$X438,1),"")</f>
        <v/>
      </c>
      <c r="Z438" s="39">
        <f>IF(AND($E438="timed",$N438&gt;Settings!$C$8),1,0)</f>
        <v>0</v>
      </c>
      <c r="AA438" s="39">
        <f t="shared" si="112"/>
        <v>0</v>
      </c>
      <c r="AB438" s="39">
        <f t="shared" si="113"/>
        <v>0</v>
      </c>
      <c r="AC438" s="39" t="str">
        <f t="shared" si="114"/>
        <v/>
      </c>
      <c r="AD438" s="39" t="str">
        <f t="shared" si="115"/>
        <v/>
      </c>
      <c r="AE438" s="39" t="str">
        <f t="shared" si="116"/>
        <v/>
      </c>
      <c r="AF438" s="106" t="str">
        <f t="shared" si="117"/>
        <v/>
      </c>
      <c r="AG438" s="39">
        <f t="shared" si="118"/>
        <v>0</v>
      </c>
      <c r="AH438" s="39" t="str">
        <f t="shared" si="119"/>
        <v/>
      </c>
      <c r="AI438" s="39">
        <f>IF(AND($E438="timed",$N438&gt;=Settings!$C$9),1,0)</f>
        <v>0</v>
      </c>
      <c r="AJ438" s="39" t="str">
        <f>IF(OR($S438="",Settings!$C$16=""),"",IF($S438&lt;=Settings!$C$16,1,2))</f>
        <v/>
      </c>
      <c r="AK438" s="39" t="str">
        <f>IF($C438="","",IFERROR(IF(INDEX(Settings!$C$20:$C$59,MATCH($C438,Settings!$B$20:$B$59,0))="",Settings!$C$10,INDEX(Settings!$C$20:$C$59,MATCH($C438,Settings!$B$20:$B$59,0))),Settings!$C$10))</f>
        <v/>
      </c>
      <c r="AL438" s="108">
        <f t="shared" si="120"/>
        <v>0</v>
      </c>
      <c r="AM438" s="39" t="str">
        <f t="shared" si="121"/>
        <v/>
      </c>
      <c r="AN438" s="39" t="str">
        <f t="shared" si="122"/>
        <v/>
      </c>
      <c r="AO438" s="39" t="str">
        <f t="shared" si="123"/>
        <v/>
      </c>
      <c r="AP438" s="39">
        <f t="shared" si="124"/>
        <v>0</v>
      </c>
      <c r="AQ438" s="39">
        <f t="shared" si="125"/>
        <v>0</v>
      </c>
    </row>
    <row r="439" spans="14:43" x14ac:dyDescent="0.25">
      <c r="N439" s="105">
        <f t="shared" si="108"/>
        <v>0</v>
      </c>
      <c r="O439" s="106" t="str">
        <f>IF($F439="","",IF(ISNUMBER($F439),$F439+Settings!$C$7/24,IFERROR(DATEVALUE(LEFT($F439,10))+TIMEVALUE(MID($F439,12,8))+Settings!$C$7/24,"")))</f>
        <v/>
      </c>
      <c r="P439" s="106" t="str">
        <f>IF($G439="","",IF(ISNUMBER($G439),$G439+Settings!$C$7/24,IFERROR(DATEVALUE(LEFT($G439,10))+TIMEVALUE(MID($G439,12,8))+Settings!$C$7/24,"")))</f>
        <v/>
      </c>
      <c r="Q439" s="39" t="str">
        <f t="shared" si="109"/>
        <v/>
      </c>
      <c r="R439" s="39" t="str">
        <f t="shared" si="110"/>
        <v/>
      </c>
      <c r="S439" s="107" t="str">
        <f t="shared" si="111"/>
        <v/>
      </c>
      <c r="T439" s="39" t="str">
        <f>IF($C439="","",IF(COUNTIF($C$2:$C439,$C439)=1,1,0))</f>
        <v/>
      </c>
      <c r="U439" s="39" t="str">
        <f>IF($T439=1,COUNTIF($T$2:$T439,1),"")</f>
        <v/>
      </c>
      <c r="V439" s="39" t="str">
        <f>IF($B439="","",IF(COUNTIF($B$2:$B439,$B439)=1,1,0))</f>
        <v/>
      </c>
      <c r="W439" s="39" t="str">
        <f>IF($V439=1,COUNTIF($V$2:$V439,1),"")</f>
        <v/>
      </c>
      <c r="X439" s="39" t="str">
        <f>IF($A439="","",IF(COUNTIF($A$2:$A439,$A439)=1,1,0))</f>
        <v/>
      </c>
      <c r="Y439" s="39" t="str">
        <f>IF($X439=1,COUNTIF($X$2:$X439,1),"")</f>
        <v/>
      </c>
      <c r="Z439" s="39">
        <f>IF(AND($E439="timed",$N439&gt;Settings!$C$8),1,0)</f>
        <v>0</v>
      </c>
      <c r="AA439" s="39">
        <f t="shared" si="112"/>
        <v>0</v>
      </c>
      <c r="AB439" s="39">
        <f t="shared" si="113"/>
        <v>0</v>
      </c>
      <c r="AC439" s="39" t="str">
        <f t="shared" si="114"/>
        <v/>
      </c>
      <c r="AD439" s="39" t="str">
        <f t="shared" si="115"/>
        <v/>
      </c>
      <c r="AE439" s="39" t="str">
        <f t="shared" si="116"/>
        <v/>
      </c>
      <c r="AF439" s="106" t="str">
        <f t="shared" si="117"/>
        <v/>
      </c>
      <c r="AG439" s="39">
        <f t="shared" si="118"/>
        <v>0</v>
      </c>
      <c r="AH439" s="39" t="str">
        <f t="shared" si="119"/>
        <v/>
      </c>
      <c r="AI439" s="39">
        <f>IF(AND($E439="timed",$N439&gt;=Settings!$C$9),1,0)</f>
        <v>0</v>
      </c>
      <c r="AJ439" s="39" t="str">
        <f>IF(OR($S439="",Settings!$C$16=""),"",IF($S439&lt;=Settings!$C$16,1,2))</f>
        <v/>
      </c>
      <c r="AK439" s="39" t="str">
        <f>IF($C439="","",IFERROR(IF(INDEX(Settings!$C$20:$C$59,MATCH($C439,Settings!$B$20:$B$59,0))="",Settings!$C$10,INDEX(Settings!$C$20:$C$59,MATCH($C439,Settings!$B$20:$B$59,0))),Settings!$C$10))</f>
        <v/>
      </c>
      <c r="AL439" s="108">
        <f t="shared" si="120"/>
        <v>0</v>
      </c>
      <c r="AM439" s="39" t="str">
        <f t="shared" si="121"/>
        <v/>
      </c>
      <c r="AN439" s="39" t="str">
        <f t="shared" si="122"/>
        <v/>
      </c>
      <c r="AO439" s="39" t="str">
        <f t="shared" si="123"/>
        <v/>
      </c>
      <c r="AP439" s="39">
        <f t="shared" si="124"/>
        <v>0</v>
      </c>
      <c r="AQ439" s="39">
        <f t="shared" si="125"/>
        <v>0</v>
      </c>
    </row>
    <row r="440" spans="14:43" x14ac:dyDescent="0.25">
      <c r="N440" s="105">
        <f t="shared" si="108"/>
        <v>0</v>
      </c>
      <c r="O440" s="106" t="str">
        <f>IF($F440="","",IF(ISNUMBER($F440),$F440+Settings!$C$7/24,IFERROR(DATEVALUE(LEFT($F440,10))+TIMEVALUE(MID($F440,12,8))+Settings!$C$7/24,"")))</f>
        <v/>
      </c>
      <c r="P440" s="106" t="str">
        <f>IF($G440="","",IF(ISNUMBER($G440),$G440+Settings!$C$7/24,IFERROR(DATEVALUE(LEFT($G440,10))+TIMEVALUE(MID($G440,12,8))+Settings!$C$7/24,"")))</f>
        <v/>
      </c>
      <c r="Q440" s="39" t="str">
        <f t="shared" si="109"/>
        <v/>
      </c>
      <c r="R440" s="39" t="str">
        <f t="shared" si="110"/>
        <v/>
      </c>
      <c r="S440" s="107" t="str">
        <f t="shared" si="111"/>
        <v/>
      </c>
      <c r="T440" s="39" t="str">
        <f>IF($C440="","",IF(COUNTIF($C$2:$C440,$C440)=1,1,0))</f>
        <v/>
      </c>
      <c r="U440" s="39" t="str">
        <f>IF($T440=1,COUNTIF($T$2:$T440,1),"")</f>
        <v/>
      </c>
      <c r="V440" s="39" t="str">
        <f>IF($B440="","",IF(COUNTIF($B$2:$B440,$B440)=1,1,0))</f>
        <v/>
      </c>
      <c r="W440" s="39" t="str">
        <f>IF($V440=1,COUNTIF($V$2:$V440,1),"")</f>
        <v/>
      </c>
      <c r="X440" s="39" t="str">
        <f>IF($A440="","",IF(COUNTIF($A$2:$A440,$A440)=1,1,0))</f>
        <v/>
      </c>
      <c r="Y440" s="39" t="str">
        <f>IF($X440=1,COUNTIF($X$2:$X440,1),"")</f>
        <v/>
      </c>
      <c r="Z440" s="39">
        <f>IF(AND($E440="timed",$N440&gt;Settings!$C$8),1,0)</f>
        <v>0</v>
      </c>
      <c r="AA440" s="39">
        <f t="shared" si="112"/>
        <v>0</v>
      </c>
      <c r="AB440" s="39">
        <f t="shared" si="113"/>
        <v>0</v>
      </c>
      <c r="AC440" s="39" t="str">
        <f t="shared" si="114"/>
        <v/>
      </c>
      <c r="AD440" s="39" t="str">
        <f t="shared" si="115"/>
        <v/>
      </c>
      <c r="AE440" s="39" t="str">
        <f t="shared" si="116"/>
        <v/>
      </c>
      <c r="AF440" s="106" t="str">
        <f t="shared" si="117"/>
        <v/>
      </c>
      <c r="AG440" s="39">
        <f t="shared" si="118"/>
        <v>0</v>
      </c>
      <c r="AH440" s="39" t="str">
        <f t="shared" si="119"/>
        <v/>
      </c>
      <c r="AI440" s="39">
        <f>IF(AND($E440="timed",$N440&gt;=Settings!$C$9),1,0)</f>
        <v>0</v>
      </c>
      <c r="AJ440" s="39" t="str">
        <f>IF(OR($S440="",Settings!$C$16=""),"",IF($S440&lt;=Settings!$C$16,1,2))</f>
        <v/>
      </c>
      <c r="AK440" s="39" t="str">
        <f>IF($C440="","",IFERROR(IF(INDEX(Settings!$C$20:$C$59,MATCH($C440,Settings!$B$20:$B$59,0))="",Settings!$C$10,INDEX(Settings!$C$20:$C$59,MATCH($C440,Settings!$B$20:$B$59,0))),Settings!$C$10))</f>
        <v/>
      </c>
      <c r="AL440" s="108">
        <f t="shared" si="120"/>
        <v>0</v>
      </c>
      <c r="AM440" s="39" t="str">
        <f t="shared" si="121"/>
        <v/>
      </c>
      <c r="AN440" s="39" t="str">
        <f t="shared" si="122"/>
        <v/>
      </c>
      <c r="AO440" s="39" t="str">
        <f t="shared" si="123"/>
        <v/>
      </c>
      <c r="AP440" s="39">
        <f t="shared" si="124"/>
        <v>0</v>
      </c>
      <c r="AQ440" s="39">
        <f t="shared" si="125"/>
        <v>0</v>
      </c>
    </row>
    <row r="441" spans="14:43" x14ac:dyDescent="0.25">
      <c r="N441" s="105">
        <f t="shared" si="108"/>
        <v>0</v>
      </c>
      <c r="O441" s="106" t="str">
        <f>IF($F441="","",IF(ISNUMBER($F441),$F441+Settings!$C$7/24,IFERROR(DATEVALUE(LEFT($F441,10))+TIMEVALUE(MID($F441,12,8))+Settings!$C$7/24,"")))</f>
        <v/>
      </c>
      <c r="P441" s="106" t="str">
        <f>IF($G441="","",IF(ISNUMBER($G441),$G441+Settings!$C$7/24,IFERROR(DATEVALUE(LEFT($G441,10))+TIMEVALUE(MID($G441,12,8))+Settings!$C$7/24,"")))</f>
        <v/>
      </c>
      <c r="Q441" s="39" t="str">
        <f t="shared" si="109"/>
        <v/>
      </c>
      <c r="R441" s="39" t="str">
        <f t="shared" si="110"/>
        <v/>
      </c>
      <c r="S441" s="107" t="str">
        <f t="shared" si="111"/>
        <v/>
      </c>
      <c r="T441" s="39" t="str">
        <f>IF($C441="","",IF(COUNTIF($C$2:$C441,$C441)=1,1,0))</f>
        <v/>
      </c>
      <c r="U441" s="39" t="str">
        <f>IF($T441=1,COUNTIF($T$2:$T441,1),"")</f>
        <v/>
      </c>
      <c r="V441" s="39" t="str">
        <f>IF($B441="","",IF(COUNTIF($B$2:$B441,$B441)=1,1,0))</f>
        <v/>
      </c>
      <c r="W441" s="39" t="str">
        <f>IF($V441=1,COUNTIF($V$2:$V441,1),"")</f>
        <v/>
      </c>
      <c r="X441" s="39" t="str">
        <f>IF($A441="","",IF(COUNTIF($A$2:$A441,$A441)=1,1,0))</f>
        <v/>
      </c>
      <c r="Y441" s="39" t="str">
        <f>IF($X441=1,COUNTIF($X$2:$X441,1),"")</f>
        <v/>
      </c>
      <c r="Z441" s="39">
        <f>IF(AND($E441="timed",$N441&gt;Settings!$C$8),1,0)</f>
        <v>0</v>
      </c>
      <c r="AA441" s="39">
        <f t="shared" si="112"/>
        <v>0</v>
      </c>
      <c r="AB441" s="39">
        <f t="shared" si="113"/>
        <v>0</v>
      </c>
      <c r="AC441" s="39" t="str">
        <f t="shared" si="114"/>
        <v/>
      </c>
      <c r="AD441" s="39" t="str">
        <f t="shared" si="115"/>
        <v/>
      </c>
      <c r="AE441" s="39" t="str">
        <f t="shared" si="116"/>
        <v/>
      </c>
      <c r="AF441" s="106" t="str">
        <f t="shared" si="117"/>
        <v/>
      </c>
      <c r="AG441" s="39">
        <f t="shared" si="118"/>
        <v>0</v>
      </c>
      <c r="AH441" s="39" t="str">
        <f t="shared" si="119"/>
        <v/>
      </c>
      <c r="AI441" s="39">
        <f>IF(AND($E441="timed",$N441&gt;=Settings!$C$9),1,0)</f>
        <v>0</v>
      </c>
      <c r="AJ441" s="39" t="str">
        <f>IF(OR($S441="",Settings!$C$16=""),"",IF($S441&lt;=Settings!$C$16,1,2))</f>
        <v/>
      </c>
      <c r="AK441" s="39" t="str">
        <f>IF($C441="","",IFERROR(IF(INDEX(Settings!$C$20:$C$59,MATCH($C441,Settings!$B$20:$B$59,0))="",Settings!$C$10,INDEX(Settings!$C$20:$C$59,MATCH($C441,Settings!$B$20:$B$59,0))),Settings!$C$10))</f>
        <v/>
      </c>
      <c r="AL441" s="108">
        <f t="shared" si="120"/>
        <v>0</v>
      </c>
      <c r="AM441" s="39" t="str">
        <f t="shared" si="121"/>
        <v/>
      </c>
      <c r="AN441" s="39" t="str">
        <f t="shared" si="122"/>
        <v/>
      </c>
      <c r="AO441" s="39" t="str">
        <f t="shared" si="123"/>
        <v/>
      </c>
      <c r="AP441" s="39">
        <f t="shared" si="124"/>
        <v>0</v>
      </c>
      <c r="AQ441" s="39">
        <f t="shared" si="125"/>
        <v>0</v>
      </c>
    </row>
    <row r="442" spans="14:43" x14ac:dyDescent="0.25">
      <c r="N442" s="105">
        <f t="shared" si="108"/>
        <v>0</v>
      </c>
      <c r="O442" s="106" t="str">
        <f>IF($F442="","",IF(ISNUMBER($F442),$F442+Settings!$C$7/24,IFERROR(DATEVALUE(LEFT($F442,10))+TIMEVALUE(MID($F442,12,8))+Settings!$C$7/24,"")))</f>
        <v/>
      </c>
      <c r="P442" s="106" t="str">
        <f>IF($G442="","",IF(ISNUMBER($G442),$G442+Settings!$C$7/24,IFERROR(DATEVALUE(LEFT($G442,10))+TIMEVALUE(MID($G442,12,8))+Settings!$C$7/24,"")))</f>
        <v/>
      </c>
      <c r="Q442" s="39" t="str">
        <f t="shared" si="109"/>
        <v/>
      </c>
      <c r="R442" s="39" t="str">
        <f t="shared" si="110"/>
        <v/>
      </c>
      <c r="S442" s="107" t="str">
        <f t="shared" si="111"/>
        <v/>
      </c>
      <c r="T442" s="39" t="str">
        <f>IF($C442="","",IF(COUNTIF($C$2:$C442,$C442)=1,1,0))</f>
        <v/>
      </c>
      <c r="U442" s="39" t="str">
        <f>IF($T442=1,COUNTIF($T$2:$T442,1),"")</f>
        <v/>
      </c>
      <c r="V442" s="39" t="str">
        <f>IF($B442="","",IF(COUNTIF($B$2:$B442,$B442)=1,1,0))</f>
        <v/>
      </c>
      <c r="W442" s="39" t="str">
        <f>IF($V442=1,COUNTIF($V$2:$V442,1),"")</f>
        <v/>
      </c>
      <c r="X442" s="39" t="str">
        <f>IF($A442="","",IF(COUNTIF($A$2:$A442,$A442)=1,1,0))</f>
        <v/>
      </c>
      <c r="Y442" s="39" t="str">
        <f>IF($X442=1,COUNTIF($X$2:$X442,1),"")</f>
        <v/>
      </c>
      <c r="Z442" s="39">
        <f>IF(AND($E442="timed",$N442&gt;Settings!$C$8),1,0)</f>
        <v>0</v>
      </c>
      <c r="AA442" s="39">
        <f t="shared" si="112"/>
        <v>0</v>
      </c>
      <c r="AB442" s="39">
        <f t="shared" si="113"/>
        <v>0</v>
      </c>
      <c r="AC442" s="39" t="str">
        <f t="shared" si="114"/>
        <v/>
      </c>
      <c r="AD442" s="39" t="str">
        <f t="shared" si="115"/>
        <v/>
      </c>
      <c r="AE442" s="39" t="str">
        <f t="shared" si="116"/>
        <v/>
      </c>
      <c r="AF442" s="106" t="str">
        <f t="shared" si="117"/>
        <v/>
      </c>
      <c r="AG442" s="39">
        <f t="shared" si="118"/>
        <v>0</v>
      </c>
      <c r="AH442" s="39" t="str">
        <f t="shared" si="119"/>
        <v/>
      </c>
      <c r="AI442" s="39">
        <f>IF(AND($E442="timed",$N442&gt;=Settings!$C$9),1,0)</f>
        <v>0</v>
      </c>
      <c r="AJ442" s="39" t="str">
        <f>IF(OR($S442="",Settings!$C$16=""),"",IF($S442&lt;=Settings!$C$16,1,2))</f>
        <v/>
      </c>
      <c r="AK442" s="39" t="str">
        <f>IF($C442="","",IFERROR(IF(INDEX(Settings!$C$20:$C$59,MATCH($C442,Settings!$B$20:$B$59,0))="",Settings!$C$10,INDEX(Settings!$C$20:$C$59,MATCH($C442,Settings!$B$20:$B$59,0))),Settings!$C$10))</f>
        <v/>
      </c>
      <c r="AL442" s="108">
        <f t="shared" si="120"/>
        <v>0</v>
      </c>
      <c r="AM442" s="39" t="str">
        <f t="shared" si="121"/>
        <v/>
      </c>
      <c r="AN442" s="39" t="str">
        <f t="shared" si="122"/>
        <v/>
      </c>
      <c r="AO442" s="39" t="str">
        <f t="shared" si="123"/>
        <v/>
      </c>
      <c r="AP442" s="39">
        <f t="shared" si="124"/>
        <v>0</v>
      </c>
      <c r="AQ442" s="39">
        <f t="shared" si="125"/>
        <v>0</v>
      </c>
    </row>
    <row r="443" spans="14:43" x14ac:dyDescent="0.25">
      <c r="N443" s="105">
        <f t="shared" si="108"/>
        <v>0</v>
      </c>
      <c r="O443" s="106" t="str">
        <f>IF($F443="","",IF(ISNUMBER($F443),$F443+Settings!$C$7/24,IFERROR(DATEVALUE(LEFT($F443,10))+TIMEVALUE(MID($F443,12,8))+Settings!$C$7/24,"")))</f>
        <v/>
      </c>
      <c r="P443" s="106" t="str">
        <f>IF($G443="","",IF(ISNUMBER($G443),$G443+Settings!$C$7/24,IFERROR(DATEVALUE(LEFT($G443,10))+TIMEVALUE(MID($G443,12,8))+Settings!$C$7/24,"")))</f>
        <v/>
      </c>
      <c r="Q443" s="39" t="str">
        <f t="shared" si="109"/>
        <v/>
      </c>
      <c r="R443" s="39" t="str">
        <f t="shared" si="110"/>
        <v/>
      </c>
      <c r="S443" s="107" t="str">
        <f t="shared" si="111"/>
        <v/>
      </c>
      <c r="T443" s="39" t="str">
        <f>IF($C443="","",IF(COUNTIF($C$2:$C443,$C443)=1,1,0))</f>
        <v/>
      </c>
      <c r="U443" s="39" t="str">
        <f>IF($T443=1,COUNTIF($T$2:$T443,1),"")</f>
        <v/>
      </c>
      <c r="V443" s="39" t="str">
        <f>IF($B443="","",IF(COUNTIF($B$2:$B443,$B443)=1,1,0))</f>
        <v/>
      </c>
      <c r="W443" s="39" t="str">
        <f>IF($V443=1,COUNTIF($V$2:$V443,1),"")</f>
        <v/>
      </c>
      <c r="X443" s="39" t="str">
        <f>IF($A443="","",IF(COUNTIF($A$2:$A443,$A443)=1,1,0))</f>
        <v/>
      </c>
      <c r="Y443" s="39" t="str">
        <f>IF($X443=1,COUNTIF($X$2:$X443,1),"")</f>
        <v/>
      </c>
      <c r="Z443" s="39">
        <f>IF(AND($E443="timed",$N443&gt;Settings!$C$8),1,0)</f>
        <v>0</v>
      </c>
      <c r="AA443" s="39">
        <f t="shared" si="112"/>
        <v>0</v>
      </c>
      <c r="AB443" s="39">
        <f t="shared" si="113"/>
        <v>0</v>
      </c>
      <c r="AC443" s="39" t="str">
        <f t="shared" si="114"/>
        <v/>
      </c>
      <c r="AD443" s="39" t="str">
        <f t="shared" si="115"/>
        <v/>
      </c>
      <c r="AE443" s="39" t="str">
        <f t="shared" si="116"/>
        <v/>
      </c>
      <c r="AF443" s="106" t="str">
        <f t="shared" si="117"/>
        <v/>
      </c>
      <c r="AG443" s="39">
        <f t="shared" si="118"/>
        <v>0</v>
      </c>
      <c r="AH443" s="39" t="str">
        <f t="shared" si="119"/>
        <v/>
      </c>
      <c r="AI443" s="39">
        <f>IF(AND($E443="timed",$N443&gt;=Settings!$C$9),1,0)</f>
        <v>0</v>
      </c>
      <c r="AJ443" s="39" t="str">
        <f>IF(OR($S443="",Settings!$C$16=""),"",IF($S443&lt;=Settings!$C$16,1,2))</f>
        <v/>
      </c>
      <c r="AK443" s="39" t="str">
        <f>IF($C443="","",IFERROR(IF(INDEX(Settings!$C$20:$C$59,MATCH($C443,Settings!$B$20:$B$59,0))="",Settings!$C$10,INDEX(Settings!$C$20:$C$59,MATCH($C443,Settings!$B$20:$B$59,0))),Settings!$C$10))</f>
        <v/>
      </c>
      <c r="AL443" s="108">
        <f t="shared" si="120"/>
        <v>0</v>
      </c>
      <c r="AM443" s="39" t="str">
        <f t="shared" si="121"/>
        <v/>
      </c>
      <c r="AN443" s="39" t="str">
        <f t="shared" si="122"/>
        <v/>
      </c>
      <c r="AO443" s="39" t="str">
        <f t="shared" si="123"/>
        <v/>
      </c>
      <c r="AP443" s="39">
        <f t="shared" si="124"/>
        <v>0</v>
      </c>
      <c r="AQ443" s="39">
        <f t="shared" si="125"/>
        <v>0</v>
      </c>
    </row>
    <row r="444" spans="14:43" x14ac:dyDescent="0.25">
      <c r="N444" s="105">
        <f t="shared" si="108"/>
        <v>0</v>
      </c>
      <c r="O444" s="106" t="str">
        <f>IF($F444="","",IF(ISNUMBER($F444),$F444+Settings!$C$7/24,IFERROR(DATEVALUE(LEFT($F444,10))+TIMEVALUE(MID($F444,12,8))+Settings!$C$7/24,"")))</f>
        <v/>
      </c>
      <c r="P444" s="106" t="str">
        <f>IF($G444="","",IF(ISNUMBER($G444),$G444+Settings!$C$7/24,IFERROR(DATEVALUE(LEFT($G444,10))+TIMEVALUE(MID($G444,12,8))+Settings!$C$7/24,"")))</f>
        <v/>
      </c>
      <c r="Q444" s="39" t="str">
        <f t="shared" si="109"/>
        <v/>
      </c>
      <c r="R444" s="39" t="str">
        <f t="shared" si="110"/>
        <v/>
      </c>
      <c r="S444" s="107" t="str">
        <f t="shared" si="111"/>
        <v/>
      </c>
      <c r="T444" s="39" t="str">
        <f>IF($C444="","",IF(COUNTIF($C$2:$C444,$C444)=1,1,0))</f>
        <v/>
      </c>
      <c r="U444" s="39" t="str">
        <f>IF($T444=1,COUNTIF($T$2:$T444,1),"")</f>
        <v/>
      </c>
      <c r="V444" s="39" t="str">
        <f>IF($B444="","",IF(COUNTIF($B$2:$B444,$B444)=1,1,0))</f>
        <v/>
      </c>
      <c r="W444" s="39" t="str">
        <f>IF($V444=1,COUNTIF($V$2:$V444,1),"")</f>
        <v/>
      </c>
      <c r="X444" s="39" t="str">
        <f>IF($A444="","",IF(COUNTIF($A$2:$A444,$A444)=1,1,0))</f>
        <v/>
      </c>
      <c r="Y444" s="39" t="str">
        <f>IF($X444=1,COUNTIF($X$2:$X444,1),"")</f>
        <v/>
      </c>
      <c r="Z444" s="39">
        <f>IF(AND($E444="timed",$N444&gt;Settings!$C$8),1,0)</f>
        <v>0</v>
      </c>
      <c r="AA444" s="39">
        <f t="shared" si="112"/>
        <v>0</v>
      </c>
      <c r="AB444" s="39">
        <f t="shared" si="113"/>
        <v>0</v>
      </c>
      <c r="AC444" s="39" t="str">
        <f t="shared" si="114"/>
        <v/>
      </c>
      <c r="AD444" s="39" t="str">
        <f t="shared" si="115"/>
        <v/>
      </c>
      <c r="AE444" s="39" t="str">
        <f t="shared" si="116"/>
        <v/>
      </c>
      <c r="AF444" s="106" t="str">
        <f t="shared" si="117"/>
        <v/>
      </c>
      <c r="AG444" s="39">
        <f t="shared" si="118"/>
        <v>0</v>
      </c>
      <c r="AH444" s="39" t="str">
        <f t="shared" si="119"/>
        <v/>
      </c>
      <c r="AI444" s="39">
        <f>IF(AND($E444="timed",$N444&gt;=Settings!$C$9),1,0)</f>
        <v>0</v>
      </c>
      <c r="AJ444" s="39" t="str">
        <f>IF(OR($S444="",Settings!$C$16=""),"",IF($S444&lt;=Settings!$C$16,1,2))</f>
        <v/>
      </c>
      <c r="AK444" s="39" t="str">
        <f>IF($C444="","",IFERROR(IF(INDEX(Settings!$C$20:$C$59,MATCH($C444,Settings!$B$20:$B$59,0))="",Settings!$C$10,INDEX(Settings!$C$20:$C$59,MATCH($C444,Settings!$B$20:$B$59,0))),Settings!$C$10))</f>
        <v/>
      </c>
      <c r="AL444" s="108">
        <f t="shared" si="120"/>
        <v>0</v>
      </c>
      <c r="AM444" s="39" t="str">
        <f t="shared" si="121"/>
        <v/>
      </c>
      <c r="AN444" s="39" t="str">
        <f t="shared" si="122"/>
        <v/>
      </c>
      <c r="AO444" s="39" t="str">
        <f t="shared" si="123"/>
        <v/>
      </c>
      <c r="AP444" s="39">
        <f t="shared" si="124"/>
        <v>0</v>
      </c>
      <c r="AQ444" s="39">
        <f t="shared" si="125"/>
        <v>0</v>
      </c>
    </row>
    <row r="445" spans="14:43" x14ac:dyDescent="0.25">
      <c r="N445" s="105">
        <f t="shared" si="108"/>
        <v>0</v>
      </c>
      <c r="O445" s="106" t="str">
        <f>IF($F445="","",IF(ISNUMBER($F445),$F445+Settings!$C$7/24,IFERROR(DATEVALUE(LEFT($F445,10))+TIMEVALUE(MID($F445,12,8))+Settings!$C$7/24,"")))</f>
        <v/>
      </c>
      <c r="P445" s="106" t="str">
        <f>IF($G445="","",IF(ISNUMBER($G445),$G445+Settings!$C$7/24,IFERROR(DATEVALUE(LEFT($G445,10))+TIMEVALUE(MID($G445,12,8))+Settings!$C$7/24,"")))</f>
        <v/>
      </c>
      <c r="Q445" s="39" t="str">
        <f t="shared" si="109"/>
        <v/>
      </c>
      <c r="R445" s="39" t="str">
        <f t="shared" si="110"/>
        <v/>
      </c>
      <c r="S445" s="107" t="str">
        <f t="shared" si="111"/>
        <v/>
      </c>
      <c r="T445" s="39" t="str">
        <f>IF($C445="","",IF(COUNTIF($C$2:$C445,$C445)=1,1,0))</f>
        <v/>
      </c>
      <c r="U445" s="39" t="str">
        <f>IF($T445=1,COUNTIF($T$2:$T445,1),"")</f>
        <v/>
      </c>
      <c r="V445" s="39" t="str">
        <f>IF($B445="","",IF(COUNTIF($B$2:$B445,$B445)=1,1,0))</f>
        <v/>
      </c>
      <c r="W445" s="39" t="str">
        <f>IF($V445=1,COUNTIF($V$2:$V445,1),"")</f>
        <v/>
      </c>
      <c r="X445" s="39" t="str">
        <f>IF($A445="","",IF(COUNTIF($A$2:$A445,$A445)=1,1,0))</f>
        <v/>
      </c>
      <c r="Y445" s="39" t="str">
        <f>IF($X445=1,COUNTIF($X$2:$X445,1),"")</f>
        <v/>
      </c>
      <c r="Z445" s="39">
        <f>IF(AND($E445="timed",$N445&gt;Settings!$C$8),1,0)</f>
        <v>0</v>
      </c>
      <c r="AA445" s="39">
        <f t="shared" si="112"/>
        <v>0</v>
      </c>
      <c r="AB445" s="39">
        <f t="shared" si="113"/>
        <v>0</v>
      </c>
      <c r="AC445" s="39" t="str">
        <f t="shared" si="114"/>
        <v/>
      </c>
      <c r="AD445" s="39" t="str">
        <f t="shared" si="115"/>
        <v/>
      </c>
      <c r="AE445" s="39" t="str">
        <f t="shared" si="116"/>
        <v/>
      </c>
      <c r="AF445" s="106" t="str">
        <f t="shared" si="117"/>
        <v/>
      </c>
      <c r="AG445" s="39">
        <f t="shared" si="118"/>
        <v>0</v>
      </c>
      <c r="AH445" s="39" t="str">
        <f t="shared" si="119"/>
        <v/>
      </c>
      <c r="AI445" s="39">
        <f>IF(AND($E445="timed",$N445&gt;=Settings!$C$9),1,0)</f>
        <v>0</v>
      </c>
      <c r="AJ445" s="39" t="str">
        <f>IF(OR($S445="",Settings!$C$16=""),"",IF($S445&lt;=Settings!$C$16,1,2))</f>
        <v/>
      </c>
      <c r="AK445" s="39" t="str">
        <f>IF($C445="","",IFERROR(IF(INDEX(Settings!$C$20:$C$59,MATCH($C445,Settings!$B$20:$B$59,0))="",Settings!$C$10,INDEX(Settings!$C$20:$C$59,MATCH($C445,Settings!$B$20:$B$59,0))),Settings!$C$10))</f>
        <v/>
      </c>
      <c r="AL445" s="108">
        <f t="shared" si="120"/>
        <v>0</v>
      </c>
      <c r="AM445" s="39" t="str">
        <f t="shared" si="121"/>
        <v/>
      </c>
      <c r="AN445" s="39" t="str">
        <f t="shared" si="122"/>
        <v/>
      </c>
      <c r="AO445" s="39" t="str">
        <f t="shared" si="123"/>
        <v/>
      </c>
      <c r="AP445" s="39">
        <f t="shared" si="124"/>
        <v>0</v>
      </c>
      <c r="AQ445" s="39">
        <f t="shared" si="125"/>
        <v>0</v>
      </c>
    </row>
    <row r="446" spans="14:43" x14ac:dyDescent="0.25">
      <c r="N446" s="105">
        <f t="shared" si="108"/>
        <v>0</v>
      </c>
      <c r="O446" s="106" t="str">
        <f>IF($F446="","",IF(ISNUMBER($F446),$F446+Settings!$C$7/24,IFERROR(DATEVALUE(LEFT($F446,10))+TIMEVALUE(MID($F446,12,8))+Settings!$C$7/24,"")))</f>
        <v/>
      </c>
      <c r="P446" s="106" t="str">
        <f>IF($G446="","",IF(ISNUMBER($G446),$G446+Settings!$C$7/24,IFERROR(DATEVALUE(LEFT($G446,10))+TIMEVALUE(MID($G446,12,8))+Settings!$C$7/24,"")))</f>
        <v/>
      </c>
      <c r="Q446" s="39" t="str">
        <f t="shared" si="109"/>
        <v/>
      </c>
      <c r="R446" s="39" t="str">
        <f t="shared" si="110"/>
        <v/>
      </c>
      <c r="S446" s="107" t="str">
        <f t="shared" si="111"/>
        <v/>
      </c>
      <c r="T446" s="39" t="str">
        <f>IF($C446="","",IF(COUNTIF($C$2:$C446,$C446)=1,1,0))</f>
        <v/>
      </c>
      <c r="U446" s="39" t="str">
        <f>IF($T446=1,COUNTIF($T$2:$T446,1),"")</f>
        <v/>
      </c>
      <c r="V446" s="39" t="str">
        <f>IF($B446="","",IF(COUNTIF($B$2:$B446,$B446)=1,1,0))</f>
        <v/>
      </c>
      <c r="W446" s="39" t="str">
        <f>IF($V446=1,COUNTIF($V$2:$V446,1),"")</f>
        <v/>
      </c>
      <c r="X446" s="39" t="str">
        <f>IF($A446="","",IF(COUNTIF($A$2:$A446,$A446)=1,1,0))</f>
        <v/>
      </c>
      <c r="Y446" s="39" t="str">
        <f>IF($X446=1,COUNTIF($X$2:$X446,1),"")</f>
        <v/>
      </c>
      <c r="Z446" s="39">
        <f>IF(AND($E446="timed",$N446&gt;Settings!$C$8),1,0)</f>
        <v>0</v>
      </c>
      <c r="AA446" s="39">
        <f t="shared" si="112"/>
        <v>0</v>
      </c>
      <c r="AB446" s="39">
        <f t="shared" si="113"/>
        <v>0</v>
      </c>
      <c r="AC446" s="39" t="str">
        <f t="shared" si="114"/>
        <v/>
      </c>
      <c r="AD446" s="39" t="str">
        <f t="shared" si="115"/>
        <v/>
      </c>
      <c r="AE446" s="39" t="str">
        <f t="shared" si="116"/>
        <v/>
      </c>
      <c r="AF446" s="106" t="str">
        <f t="shared" si="117"/>
        <v/>
      </c>
      <c r="AG446" s="39">
        <f t="shared" si="118"/>
        <v>0</v>
      </c>
      <c r="AH446" s="39" t="str">
        <f t="shared" si="119"/>
        <v/>
      </c>
      <c r="AI446" s="39">
        <f>IF(AND($E446="timed",$N446&gt;=Settings!$C$9),1,0)</f>
        <v>0</v>
      </c>
      <c r="AJ446" s="39" t="str">
        <f>IF(OR($S446="",Settings!$C$16=""),"",IF($S446&lt;=Settings!$C$16,1,2))</f>
        <v/>
      </c>
      <c r="AK446" s="39" t="str">
        <f>IF($C446="","",IFERROR(IF(INDEX(Settings!$C$20:$C$59,MATCH($C446,Settings!$B$20:$B$59,0))="",Settings!$C$10,INDEX(Settings!$C$20:$C$59,MATCH($C446,Settings!$B$20:$B$59,0))),Settings!$C$10))</f>
        <v/>
      </c>
      <c r="AL446" s="108">
        <f t="shared" si="120"/>
        <v>0</v>
      </c>
      <c r="AM446" s="39" t="str">
        <f t="shared" si="121"/>
        <v/>
      </c>
      <c r="AN446" s="39" t="str">
        <f t="shared" si="122"/>
        <v/>
      </c>
      <c r="AO446" s="39" t="str">
        <f t="shared" si="123"/>
        <v/>
      </c>
      <c r="AP446" s="39">
        <f t="shared" si="124"/>
        <v>0</v>
      </c>
      <c r="AQ446" s="39">
        <f t="shared" si="125"/>
        <v>0</v>
      </c>
    </row>
    <row r="447" spans="14:43" x14ac:dyDescent="0.25">
      <c r="N447" s="105">
        <f t="shared" si="108"/>
        <v>0</v>
      </c>
      <c r="O447" s="106" t="str">
        <f>IF($F447="","",IF(ISNUMBER($F447),$F447+Settings!$C$7/24,IFERROR(DATEVALUE(LEFT($F447,10))+TIMEVALUE(MID($F447,12,8))+Settings!$C$7/24,"")))</f>
        <v/>
      </c>
      <c r="P447" s="106" t="str">
        <f>IF($G447="","",IF(ISNUMBER($G447),$G447+Settings!$C$7/24,IFERROR(DATEVALUE(LEFT($G447,10))+TIMEVALUE(MID($G447,12,8))+Settings!$C$7/24,"")))</f>
        <v/>
      </c>
      <c r="Q447" s="39" t="str">
        <f t="shared" si="109"/>
        <v/>
      </c>
      <c r="R447" s="39" t="str">
        <f t="shared" si="110"/>
        <v/>
      </c>
      <c r="S447" s="107" t="str">
        <f t="shared" si="111"/>
        <v/>
      </c>
      <c r="T447" s="39" t="str">
        <f>IF($C447="","",IF(COUNTIF($C$2:$C447,$C447)=1,1,0))</f>
        <v/>
      </c>
      <c r="U447" s="39" t="str">
        <f>IF($T447=1,COUNTIF($T$2:$T447,1),"")</f>
        <v/>
      </c>
      <c r="V447" s="39" t="str">
        <f>IF($B447="","",IF(COUNTIF($B$2:$B447,$B447)=1,1,0))</f>
        <v/>
      </c>
      <c r="W447" s="39" t="str">
        <f>IF($V447=1,COUNTIF($V$2:$V447,1),"")</f>
        <v/>
      </c>
      <c r="X447" s="39" t="str">
        <f>IF($A447="","",IF(COUNTIF($A$2:$A447,$A447)=1,1,0))</f>
        <v/>
      </c>
      <c r="Y447" s="39" t="str">
        <f>IF($X447=1,COUNTIF($X$2:$X447,1),"")</f>
        <v/>
      </c>
      <c r="Z447" s="39">
        <f>IF(AND($E447="timed",$N447&gt;Settings!$C$8),1,0)</f>
        <v>0</v>
      </c>
      <c r="AA447" s="39">
        <f t="shared" si="112"/>
        <v>0</v>
      </c>
      <c r="AB447" s="39">
        <f t="shared" si="113"/>
        <v>0</v>
      </c>
      <c r="AC447" s="39" t="str">
        <f t="shared" si="114"/>
        <v/>
      </c>
      <c r="AD447" s="39" t="str">
        <f t="shared" si="115"/>
        <v/>
      </c>
      <c r="AE447" s="39" t="str">
        <f t="shared" si="116"/>
        <v/>
      </c>
      <c r="AF447" s="106" t="str">
        <f t="shared" si="117"/>
        <v/>
      </c>
      <c r="AG447" s="39">
        <f t="shared" si="118"/>
        <v>0</v>
      </c>
      <c r="AH447" s="39" t="str">
        <f t="shared" si="119"/>
        <v/>
      </c>
      <c r="AI447" s="39">
        <f>IF(AND($E447="timed",$N447&gt;=Settings!$C$9),1,0)</f>
        <v>0</v>
      </c>
      <c r="AJ447" s="39" t="str">
        <f>IF(OR($S447="",Settings!$C$16=""),"",IF($S447&lt;=Settings!$C$16,1,2))</f>
        <v/>
      </c>
      <c r="AK447" s="39" t="str">
        <f>IF($C447="","",IFERROR(IF(INDEX(Settings!$C$20:$C$59,MATCH($C447,Settings!$B$20:$B$59,0))="",Settings!$C$10,INDEX(Settings!$C$20:$C$59,MATCH($C447,Settings!$B$20:$B$59,0))),Settings!$C$10))</f>
        <v/>
      </c>
      <c r="AL447" s="108">
        <f t="shared" si="120"/>
        <v>0</v>
      </c>
      <c r="AM447" s="39" t="str">
        <f t="shared" si="121"/>
        <v/>
      </c>
      <c r="AN447" s="39" t="str">
        <f t="shared" si="122"/>
        <v/>
      </c>
      <c r="AO447" s="39" t="str">
        <f t="shared" si="123"/>
        <v/>
      </c>
      <c r="AP447" s="39">
        <f t="shared" si="124"/>
        <v>0</v>
      </c>
      <c r="AQ447" s="39">
        <f t="shared" si="125"/>
        <v>0</v>
      </c>
    </row>
    <row r="448" spans="14:43" x14ac:dyDescent="0.25">
      <c r="N448" s="105">
        <f t="shared" si="108"/>
        <v>0</v>
      </c>
      <c r="O448" s="106" t="str">
        <f>IF($F448="","",IF(ISNUMBER($F448),$F448+Settings!$C$7/24,IFERROR(DATEVALUE(LEFT($F448,10))+TIMEVALUE(MID($F448,12,8))+Settings!$C$7/24,"")))</f>
        <v/>
      </c>
      <c r="P448" s="106" t="str">
        <f>IF($G448="","",IF(ISNUMBER($G448),$G448+Settings!$C$7/24,IFERROR(DATEVALUE(LEFT($G448,10))+TIMEVALUE(MID($G448,12,8))+Settings!$C$7/24,"")))</f>
        <v/>
      </c>
      <c r="Q448" s="39" t="str">
        <f t="shared" si="109"/>
        <v/>
      </c>
      <c r="R448" s="39" t="str">
        <f t="shared" si="110"/>
        <v/>
      </c>
      <c r="S448" s="107" t="str">
        <f t="shared" si="111"/>
        <v/>
      </c>
      <c r="T448" s="39" t="str">
        <f>IF($C448="","",IF(COUNTIF($C$2:$C448,$C448)=1,1,0))</f>
        <v/>
      </c>
      <c r="U448" s="39" t="str">
        <f>IF($T448=1,COUNTIF($T$2:$T448,1),"")</f>
        <v/>
      </c>
      <c r="V448" s="39" t="str">
        <f>IF($B448="","",IF(COUNTIF($B$2:$B448,$B448)=1,1,0))</f>
        <v/>
      </c>
      <c r="W448" s="39" t="str">
        <f>IF($V448=1,COUNTIF($V$2:$V448,1),"")</f>
        <v/>
      </c>
      <c r="X448" s="39" t="str">
        <f>IF($A448="","",IF(COUNTIF($A$2:$A448,$A448)=1,1,0))</f>
        <v/>
      </c>
      <c r="Y448" s="39" t="str">
        <f>IF($X448=1,COUNTIF($X$2:$X448,1),"")</f>
        <v/>
      </c>
      <c r="Z448" s="39">
        <f>IF(AND($E448="timed",$N448&gt;Settings!$C$8),1,0)</f>
        <v>0</v>
      </c>
      <c r="AA448" s="39">
        <f t="shared" si="112"/>
        <v>0</v>
      </c>
      <c r="AB448" s="39">
        <f t="shared" si="113"/>
        <v>0</v>
      </c>
      <c r="AC448" s="39" t="str">
        <f t="shared" si="114"/>
        <v/>
      </c>
      <c r="AD448" s="39" t="str">
        <f t="shared" si="115"/>
        <v/>
      </c>
      <c r="AE448" s="39" t="str">
        <f t="shared" si="116"/>
        <v/>
      </c>
      <c r="AF448" s="106" t="str">
        <f t="shared" si="117"/>
        <v/>
      </c>
      <c r="AG448" s="39">
        <f t="shared" si="118"/>
        <v>0</v>
      </c>
      <c r="AH448" s="39" t="str">
        <f t="shared" si="119"/>
        <v/>
      </c>
      <c r="AI448" s="39">
        <f>IF(AND($E448="timed",$N448&gt;=Settings!$C$9),1,0)</f>
        <v>0</v>
      </c>
      <c r="AJ448" s="39" t="str">
        <f>IF(OR($S448="",Settings!$C$16=""),"",IF($S448&lt;=Settings!$C$16,1,2))</f>
        <v/>
      </c>
      <c r="AK448" s="39" t="str">
        <f>IF($C448="","",IFERROR(IF(INDEX(Settings!$C$20:$C$59,MATCH($C448,Settings!$B$20:$B$59,0))="",Settings!$C$10,INDEX(Settings!$C$20:$C$59,MATCH($C448,Settings!$B$20:$B$59,0))),Settings!$C$10))</f>
        <v/>
      </c>
      <c r="AL448" s="108">
        <f t="shared" si="120"/>
        <v>0</v>
      </c>
      <c r="AM448" s="39" t="str">
        <f t="shared" si="121"/>
        <v/>
      </c>
      <c r="AN448" s="39" t="str">
        <f t="shared" si="122"/>
        <v/>
      </c>
      <c r="AO448" s="39" t="str">
        <f t="shared" si="123"/>
        <v/>
      </c>
      <c r="AP448" s="39">
        <f t="shared" si="124"/>
        <v>0</v>
      </c>
      <c r="AQ448" s="39">
        <f t="shared" si="125"/>
        <v>0</v>
      </c>
    </row>
    <row r="449" spans="14:43" x14ac:dyDescent="0.25">
      <c r="N449" s="105">
        <f t="shared" si="108"/>
        <v>0</v>
      </c>
      <c r="O449" s="106" t="str">
        <f>IF($F449="","",IF(ISNUMBER($F449),$F449+Settings!$C$7/24,IFERROR(DATEVALUE(LEFT($F449,10))+TIMEVALUE(MID($F449,12,8))+Settings!$C$7/24,"")))</f>
        <v/>
      </c>
      <c r="P449" s="106" t="str">
        <f>IF($G449="","",IF(ISNUMBER($G449),$G449+Settings!$C$7/24,IFERROR(DATEVALUE(LEFT($G449,10))+TIMEVALUE(MID($G449,12,8))+Settings!$C$7/24,"")))</f>
        <v/>
      </c>
      <c r="Q449" s="39" t="str">
        <f t="shared" si="109"/>
        <v/>
      </c>
      <c r="R449" s="39" t="str">
        <f t="shared" si="110"/>
        <v/>
      </c>
      <c r="S449" s="107" t="str">
        <f t="shared" si="111"/>
        <v/>
      </c>
      <c r="T449" s="39" t="str">
        <f>IF($C449="","",IF(COUNTIF($C$2:$C449,$C449)=1,1,0))</f>
        <v/>
      </c>
      <c r="U449" s="39" t="str">
        <f>IF($T449=1,COUNTIF($T$2:$T449,1),"")</f>
        <v/>
      </c>
      <c r="V449" s="39" t="str">
        <f>IF($B449="","",IF(COUNTIF($B$2:$B449,$B449)=1,1,0))</f>
        <v/>
      </c>
      <c r="W449" s="39" t="str">
        <f>IF($V449=1,COUNTIF($V$2:$V449,1),"")</f>
        <v/>
      </c>
      <c r="X449" s="39" t="str">
        <f>IF($A449="","",IF(COUNTIF($A$2:$A449,$A449)=1,1,0))</f>
        <v/>
      </c>
      <c r="Y449" s="39" t="str">
        <f>IF($X449=1,COUNTIF($X$2:$X449,1),"")</f>
        <v/>
      </c>
      <c r="Z449" s="39">
        <f>IF(AND($E449="timed",$N449&gt;Settings!$C$8),1,0)</f>
        <v>0</v>
      </c>
      <c r="AA449" s="39">
        <f t="shared" si="112"/>
        <v>0</v>
      </c>
      <c r="AB449" s="39">
        <f t="shared" si="113"/>
        <v>0</v>
      </c>
      <c r="AC449" s="39" t="str">
        <f t="shared" si="114"/>
        <v/>
      </c>
      <c r="AD449" s="39" t="str">
        <f t="shared" si="115"/>
        <v/>
      </c>
      <c r="AE449" s="39" t="str">
        <f t="shared" si="116"/>
        <v/>
      </c>
      <c r="AF449" s="106" t="str">
        <f t="shared" si="117"/>
        <v/>
      </c>
      <c r="AG449" s="39">
        <f t="shared" si="118"/>
        <v>0</v>
      </c>
      <c r="AH449" s="39" t="str">
        <f t="shared" si="119"/>
        <v/>
      </c>
      <c r="AI449" s="39">
        <f>IF(AND($E449="timed",$N449&gt;=Settings!$C$9),1,0)</f>
        <v>0</v>
      </c>
      <c r="AJ449" s="39" t="str">
        <f>IF(OR($S449="",Settings!$C$16=""),"",IF($S449&lt;=Settings!$C$16,1,2))</f>
        <v/>
      </c>
      <c r="AK449" s="39" t="str">
        <f>IF($C449="","",IFERROR(IF(INDEX(Settings!$C$20:$C$59,MATCH($C449,Settings!$B$20:$B$59,0))="",Settings!$C$10,INDEX(Settings!$C$20:$C$59,MATCH($C449,Settings!$B$20:$B$59,0))),Settings!$C$10))</f>
        <v/>
      </c>
      <c r="AL449" s="108">
        <f t="shared" si="120"/>
        <v>0</v>
      </c>
      <c r="AM449" s="39" t="str">
        <f t="shared" si="121"/>
        <v/>
      </c>
      <c r="AN449" s="39" t="str">
        <f t="shared" si="122"/>
        <v/>
      </c>
      <c r="AO449" s="39" t="str">
        <f t="shared" si="123"/>
        <v/>
      </c>
      <c r="AP449" s="39">
        <f t="shared" si="124"/>
        <v>0</v>
      </c>
      <c r="AQ449" s="39">
        <f t="shared" si="125"/>
        <v>0</v>
      </c>
    </row>
    <row r="450" spans="14:43" x14ac:dyDescent="0.25">
      <c r="N450" s="105">
        <f t="shared" ref="N450:N513" si="126">IF($E450&lt;&gt;"timed",0,IF(ISNUMBER($H450),$H450,IFERROR(VALUE($H450),0)))</f>
        <v>0</v>
      </c>
      <c r="O450" s="106" t="str">
        <f>IF($F450="","",IF(ISNUMBER($F450),$F450+Settings!$C$7/24,IFERROR(DATEVALUE(LEFT($F450,10))+TIMEVALUE(MID($F450,12,8))+Settings!$C$7/24,"")))</f>
        <v/>
      </c>
      <c r="P450" s="106" t="str">
        <f>IF($G450="","",IF(ISNUMBER($G450),$G450+Settings!$C$7/24,IFERROR(DATEVALUE(LEFT($G450,10))+TIMEVALUE(MID($G450,12,8))+Settings!$C$7/24,"")))</f>
        <v/>
      </c>
      <c r="Q450" s="39" t="str">
        <f t="shared" ref="Q450:Q513" si="127">IF($O450="","",HOUR($O450))</f>
        <v/>
      </c>
      <c r="R450" s="39" t="str">
        <f t="shared" ref="R450:R513" si="128">IF($O450="","",WEEKDAY($O450,2))</f>
        <v/>
      </c>
      <c r="S450" s="107" t="str">
        <f t="shared" ref="S450:S513" si="129">IF($A450="","",IF(ISNUMBER($A450),INT($A450),IFERROR(DATEVALUE($A450),"")))</f>
        <v/>
      </c>
      <c r="T450" s="39" t="str">
        <f>IF($C450="","",IF(COUNTIF($C$2:$C450,$C450)=1,1,0))</f>
        <v/>
      </c>
      <c r="U450" s="39" t="str">
        <f>IF($T450=1,COUNTIF($T$2:$T450,1),"")</f>
        <v/>
      </c>
      <c r="V450" s="39" t="str">
        <f>IF($B450="","",IF(COUNTIF($B$2:$B450,$B450)=1,1,0))</f>
        <v/>
      </c>
      <c r="W450" s="39" t="str">
        <f>IF($V450=1,COUNTIF($V$2:$V450,1),"")</f>
        <v/>
      </c>
      <c r="X450" s="39" t="str">
        <f>IF($A450="","",IF(COUNTIF($A$2:$A450,$A450)=1,1,0))</f>
        <v/>
      </c>
      <c r="Y450" s="39" t="str">
        <f>IF($X450=1,COUNTIF($X$2:$X450,1),"")</f>
        <v/>
      </c>
      <c r="Z450" s="39">
        <f>IF(AND($E450="timed",$N450&gt;Settings!$C$8),1,0)</f>
        <v>0</v>
      </c>
      <c r="AA450" s="39">
        <f t="shared" ref="AA450:AA513" si="130">IF(AND($E450="timed",$G450=""),1,0)</f>
        <v>0</v>
      </c>
      <c r="AB450" s="39">
        <f t="shared" ref="AB450:AB513" si="131">IF($E450&lt;&gt;"timed",0,IF(ISNUMBER($I450),$I450,IFERROR(VALUE($I450),0)))</f>
        <v>0</v>
      </c>
      <c r="AC450" s="39" t="str">
        <f t="shared" ref="AC450:AC513" si="132">IF(OR($E450&lt;&gt;"timed",$O450=""),"",ROUND($O450*86400,0)*10000+ROW())</f>
        <v/>
      </c>
      <c r="AD450" s="39" t="str">
        <f t="shared" ref="AD450:AD513" si="133">IF($AC450="","",COUNTIF($AC$2:$AC$1201,"&lt;"&amp;$AC450)+1)</f>
        <v/>
      </c>
      <c r="AE450" s="39" t="str">
        <f t="shared" ref="AE450:AE513" si="134">IF($AD450="","",IFERROR(IF(INDEX($S$2:$S$1201,MATCH($AD450-1,$AD$2:$AD$1201,0))=$S450,INDEX($C$2:$C$1201,MATCH($AD450-1,$AD$2:$AD$1201,0)),""),""))</f>
        <v/>
      </c>
      <c r="AF450" s="106" t="str">
        <f t="shared" ref="AF450:AF513" si="135">IF($AD450="","",IFERROR(IF(INDEX($S$2:$S$1201,MATCH($AD450-1,$AD$2:$AD$1201,0))=$S450,INDEX($P$2:$P$1201,MATCH($AD450-1,$AD$2:$AD$1201,0)),""),""))</f>
        <v/>
      </c>
      <c r="AG450" s="39">
        <f t="shared" ref="AG450:AG513" si="136">IF(OR($E450&lt;&gt;"timed",$AE450=""),0,IF($AE450=$C450,0,1))</f>
        <v>0</v>
      </c>
      <c r="AH450" s="39" t="str">
        <f t="shared" ref="AH450:AH513" si="137">IF(OR($AF450="",$O450=""),"",MAX(0,ROUND(($O450-$AF450)*1440,0)))</f>
        <v/>
      </c>
      <c r="AI450" s="39">
        <f>IF(AND($E450="timed",$N450&gt;=Settings!$C$9),1,0)</f>
        <v>0</v>
      </c>
      <c r="AJ450" s="39" t="str">
        <f>IF(OR($S450="",Settings!$C$16=""),"",IF($S450&lt;=Settings!$C$16,1,2))</f>
        <v/>
      </c>
      <c r="AK450" s="39" t="str">
        <f>IF($C450="","",IFERROR(IF(INDEX(Settings!$C$20:$C$59,MATCH($C450,Settings!$B$20:$B$59,0))="",Settings!$C$10,INDEX(Settings!$C$20:$C$59,MATCH($C450,Settings!$B$20:$B$59,0))),Settings!$C$10))</f>
        <v/>
      </c>
      <c r="AL450" s="108">
        <f t="shared" ref="AL450:AL513" si="138">IF(OR($N450=0,$AK450=""),0,ROUND($N450/60*$AK450,2))</f>
        <v>0</v>
      </c>
      <c r="AM450" s="39" t="str">
        <f t="shared" ref="AM450:AM513" si="139">IF($AD450="","",IFERROR(INDEX($S$2:$S$1201,MATCH($AD450-1,$AD$2:$AD$1201,0)),""))</f>
        <v/>
      </c>
      <c r="AN450" s="39" t="str">
        <f t="shared" ref="AN450:AN513" si="140">IF($Z450=1,$N450+ROW()/1000000,"")</f>
        <v/>
      </c>
      <c r="AO450" s="39" t="str">
        <f t="shared" ref="AO450:AO513" si="141">IF(OR($E450&lt;&gt;"timed",$P450=""),"",ROUND($P450*86400,0)*10000+ROW())</f>
        <v/>
      </c>
      <c r="AP450" s="39">
        <f t="shared" ref="AP450:AP513" si="142">IF($AC450="",0,IF(COUNTIFS($S$2:$S$1201,$S450,$AC$2:$AC$1201,"&lt;"&amp;$AC450)=0,1,0))</f>
        <v>0</v>
      </c>
      <c r="AQ450" s="39">
        <f t="shared" ref="AQ450:AQ513" si="143">IF($AO450="",0,IF(COUNTIFS($S$2:$S$1201,$S450,$AO$2:$AO$1201,"&gt;"&amp;$AO450)=0,1,0))</f>
        <v>0</v>
      </c>
    </row>
    <row r="451" spans="14:43" x14ac:dyDescent="0.25">
      <c r="N451" s="105">
        <f t="shared" si="126"/>
        <v>0</v>
      </c>
      <c r="O451" s="106" t="str">
        <f>IF($F451="","",IF(ISNUMBER($F451),$F451+Settings!$C$7/24,IFERROR(DATEVALUE(LEFT($F451,10))+TIMEVALUE(MID($F451,12,8))+Settings!$C$7/24,"")))</f>
        <v/>
      </c>
      <c r="P451" s="106" t="str">
        <f>IF($G451="","",IF(ISNUMBER($G451),$G451+Settings!$C$7/24,IFERROR(DATEVALUE(LEFT($G451,10))+TIMEVALUE(MID($G451,12,8))+Settings!$C$7/24,"")))</f>
        <v/>
      </c>
      <c r="Q451" s="39" t="str">
        <f t="shared" si="127"/>
        <v/>
      </c>
      <c r="R451" s="39" t="str">
        <f t="shared" si="128"/>
        <v/>
      </c>
      <c r="S451" s="107" t="str">
        <f t="shared" si="129"/>
        <v/>
      </c>
      <c r="T451" s="39" t="str">
        <f>IF($C451="","",IF(COUNTIF($C$2:$C451,$C451)=1,1,0))</f>
        <v/>
      </c>
      <c r="U451" s="39" t="str">
        <f>IF($T451=1,COUNTIF($T$2:$T451,1),"")</f>
        <v/>
      </c>
      <c r="V451" s="39" t="str">
        <f>IF($B451="","",IF(COUNTIF($B$2:$B451,$B451)=1,1,0))</f>
        <v/>
      </c>
      <c r="W451" s="39" t="str">
        <f>IF($V451=1,COUNTIF($V$2:$V451,1),"")</f>
        <v/>
      </c>
      <c r="X451" s="39" t="str">
        <f>IF($A451="","",IF(COUNTIF($A$2:$A451,$A451)=1,1,0))</f>
        <v/>
      </c>
      <c r="Y451" s="39" t="str">
        <f>IF($X451=1,COUNTIF($X$2:$X451,1),"")</f>
        <v/>
      </c>
      <c r="Z451" s="39">
        <f>IF(AND($E451="timed",$N451&gt;Settings!$C$8),1,0)</f>
        <v>0</v>
      </c>
      <c r="AA451" s="39">
        <f t="shared" si="130"/>
        <v>0</v>
      </c>
      <c r="AB451" s="39">
        <f t="shared" si="131"/>
        <v>0</v>
      </c>
      <c r="AC451" s="39" t="str">
        <f t="shared" si="132"/>
        <v/>
      </c>
      <c r="AD451" s="39" t="str">
        <f t="shared" si="133"/>
        <v/>
      </c>
      <c r="AE451" s="39" t="str">
        <f t="shared" si="134"/>
        <v/>
      </c>
      <c r="AF451" s="106" t="str">
        <f t="shared" si="135"/>
        <v/>
      </c>
      <c r="AG451" s="39">
        <f t="shared" si="136"/>
        <v>0</v>
      </c>
      <c r="AH451" s="39" t="str">
        <f t="shared" si="137"/>
        <v/>
      </c>
      <c r="AI451" s="39">
        <f>IF(AND($E451="timed",$N451&gt;=Settings!$C$9),1,0)</f>
        <v>0</v>
      </c>
      <c r="AJ451" s="39" t="str">
        <f>IF(OR($S451="",Settings!$C$16=""),"",IF($S451&lt;=Settings!$C$16,1,2))</f>
        <v/>
      </c>
      <c r="AK451" s="39" t="str">
        <f>IF($C451="","",IFERROR(IF(INDEX(Settings!$C$20:$C$59,MATCH($C451,Settings!$B$20:$B$59,0))="",Settings!$C$10,INDEX(Settings!$C$20:$C$59,MATCH($C451,Settings!$B$20:$B$59,0))),Settings!$C$10))</f>
        <v/>
      </c>
      <c r="AL451" s="108">
        <f t="shared" si="138"/>
        <v>0</v>
      </c>
      <c r="AM451" s="39" t="str">
        <f t="shared" si="139"/>
        <v/>
      </c>
      <c r="AN451" s="39" t="str">
        <f t="shared" si="140"/>
        <v/>
      </c>
      <c r="AO451" s="39" t="str">
        <f t="shared" si="141"/>
        <v/>
      </c>
      <c r="AP451" s="39">
        <f t="shared" si="142"/>
        <v>0</v>
      </c>
      <c r="AQ451" s="39">
        <f t="shared" si="143"/>
        <v>0</v>
      </c>
    </row>
    <row r="452" spans="14:43" x14ac:dyDescent="0.25">
      <c r="N452" s="105">
        <f t="shared" si="126"/>
        <v>0</v>
      </c>
      <c r="O452" s="106" t="str">
        <f>IF($F452="","",IF(ISNUMBER($F452),$F452+Settings!$C$7/24,IFERROR(DATEVALUE(LEFT($F452,10))+TIMEVALUE(MID($F452,12,8))+Settings!$C$7/24,"")))</f>
        <v/>
      </c>
      <c r="P452" s="106" t="str">
        <f>IF($G452="","",IF(ISNUMBER($G452),$G452+Settings!$C$7/24,IFERROR(DATEVALUE(LEFT($G452,10))+TIMEVALUE(MID($G452,12,8))+Settings!$C$7/24,"")))</f>
        <v/>
      </c>
      <c r="Q452" s="39" t="str">
        <f t="shared" si="127"/>
        <v/>
      </c>
      <c r="R452" s="39" t="str">
        <f t="shared" si="128"/>
        <v/>
      </c>
      <c r="S452" s="107" t="str">
        <f t="shared" si="129"/>
        <v/>
      </c>
      <c r="T452" s="39" t="str">
        <f>IF($C452="","",IF(COUNTIF($C$2:$C452,$C452)=1,1,0))</f>
        <v/>
      </c>
      <c r="U452" s="39" t="str">
        <f>IF($T452=1,COUNTIF($T$2:$T452,1),"")</f>
        <v/>
      </c>
      <c r="V452" s="39" t="str">
        <f>IF($B452="","",IF(COUNTIF($B$2:$B452,$B452)=1,1,0))</f>
        <v/>
      </c>
      <c r="W452" s="39" t="str">
        <f>IF($V452=1,COUNTIF($V$2:$V452,1),"")</f>
        <v/>
      </c>
      <c r="X452" s="39" t="str">
        <f>IF($A452="","",IF(COUNTIF($A$2:$A452,$A452)=1,1,0))</f>
        <v/>
      </c>
      <c r="Y452" s="39" t="str">
        <f>IF($X452=1,COUNTIF($X$2:$X452,1),"")</f>
        <v/>
      </c>
      <c r="Z452" s="39">
        <f>IF(AND($E452="timed",$N452&gt;Settings!$C$8),1,0)</f>
        <v>0</v>
      </c>
      <c r="AA452" s="39">
        <f t="shared" si="130"/>
        <v>0</v>
      </c>
      <c r="AB452" s="39">
        <f t="shared" si="131"/>
        <v>0</v>
      </c>
      <c r="AC452" s="39" t="str">
        <f t="shared" si="132"/>
        <v/>
      </c>
      <c r="AD452" s="39" t="str">
        <f t="shared" si="133"/>
        <v/>
      </c>
      <c r="AE452" s="39" t="str">
        <f t="shared" si="134"/>
        <v/>
      </c>
      <c r="AF452" s="106" t="str">
        <f t="shared" si="135"/>
        <v/>
      </c>
      <c r="AG452" s="39">
        <f t="shared" si="136"/>
        <v>0</v>
      </c>
      <c r="AH452" s="39" t="str">
        <f t="shared" si="137"/>
        <v/>
      </c>
      <c r="AI452" s="39">
        <f>IF(AND($E452="timed",$N452&gt;=Settings!$C$9),1,0)</f>
        <v>0</v>
      </c>
      <c r="AJ452" s="39" t="str">
        <f>IF(OR($S452="",Settings!$C$16=""),"",IF($S452&lt;=Settings!$C$16,1,2))</f>
        <v/>
      </c>
      <c r="AK452" s="39" t="str">
        <f>IF($C452="","",IFERROR(IF(INDEX(Settings!$C$20:$C$59,MATCH($C452,Settings!$B$20:$B$59,0))="",Settings!$C$10,INDEX(Settings!$C$20:$C$59,MATCH($C452,Settings!$B$20:$B$59,0))),Settings!$C$10))</f>
        <v/>
      </c>
      <c r="AL452" s="108">
        <f t="shared" si="138"/>
        <v>0</v>
      </c>
      <c r="AM452" s="39" t="str">
        <f t="shared" si="139"/>
        <v/>
      </c>
      <c r="AN452" s="39" t="str">
        <f t="shared" si="140"/>
        <v/>
      </c>
      <c r="AO452" s="39" t="str">
        <f t="shared" si="141"/>
        <v/>
      </c>
      <c r="AP452" s="39">
        <f t="shared" si="142"/>
        <v>0</v>
      </c>
      <c r="AQ452" s="39">
        <f t="shared" si="143"/>
        <v>0</v>
      </c>
    </row>
    <row r="453" spans="14:43" x14ac:dyDescent="0.25">
      <c r="N453" s="105">
        <f t="shared" si="126"/>
        <v>0</v>
      </c>
      <c r="O453" s="106" t="str">
        <f>IF($F453="","",IF(ISNUMBER($F453),$F453+Settings!$C$7/24,IFERROR(DATEVALUE(LEFT($F453,10))+TIMEVALUE(MID($F453,12,8))+Settings!$C$7/24,"")))</f>
        <v/>
      </c>
      <c r="P453" s="106" t="str">
        <f>IF($G453="","",IF(ISNUMBER($G453),$G453+Settings!$C$7/24,IFERROR(DATEVALUE(LEFT($G453,10))+TIMEVALUE(MID($G453,12,8))+Settings!$C$7/24,"")))</f>
        <v/>
      </c>
      <c r="Q453" s="39" t="str">
        <f t="shared" si="127"/>
        <v/>
      </c>
      <c r="R453" s="39" t="str">
        <f t="shared" si="128"/>
        <v/>
      </c>
      <c r="S453" s="107" t="str">
        <f t="shared" si="129"/>
        <v/>
      </c>
      <c r="T453" s="39" t="str">
        <f>IF($C453="","",IF(COUNTIF($C$2:$C453,$C453)=1,1,0))</f>
        <v/>
      </c>
      <c r="U453" s="39" t="str">
        <f>IF($T453=1,COUNTIF($T$2:$T453,1),"")</f>
        <v/>
      </c>
      <c r="V453" s="39" t="str">
        <f>IF($B453="","",IF(COUNTIF($B$2:$B453,$B453)=1,1,0))</f>
        <v/>
      </c>
      <c r="W453" s="39" t="str">
        <f>IF($V453=1,COUNTIF($V$2:$V453,1),"")</f>
        <v/>
      </c>
      <c r="X453" s="39" t="str">
        <f>IF($A453="","",IF(COUNTIF($A$2:$A453,$A453)=1,1,0))</f>
        <v/>
      </c>
      <c r="Y453" s="39" t="str">
        <f>IF($X453=1,COUNTIF($X$2:$X453,1),"")</f>
        <v/>
      </c>
      <c r="Z453" s="39">
        <f>IF(AND($E453="timed",$N453&gt;Settings!$C$8),1,0)</f>
        <v>0</v>
      </c>
      <c r="AA453" s="39">
        <f t="shared" si="130"/>
        <v>0</v>
      </c>
      <c r="AB453" s="39">
        <f t="shared" si="131"/>
        <v>0</v>
      </c>
      <c r="AC453" s="39" t="str">
        <f t="shared" si="132"/>
        <v/>
      </c>
      <c r="AD453" s="39" t="str">
        <f t="shared" si="133"/>
        <v/>
      </c>
      <c r="AE453" s="39" t="str">
        <f t="shared" si="134"/>
        <v/>
      </c>
      <c r="AF453" s="106" t="str">
        <f t="shared" si="135"/>
        <v/>
      </c>
      <c r="AG453" s="39">
        <f t="shared" si="136"/>
        <v>0</v>
      </c>
      <c r="AH453" s="39" t="str">
        <f t="shared" si="137"/>
        <v/>
      </c>
      <c r="AI453" s="39">
        <f>IF(AND($E453="timed",$N453&gt;=Settings!$C$9),1,0)</f>
        <v>0</v>
      </c>
      <c r="AJ453" s="39" t="str">
        <f>IF(OR($S453="",Settings!$C$16=""),"",IF($S453&lt;=Settings!$C$16,1,2))</f>
        <v/>
      </c>
      <c r="AK453" s="39" t="str">
        <f>IF($C453="","",IFERROR(IF(INDEX(Settings!$C$20:$C$59,MATCH($C453,Settings!$B$20:$B$59,0))="",Settings!$C$10,INDEX(Settings!$C$20:$C$59,MATCH($C453,Settings!$B$20:$B$59,0))),Settings!$C$10))</f>
        <v/>
      </c>
      <c r="AL453" s="108">
        <f t="shared" si="138"/>
        <v>0</v>
      </c>
      <c r="AM453" s="39" t="str">
        <f t="shared" si="139"/>
        <v/>
      </c>
      <c r="AN453" s="39" t="str">
        <f t="shared" si="140"/>
        <v/>
      </c>
      <c r="AO453" s="39" t="str">
        <f t="shared" si="141"/>
        <v/>
      </c>
      <c r="AP453" s="39">
        <f t="shared" si="142"/>
        <v>0</v>
      </c>
      <c r="AQ453" s="39">
        <f t="shared" si="143"/>
        <v>0</v>
      </c>
    </row>
    <row r="454" spans="14:43" x14ac:dyDescent="0.25">
      <c r="N454" s="105">
        <f t="shared" si="126"/>
        <v>0</v>
      </c>
      <c r="O454" s="106" t="str">
        <f>IF($F454="","",IF(ISNUMBER($F454),$F454+Settings!$C$7/24,IFERROR(DATEVALUE(LEFT($F454,10))+TIMEVALUE(MID($F454,12,8))+Settings!$C$7/24,"")))</f>
        <v/>
      </c>
      <c r="P454" s="106" t="str">
        <f>IF($G454="","",IF(ISNUMBER($G454),$G454+Settings!$C$7/24,IFERROR(DATEVALUE(LEFT($G454,10))+TIMEVALUE(MID($G454,12,8))+Settings!$C$7/24,"")))</f>
        <v/>
      </c>
      <c r="Q454" s="39" t="str">
        <f t="shared" si="127"/>
        <v/>
      </c>
      <c r="R454" s="39" t="str">
        <f t="shared" si="128"/>
        <v/>
      </c>
      <c r="S454" s="107" t="str">
        <f t="shared" si="129"/>
        <v/>
      </c>
      <c r="T454" s="39" t="str">
        <f>IF($C454="","",IF(COUNTIF($C$2:$C454,$C454)=1,1,0))</f>
        <v/>
      </c>
      <c r="U454" s="39" t="str">
        <f>IF($T454=1,COUNTIF($T$2:$T454,1),"")</f>
        <v/>
      </c>
      <c r="V454" s="39" t="str">
        <f>IF($B454="","",IF(COUNTIF($B$2:$B454,$B454)=1,1,0))</f>
        <v/>
      </c>
      <c r="W454" s="39" t="str">
        <f>IF($V454=1,COUNTIF($V$2:$V454,1),"")</f>
        <v/>
      </c>
      <c r="X454" s="39" t="str">
        <f>IF($A454="","",IF(COUNTIF($A$2:$A454,$A454)=1,1,0))</f>
        <v/>
      </c>
      <c r="Y454" s="39" t="str">
        <f>IF($X454=1,COUNTIF($X$2:$X454,1),"")</f>
        <v/>
      </c>
      <c r="Z454" s="39">
        <f>IF(AND($E454="timed",$N454&gt;Settings!$C$8),1,0)</f>
        <v>0</v>
      </c>
      <c r="AA454" s="39">
        <f t="shared" si="130"/>
        <v>0</v>
      </c>
      <c r="AB454" s="39">
        <f t="shared" si="131"/>
        <v>0</v>
      </c>
      <c r="AC454" s="39" t="str">
        <f t="shared" si="132"/>
        <v/>
      </c>
      <c r="AD454" s="39" t="str">
        <f t="shared" si="133"/>
        <v/>
      </c>
      <c r="AE454" s="39" t="str">
        <f t="shared" si="134"/>
        <v/>
      </c>
      <c r="AF454" s="106" t="str">
        <f t="shared" si="135"/>
        <v/>
      </c>
      <c r="AG454" s="39">
        <f t="shared" si="136"/>
        <v>0</v>
      </c>
      <c r="AH454" s="39" t="str">
        <f t="shared" si="137"/>
        <v/>
      </c>
      <c r="AI454" s="39">
        <f>IF(AND($E454="timed",$N454&gt;=Settings!$C$9),1,0)</f>
        <v>0</v>
      </c>
      <c r="AJ454" s="39" t="str">
        <f>IF(OR($S454="",Settings!$C$16=""),"",IF($S454&lt;=Settings!$C$16,1,2))</f>
        <v/>
      </c>
      <c r="AK454" s="39" t="str">
        <f>IF($C454="","",IFERROR(IF(INDEX(Settings!$C$20:$C$59,MATCH($C454,Settings!$B$20:$B$59,0))="",Settings!$C$10,INDEX(Settings!$C$20:$C$59,MATCH($C454,Settings!$B$20:$B$59,0))),Settings!$C$10))</f>
        <v/>
      </c>
      <c r="AL454" s="108">
        <f t="shared" si="138"/>
        <v>0</v>
      </c>
      <c r="AM454" s="39" t="str">
        <f t="shared" si="139"/>
        <v/>
      </c>
      <c r="AN454" s="39" t="str">
        <f t="shared" si="140"/>
        <v/>
      </c>
      <c r="AO454" s="39" t="str">
        <f t="shared" si="141"/>
        <v/>
      </c>
      <c r="AP454" s="39">
        <f t="shared" si="142"/>
        <v>0</v>
      </c>
      <c r="AQ454" s="39">
        <f t="shared" si="143"/>
        <v>0</v>
      </c>
    </row>
    <row r="455" spans="14:43" x14ac:dyDescent="0.25">
      <c r="N455" s="105">
        <f t="shared" si="126"/>
        <v>0</v>
      </c>
      <c r="O455" s="106" t="str">
        <f>IF($F455="","",IF(ISNUMBER($F455),$F455+Settings!$C$7/24,IFERROR(DATEVALUE(LEFT($F455,10))+TIMEVALUE(MID($F455,12,8))+Settings!$C$7/24,"")))</f>
        <v/>
      </c>
      <c r="P455" s="106" t="str">
        <f>IF($G455="","",IF(ISNUMBER($G455),$G455+Settings!$C$7/24,IFERROR(DATEVALUE(LEFT($G455,10))+TIMEVALUE(MID($G455,12,8))+Settings!$C$7/24,"")))</f>
        <v/>
      </c>
      <c r="Q455" s="39" t="str">
        <f t="shared" si="127"/>
        <v/>
      </c>
      <c r="R455" s="39" t="str">
        <f t="shared" si="128"/>
        <v/>
      </c>
      <c r="S455" s="107" t="str">
        <f t="shared" si="129"/>
        <v/>
      </c>
      <c r="T455" s="39" t="str">
        <f>IF($C455="","",IF(COUNTIF($C$2:$C455,$C455)=1,1,0))</f>
        <v/>
      </c>
      <c r="U455" s="39" t="str">
        <f>IF($T455=1,COUNTIF($T$2:$T455,1),"")</f>
        <v/>
      </c>
      <c r="V455" s="39" t="str">
        <f>IF($B455="","",IF(COUNTIF($B$2:$B455,$B455)=1,1,0))</f>
        <v/>
      </c>
      <c r="W455" s="39" t="str">
        <f>IF($V455=1,COUNTIF($V$2:$V455,1),"")</f>
        <v/>
      </c>
      <c r="X455" s="39" t="str">
        <f>IF($A455="","",IF(COUNTIF($A$2:$A455,$A455)=1,1,0))</f>
        <v/>
      </c>
      <c r="Y455" s="39" t="str">
        <f>IF($X455=1,COUNTIF($X$2:$X455,1),"")</f>
        <v/>
      </c>
      <c r="Z455" s="39">
        <f>IF(AND($E455="timed",$N455&gt;Settings!$C$8),1,0)</f>
        <v>0</v>
      </c>
      <c r="AA455" s="39">
        <f t="shared" si="130"/>
        <v>0</v>
      </c>
      <c r="AB455" s="39">
        <f t="shared" si="131"/>
        <v>0</v>
      </c>
      <c r="AC455" s="39" t="str">
        <f t="shared" si="132"/>
        <v/>
      </c>
      <c r="AD455" s="39" t="str">
        <f t="shared" si="133"/>
        <v/>
      </c>
      <c r="AE455" s="39" t="str">
        <f t="shared" si="134"/>
        <v/>
      </c>
      <c r="AF455" s="106" t="str">
        <f t="shared" si="135"/>
        <v/>
      </c>
      <c r="AG455" s="39">
        <f t="shared" si="136"/>
        <v>0</v>
      </c>
      <c r="AH455" s="39" t="str">
        <f t="shared" si="137"/>
        <v/>
      </c>
      <c r="AI455" s="39">
        <f>IF(AND($E455="timed",$N455&gt;=Settings!$C$9),1,0)</f>
        <v>0</v>
      </c>
      <c r="AJ455" s="39" t="str">
        <f>IF(OR($S455="",Settings!$C$16=""),"",IF($S455&lt;=Settings!$C$16,1,2))</f>
        <v/>
      </c>
      <c r="AK455" s="39" t="str">
        <f>IF($C455="","",IFERROR(IF(INDEX(Settings!$C$20:$C$59,MATCH($C455,Settings!$B$20:$B$59,0))="",Settings!$C$10,INDEX(Settings!$C$20:$C$59,MATCH($C455,Settings!$B$20:$B$59,0))),Settings!$C$10))</f>
        <v/>
      </c>
      <c r="AL455" s="108">
        <f t="shared" si="138"/>
        <v>0</v>
      </c>
      <c r="AM455" s="39" t="str">
        <f t="shared" si="139"/>
        <v/>
      </c>
      <c r="AN455" s="39" t="str">
        <f t="shared" si="140"/>
        <v/>
      </c>
      <c r="AO455" s="39" t="str">
        <f t="shared" si="141"/>
        <v/>
      </c>
      <c r="AP455" s="39">
        <f t="shared" si="142"/>
        <v>0</v>
      </c>
      <c r="AQ455" s="39">
        <f t="shared" si="143"/>
        <v>0</v>
      </c>
    </row>
    <row r="456" spans="14:43" x14ac:dyDescent="0.25">
      <c r="N456" s="105">
        <f t="shared" si="126"/>
        <v>0</v>
      </c>
      <c r="O456" s="106" t="str">
        <f>IF($F456="","",IF(ISNUMBER($F456),$F456+Settings!$C$7/24,IFERROR(DATEVALUE(LEFT($F456,10))+TIMEVALUE(MID($F456,12,8))+Settings!$C$7/24,"")))</f>
        <v/>
      </c>
      <c r="P456" s="106" t="str">
        <f>IF($G456="","",IF(ISNUMBER($G456),$G456+Settings!$C$7/24,IFERROR(DATEVALUE(LEFT($G456,10))+TIMEVALUE(MID($G456,12,8))+Settings!$C$7/24,"")))</f>
        <v/>
      </c>
      <c r="Q456" s="39" t="str">
        <f t="shared" si="127"/>
        <v/>
      </c>
      <c r="R456" s="39" t="str">
        <f t="shared" si="128"/>
        <v/>
      </c>
      <c r="S456" s="107" t="str">
        <f t="shared" si="129"/>
        <v/>
      </c>
      <c r="T456" s="39" t="str">
        <f>IF($C456="","",IF(COUNTIF($C$2:$C456,$C456)=1,1,0))</f>
        <v/>
      </c>
      <c r="U456" s="39" t="str">
        <f>IF($T456=1,COUNTIF($T$2:$T456,1),"")</f>
        <v/>
      </c>
      <c r="V456" s="39" t="str">
        <f>IF($B456="","",IF(COUNTIF($B$2:$B456,$B456)=1,1,0))</f>
        <v/>
      </c>
      <c r="W456" s="39" t="str">
        <f>IF($V456=1,COUNTIF($V$2:$V456,1),"")</f>
        <v/>
      </c>
      <c r="X456" s="39" t="str">
        <f>IF($A456="","",IF(COUNTIF($A$2:$A456,$A456)=1,1,0))</f>
        <v/>
      </c>
      <c r="Y456" s="39" t="str">
        <f>IF($X456=1,COUNTIF($X$2:$X456,1),"")</f>
        <v/>
      </c>
      <c r="Z456" s="39">
        <f>IF(AND($E456="timed",$N456&gt;Settings!$C$8),1,0)</f>
        <v>0</v>
      </c>
      <c r="AA456" s="39">
        <f t="shared" si="130"/>
        <v>0</v>
      </c>
      <c r="AB456" s="39">
        <f t="shared" si="131"/>
        <v>0</v>
      </c>
      <c r="AC456" s="39" t="str">
        <f t="shared" si="132"/>
        <v/>
      </c>
      <c r="AD456" s="39" t="str">
        <f t="shared" si="133"/>
        <v/>
      </c>
      <c r="AE456" s="39" t="str">
        <f t="shared" si="134"/>
        <v/>
      </c>
      <c r="AF456" s="106" t="str">
        <f t="shared" si="135"/>
        <v/>
      </c>
      <c r="AG456" s="39">
        <f t="shared" si="136"/>
        <v>0</v>
      </c>
      <c r="AH456" s="39" t="str">
        <f t="shared" si="137"/>
        <v/>
      </c>
      <c r="AI456" s="39">
        <f>IF(AND($E456="timed",$N456&gt;=Settings!$C$9),1,0)</f>
        <v>0</v>
      </c>
      <c r="AJ456" s="39" t="str">
        <f>IF(OR($S456="",Settings!$C$16=""),"",IF($S456&lt;=Settings!$C$16,1,2))</f>
        <v/>
      </c>
      <c r="AK456" s="39" t="str">
        <f>IF($C456="","",IFERROR(IF(INDEX(Settings!$C$20:$C$59,MATCH($C456,Settings!$B$20:$B$59,0))="",Settings!$C$10,INDEX(Settings!$C$20:$C$59,MATCH($C456,Settings!$B$20:$B$59,0))),Settings!$C$10))</f>
        <v/>
      </c>
      <c r="AL456" s="108">
        <f t="shared" si="138"/>
        <v>0</v>
      </c>
      <c r="AM456" s="39" t="str">
        <f t="shared" si="139"/>
        <v/>
      </c>
      <c r="AN456" s="39" t="str">
        <f t="shared" si="140"/>
        <v/>
      </c>
      <c r="AO456" s="39" t="str">
        <f t="shared" si="141"/>
        <v/>
      </c>
      <c r="AP456" s="39">
        <f t="shared" si="142"/>
        <v>0</v>
      </c>
      <c r="AQ456" s="39">
        <f t="shared" si="143"/>
        <v>0</v>
      </c>
    </row>
    <row r="457" spans="14:43" x14ac:dyDescent="0.25">
      <c r="N457" s="105">
        <f t="shared" si="126"/>
        <v>0</v>
      </c>
      <c r="O457" s="106" t="str">
        <f>IF($F457="","",IF(ISNUMBER($F457),$F457+Settings!$C$7/24,IFERROR(DATEVALUE(LEFT($F457,10))+TIMEVALUE(MID($F457,12,8))+Settings!$C$7/24,"")))</f>
        <v/>
      </c>
      <c r="P457" s="106" t="str">
        <f>IF($G457="","",IF(ISNUMBER($G457),$G457+Settings!$C$7/24,IFERROR(DATEVALUE(LEFT($G457,10))+TIMEVALUE(MID($G457,12,8))+Settings!$C$7/24,"")))</f>
        <v/>
      </c>
      <c r="Q457" s="39" t="str">
        <f t="shared" si="127"/>
        <v/>
      </c>
      <c r="R457" s="39" t="str">
        <f t="shared" si="128"/>
        <v/>
      </c>
      <c r="S457" s="107" t="str">
        <f t="shared" si="129"/>
        <v/>
      </c>
      <c r="T457" s="39" t="str">
        <f>IF($C457="","",IF(COUNTIF($C$2:$C457,$C457)=1,1,0))</f>
        <v/>
      </c>
      <c r="U457" s="39" t="str">
        <f>IF($T457=1,COUNTIF($T$2:$T457,1),"")</f>
        <v/>
      </c>
      <c r="V457" s="39" t="str">
        <f>IF($B457="","",IF(COUNTIF($B$2:$B457,$B457)=1,1,0))</f>
        <v/>
      </c>
      <c r="W457" s="39" t="str">
        <f>IF($V457=1,COUNTIF($V$2:$V457,1),"")</f>
        <v/>
      </c>
      <c r="X457" s="39" t="str">
        <f>IF($A457="","",IF(COUNTIF($A$2:$A457,$A457)=1,1,0))</f>
        <v/>
      </c>
      <c r="Y457" s="39" t="str">
        <f>IF($X457=1,COUNTIF($X$2:$X457,1),"")</f>
        <v/>
      </c>
      <c r="Z457" s="39">
        <f>IF(AND($E457="timed",$N457&gt;Settings!$C$8),1,0)</f>
        <v>0</v>
      </c>
      <c r="AA457" s="39">
        <f t="shared" si="130"/>
        <v>0</v>
      </c>
      <c r="AB457" s="39">
        <f t="shared" si="131"/>
        <v>0</v>
      </c>
      <c r="AC457" s="39" t="str">
        <f t="shared" si="132"/>
        <v/>
      </c>
      <c r="AD457" s="39" t="str">
        <f t="shared" si="133"/>
        <v/>
      </c>
      <c r="AE457" s="39" t="str">
        <f t="shared" si="134"/>
        <v/>
      </c>
      <c r="AF457" s="106" t="str">
        <f t="shared" si="135"/>
        <v/>
      </c>
      <c r="AG457" s="39">
        <f t="shared" si="136"/>
        <v>0</v>
      </c>
      <c r="AH457" s="39" t="str">
        <f t="shared" si="137"/>
        <v/>
      </c>
      <c r="AI457" s="39">
        <f>IF(AND($E457="timed",$N457&gt;=Settings!$C$9),1,0)</f>
        <v>0</v>
      </c>
      <c r="AJ457" s="39" t="str">
        <f>IF(OR($S457="",Settings!$C$16=""),"",IF($S457&lt;=Settings!$C$16,1,2))</f>
        <v/>
      </c>
      <c r="AK457" s="39" t="str">
        <f>IF($C457="","",IFERROR(IF(INDEX(Settings!$C$20:$C$59,MATCH($C457,Settings!$B$20:$B$59,0))="",Settings!$C$10,INDEX(Settings!$C$20:$C$59,MATCH($C457,Settings!$B$20:$B$59,0))),Settings!$C$10))</f>
        <v/>
      </c>
      <c r="AL457" s="108">
        <f t="shared" si="138"/>
        <v>0</v>
      </c>
      <c r="AM457" s="39" t="str">
        <f t="shared" si="139"/>
        <v/>
      </c>
      <c r="AN457" s="39" t="str">
        <f t="shared" si="140"/>
        <v/>
      </c>
      <c r="AO457" s="39" t="str">
        <f t="shared" si="141"/>
        <v/>
      </c>
      <c r="AP457" s="39">
        <f t="shared" si="142"/>
        <v>0</v>
      </c>
      <c r="AQ457" s="39">
        <f t="shared" si="143"/>
        <v>0</v>
      </c>
    </row>
    <row r="458" spans="14:43" x14ac:dyDescent="0.25">
      <c r="N458" s="105">
        <f t="shared" si="126"/>
        <v>0</v>
      </c>
      <c r="O458" s="106" t="str">
        <f>IF($F458="","",IF(ISNUMBER($F458),$F458+Settings!$C$7/24,IFERROR(DATEVALUE(LEFT($F458,10))+TIMEVALUE(MID($F458,12,8))+Settings!$C$7/24,"")))</f>
        <v/>
      </c>
      <c r="P458" s="106" t="str">
        <f>IF($G458="","",IF(ISNUMBER($G458),$G458+Settings!$C$7/24,IFERROR(DATEVALUE(LEFT($G458,10))+TIMEVALUE(MID($G458,12,8))+Settings!$C$7/24,"")))</f>
        <v/>
      </c>
      <c r="Q458" s="39" t="str">
        <f t="shared" si="127"/>
        <v/>
      </c>
      <c r="R458" s="39" t="str">
        <f t="shared" si="128"/>
        <v/>
      </c>
      <c r="S458" s="107" t="str">
        <f t="shared" si="129"/>
        <v/>
      </c>
      <c r="T458" s="39" t="str">
        <f>IF($C458="","",IF(COUNTIF($C$2:$C458,$C458)=1,1,0))</f>
        <v/>
      </c>
      <c r="U458" s="39" t="str">
        <f>IF($T458=1,COUNTIF($T$2:$T458,1),"")</f>
        <v/>
      </c>
      <c r="V458" s="39" t="str">
        <f>IF($B458="","",IF(COUNTIF($B$2:$B458,$B458)=1,1,0))</f>
        <v/>
      </c>
      <c r="W458" s="39" t="str">
        <f>IF($V458=1,COUNTIF($V$2:$V458,1),"")</f>
        <v/>
      </c>
      <c r="X458" s="39" t="str">
        <f>IF($A458="","",IF(COUNTIF($A$2:$A458,$A458)=1,1,0))</f>
        <v/>
      </c>
      <c r="Y458" s="39" t="str">
        <f>IF($X458=1,COUNTIF($X$2:$X458,1),"")</f>
        <v/>
      </c>
      <c r="Z458" s="39">
        <f>IF(AND($E458="timed",$N458&gt;Settings!$C$8),1,0)</f>
        <v>0</v>
      </c>
      <c r="AA458" s="39">
        <f t="shared" si="130"/>
        <v>0</v>
      </c>
      <c r="AB458" s="39">
        <f t="shared" si="131"/>
        <v>0</v>
      </c>
      <c r="AC458" s="39" t="str">
        <f t="shared" si="132"/>
        <v/>
      </c>
      <c r="AD458" s="39" t="str">
        <f t="shared" si="133"/>
        <v/>
      </c>
      <c r="AE458" s="39" t="str">
        <f t="shared" si="134"/>
        <v/>
      </c>
      <c r="AF458" s="106" t="str">
        <f t="shared" si="135"/>
        <v/>
      </c>
      <c r="AG458" s="39">
        <f t="shared" si="136"/>
        <v>0</v>
      </c>
      <c r="AH458" s="39" t="str">
        <f t="shared" si="137"/>
        <v/>
      </c>
      <c r="AI458" s="39">
        <f>IF(AND($E458="timed",$N458&gt;=Settings!$C$9),1,0)</f>
        <v>0</v>
      </c>
      <c r="AJ458" s="39" t="str">
        <f>IF(OR($S458="",Settings!$C$16=""),"",IF($S458&lt;=Settings!$C$16,1,2))</f>
        <v/>
      </c>
      <c r="AK458" s="39" t="str">
        <f>IF($C458="","",IFERROR(IF(INDEX(Settings!$C$20:$C$59,MATCH($C458,Settings!$B$20:$B$59,0))="",Settings!$C$10,INDEX(Settings!$C$20:$C$59,MATCH($C458,Settings!$B$20:$B$59,0))),Settings!$C$10))</f>
        <v/>
      </c>
      <c r="AL458" s="108">
        <f t="shared" si="138"/>
        <v>0</v>
      </c>
      <c r="AM458" s="39" t="str">
        <f t="shared" si="139"/>
        <v/>
      </c>
      <c r="AN458" s="39" t="str">
        <f t="shared" si="140"/>
        <v/>
      </c>
      <c r="AO458" s="39" t="str">
        <f t="shared" si="141"/>
        <v/>
      </c>
      <c r="AP458" s="39">
        <f t="shared" si="142"/>
        <v>0</v>
      </c>
      <c r="AQ458" s="39">
        <f t="shared" si="143"/>
        <v>0</v>
      </c>
    </row>
    <row r="459" spans="14:43" x14ac:dyDescent="0.25">
      <c r="N459" s="105">
        <f t="shared" si="126"/>
        <v>0</v>
      </c>
      <c r="O459" s="106" t="str">
        <f>IF($F459="","",IF(ISNUMBER($F459),$F459+Settings!$C$7/24,IFERROR(DATEVALUE(LEFT($F459,10))+TIMEVALUE(MID($F459,12,8))+Settings!$C$7/24,"")))</f>
        <v/>
      </c>
      <c r="P459" s="106" t="str">
        <f>IF($G459="","",IF(ISNUMBER($G459),$G459+Settings!$C$7/24,IFERROR(DATEVALUE(LEFT($G459,10))+TIMEVALUE(MID($G459,12,8))+Settings!$C$7/24,"")))</f>
        <v/>
      </c>
      <c r="Q459" s="39" t="str">
        <f t="shared" si="127"/>
        <v/>
      </c>
      <c r="R459" s="39" t="str">
        <f t="shared" si="128"/>
        <v/>
      </c>
      <c r="S459" s="107" t="str">
        <f t="shared" si="129"/>
        <v/>
      </c>
      <c r="T459" s="39" t="str">
        <f>IF($C459="","",IF(COUNTIF($C$2:$C459,$C459)=1,1,0))</f>
        <v/>
      </c>
      <c r="U459" s="39" t="str">
        <f>IF($T459=1,COUNTIF($T$2:$T459,1),"")</f>
        <v/>
      </c>
      <c r="V459" s="39" t="str">
        <f>IF($B459="","",IF(COUNTIF($B$2:$B459,$B459)=1,1,0))</f>
        <v/>
      </c>
      <c r="W459" s="39" t="str">
        <f>IF($V459=1,COUNTIF($V$2:$V459,1),"")</f>
        <v/>
      </c>
      <c r="X459" s="39" t="str">
        <f>IF($A459="","",IF(COUNTIF($A$2:$A459,$A459)=1,1,0))</f>
        <v/>
      </c>
      <c r="Y459" s="39" t="str">
        <f>IF($X459=1,COUNTIF($X$2:$X459,1),"")</f>
        <v/>
      </c>
      <c r="Z459" s="39">
        <f>IF(AND($E459="timed",$N459&gt;Settings!$C$8),1,0)</f>
        <v>0</v>
      </c>
      <c r="AA459" s="39">
        <f t="shared" si="130"/>
        <v>0</v>
      </c>
      <c r="AB459" s="39">
        <f t="shared" si="131"/>
        <v>0</v>
      </c>
      <c r="AC459" s="39" t="str">
        <f t="shared" si="132"/>
        <v/>
      </c>
      <c r="AD459" s="39" t="str">
        <f t="shared" si="133"/>
        <v/>
      </c>
      <c r="AE459" s="39" t="str">
        <f t="shared" si="134"/>
        <v/>
      </c>
      <c r="AF459" s="106" t="str">
        <f t="shared" si="135"/>
        <v/>
      </c>
      <c r="AG459" s="39">
        <f t="shared" si="136"/>
        <v>0</v>
      </c>
      <c r="AH459" s="39" t="str">
        <f t="shared" si="137"/>
        <v/>
      </c>
      <c r="AI459" s="39">
        <f>IF(AND($E459="timed",$N459&gt;=Settings!$C$9),1,0)</f>
        <v>0</v>
      </c>
      <c r="AJ459" s="39" t="str">
        <f>IF(OR($S459="",Settings!$C$16=""),"",IF($S459&lt;=Settings!$C$16,1,2))</f>
        <v/>
      </c>
      <c r="AK459" s="39" t="str">
        <f>IF($C459="","",IFERROR(IF(INDEX(Settings!$C$20:$C$59,MATCH($C459,Settings!$B$20:$B$59,0))="",Settings!$C$10,INDEX(Settings!$C$20:$C$59,MATCH($C459,Settings!$B$20:$B$59,0))),Settings!$C$10))</f>
        <v/>
      </c>
      <c r="AL459" s="108">
        <f t="shared" si="138"/>
        <v>0</v>
      </c>
      <c r="AM459" s="39" t="str">
        <f t="shared" si="139"/>
        <v/>
      </c>
      <c r="AN459" s="39" t="str">
        <f t="shared" si="140"/>
        <v/>
      </c>
      <c r="AO459" s="39" t="str">
        <f t="shared" si="141"/>
        <v/>
      </c>
      <c r="AP459" s="39">
        <f t="shared" si="142"/>
        <v>0</v>
      </c>
      <c r="AQ459" s="39">
        <f t="shared" si="143"/>
        <v>0</v>
      </c>
    </row>
    <row r="460" spans="14:43" x14ac:dyDescent="0.25">
      <c r="N460" s="105">
        <f t="shared" si="126"/>
        <v>0</v>
      </c>
      <c r="O460" s="106" t="str">
        <f>IF($F460="","",IF(ISNUMBER($F460),$F460+Settings!$C$7/24,IFERROR(DATEVALUE(LEFT($F460,10))+TIMEVALUE(MID($F460,12,8))+Settings!$C$7/24,"")))</f>
        <v/>
      </c>
      <c r="P460" s="106" t="str">
        <f>IF($G460="","",IF(ISNUMBER($G460),$G460+Settings!$C$7/24,IFERROR(DATEVALUE(LEFT($G460,10))+TIMEVALUE(MID($G460,12,8))+Settings!$C$7/24,"")))</f>
        <v/>
      </c>
      <c r="Q460" s="39" t="str">
        <f t="shared" si="127"/>
        <v/>
      </c>
      <c r="R460" s="39" t="str">
        <f t="shared" si="128"/>
        <v/>
      </c>
      <c r="S460" s="107" t="str">
        <f t="shared" si="129"/>
        <v/>
      </c>
      <c r="T460" s="39" t="str">
        <f>IF($C460="","",IF(COUNTIF($C$2:$C460,$C460)=1,1,0))</f>
        <v/>
      </c>
      <c r="U460" s="39" t="str">
        <f>IF($T460=1,COUNTIF($T$2:$T460,1),"")</f>
        <v/>
      </c>
      <c r="V460" s="39" t="str">
        <f>IF($B460="","",IF(COUNTIF($B$2:$B460,$B460)=1,1,0))</f>
        <v/>
      </c>
      <c r="W460" s="39" t="str">
        <f>IF($V460=1,COUNTIF($V$2:$V460,1),"")</f>
        <v/>
      </c>
      <c r="X460" s="39" t="str">
        <f>IF($A460="","",IF(COUNTIF($A$2:$A460,$A460)=1,1,0))</f>
        <v/>
      </c>
      <c r="Y460" s="39" t="str">
        <f>IF($X460=1,COUNTIF($X$2:$X460,1),"")</f>
        <v/>
      </c>
      <c r="Z460" s="39">
        <f>IF(AND($E460="timed",$N460&gt;Settings!$C$8),1,0)</f>
        <v>0</v>
      </c>
      <c r="AA460" s="39">
        <f t="shared" si="130"/>
        <v>0</v>
      </c>
      <c r="AB460" s="39">
        <f t="shared" si="131"/>
        <v>0</v>
      </c>
      <c r="AC460" s="39" t="str">
        <f t="shared" si="132"/>
        <v/>
      </c>
      <c r="AD460" s="39" t="str">
        <f t="shared" si="133"/>
        <v/>
      </c>
      <c r="AE460" s="39" t="str">
        <f t="shared" si="134"/>
        <v/>
      </c>
      <c r="AF460" s="106" t="str">
        <f t="shared" si="135"/>
        <v/>
      </c>
      <c r="AG460" s="39">
        <f t="shared" si="136"/>
        <v>0</v>
      </c>
      <c r="AH460" s="39" t="str">
        <f t="shared" si="137"/>
        <v/>
      </c>
      <c r="AI460" s="39">
        <f>IF(AND($E460="timed",$N460&gt;=Settings!$C$9),1,0)</f>
        <v>0</v>
      </c>
      <c r="AJ460" s="39" t="str">
        <f>IF(OR($S460="",Settings!$C$16=""),"",IF($S460&lt;=Settings!$C$16,1,2))</f>
        <v/>
      </c>
      <c r="AK460" s="39" t="str">
        <f>IF($C460="","",IFERROR(IF(INDEX(Settings!$C$20:$C$59,MATCH($C460,Settings!$B$20:$B$59,0))="",Settings!$C$10,INDEX(Settings!$C$20:$C$59,MATCH($C460,Settings!$B$20:$B$59,0))),Settings!$C$10))</f>
        <v/>
      </c>
      <c r="AL460" s="108">
        <f t="shared" si="138"/>
        <v>0</v>
      </c>
      <c r="AM460" s="39" t="str">
        <f t="shared" si="139"/>
        <v/>
      </c>
      <c r="AN460" s="39" t="str">
        <f t="shared" si="140"/>
        <v/>
      </c>
      <c r="AO460" s="39" t="str">
        <f t="shared" si="141"/>
        <v/>
      </c>
      <c r="AP460" s="39">
        <f t="shared" si="142"/>
        <v>0</v>
      </c>
      <c r="AQ460" s="39">
        <f t="shared" si="143"/>
        <v>0</v>
      </c>
    </row>
    <row r="461" spans="14:43" x14ac:dyDescent="0.25">
      <c r="N461" s="105">
        <f t="shared" si="126"/>
        <v>0</v>
      </c>
      <c r="O461" s="106" t="str">
        <f>IF($F461="","",IF(ISNUMBER($F461),$F461+Settings!$C$7/24,IFERROR(DATEVALUE(LEFT($F461,10))+TIMEVALUE(MID($F461,12,8))+Settings!$C$7/24,"")))</f>
        <v/>
      </c>
      <c r="P461" s="106" t="str">
        <f>IF($G461="","",IF(ISNUMBER($G461),$G461+Settings!$C$7/24,IFERROR(DATEVALUE(LEFT($G461,10))+TIMEVALUE(MID($G461,12,8))+Settings!$C$7/24,"")))</f>
        <v/>
      </c>
      <c r="Q461" s="39" t="str">
        <f t="shared" si="127"/>
        <v/>
      </c>
      <c r="R461" s="39" t="str">
        <f t="shared" si="128"/>
        <v/>
      </c>
      <c r="S461" s="107" t="str">
        <f t="shared" si="129"/>
        <v/>
      </c>
      <c r="T461" s="39" t="str">
        <f>IF($C461="","",IF(COUNTIF($C$2:$C461,$C461)=1,1,0))</f>
        <v/>
      </c>
      <c r="U461" s="39" t="str">
        <f>IF($T461=1,COUNTIF($T$2:$T461,1),"")</f>
        <v/>
      </c>
      <c r="V461" s="39" t="str">
        <f>IF($B461="","",IF(COUNTIF($B$2:$B461,$B461)=1,1,0))</f>
        <v/>
      </c>
      <c r="W461" s="39" t="str">
        <f>IF($V461=1,COUNTIF($V$2:$V461,1),"")</f>
        <v/>
      </c>
      <c r="X461" s="39" t="str">
        <f>IF($A461="","",IF(COUNTIF($A$2:$A461,$A461)=1,1,0))</f>
        <v/>
      </c>
      <c r="Y461" s="39" t="str">
        <f>IF($X461=1,COUNTIF($X$2:$X461,1),"")</f>
        <v/>
      </c>
      <c r="Z461" s="39">
        <f>IF(AND($E461="timed",$N461&gt;Settings!$C$8),1,0)</f>
        <v>0</v>
      </c>
      <c r="AA461" s="39">
        <f t="shared" si="130"/>
        <v>0</v>
      </c>
      <c r="AB461" s="39">
        <f t="shared" si="131"/>
        <v>0</v>
      </c>
      <c r="AC461" s="39" t="str">
        <f t="shared" si="132"/>
        <v/>
      </c>
      <c r="AD461" s="39" t="str">
        <f t="shared" si="133"/>
        <v/>
      </c>
      <c r="AE461" s="39" t="str">
        <f t="shared" si="134"/>
        <v/>
      </c>
      <c r="AF461" s="106" t="str">
        <f t="shared" si="135"/>
        <v/>
      </c>
      <c r="AG461" s="39">
        <f t="shared" si="136"/>
        <v>0</v>
      </c>
      <c r="AH461" s="39" t="str">
        <f t="shared" si="137"/>
        <v/>
      </c>
      <c r="AI461" s="39">
        <f>IF(AND($E461="timed",$N461&gt;=Settings!$C$9),1,0)</f>
        <v>0</v>
      </c>
      <c r="AJ461" s="39" t="str">
        <f>IF(OR($S461="",Settings!$C$16=""),"",IF($S461&lt;=Settings!$C$16,1,2))</f>
        <v/>
      </c>
      <c r="AK461" s="39" t="str">
        <f>IF($C461="","",IFERROR(IF(INDEX(Settings!$C$20:$C$59,MATCH($C461,Settings!$B$20:$B$59,0))="",Settings!$C$10,INDEX(Settings!$C$20:$C$59,MATCH($C461,Settings!$B$20:$B$59,0))),Settings!$C$10))</f>
        <v/>
      </c>
      <c r="AL461" s="108">
        <f t="shared" si="138"/>
        <v>0</v>
      </c>
      <c r="AM461" s="39" t="str">
        <f t="shared" si="139"/>
        <v/>
      </c>
      <c r="AN461" s="39" t="str">
        <f t="shared" si="140"/>
        <v/>
      </c>
      <c r="AO461" s="39" t="str">
        <f t="shared" si="141"/>
        <v/>
      </c>
      <c r="AP461" s="39">
        <f t="shared" si="142"/>
        <v>0</v>
      </c>
      <c r="AQ461" s="39">
        <f t="shared" si="143"/>
        <v>0</v>
      </c>
    </row>
    <row r="462" spans="14:43" x14ac:dyDescent="0.25">
      <c r="N462" s="105">
        <f t="shared" si="126"/>
        <v>0</v>
      </c>
      <c r="O462" s="106" t="str">
        <f>IF($F462="","",IF(ISNUMBER($F462),$F462+Settings!$C$7/24,IFERROR(DATEVALUE(LEFT($F462,10))+TIMEVALUE(MID($F462,12,8))+Settings!$C$7/24,"")))</f>
        <v/>
      </c>
      <c r="P462" s="106" t="str">
        <f>IF($G462="","",IF(ISNUMBER($G462),$G462+Settings!$C$7/24,IFERROR(DATEVALUE(LEFT($G462,10))+TIMEVALUE(MID($G462,12,8))+Settings!$C$7/24,"")))</f>
        <v/>
      </c>
      <c r="Q462" s="39" t="str">
        <f t="shared" si="127"/>
        <v/>
      </c>
      <c r="R462" s="39" t="str">
        <f t="shared" si="128"/>
        <v/>
      </c>
      <c r="S462" s="107" t="str">
        <f t="shared" si="129"/>
        <v/>
      </c>
      <c r="T462" s="39" t="str">
        <f>IF($C462="","",IF(COUNTIF($C$2:$C462,$C462)=1,1,0))</f>
        <v/>
      </c>
      <c r="U462" s="39" t="str">
        <f>IF($T462=1,COUNTIF($T$2:$T462,1),"")</f>
        <v/>
      </c>
      <c r="V462" s="39" t="str">
        <f>IF($B462="","",IF(COUNTIF($B$2:$B462,$B462)=1,1,0))</f>
        <v/>
      </c>
      <c r="W462" s="39" t="str">
        <f>IF($V462=1,COUNTIF($V$2:$V462,1),"")</f>
        <v/>
      </c>
      <c r="X462" s="39" t="str">
        <f>IF($A462="","",IF(COUNTIF($A$2:$A462,$A462)=1,1,0))</f>
        <v/>
      </c>
      <c r="Y462" s="39" t="str">
        <f>IF($X462=1,COUNTIF($X$2:$X462,1),"")</f>
        <v/>
      </c>
      <c r="Z462" s="39">
        <f>IF(AND($E462="timed",$N462&gt;Settings!$C$8),1,0)</f>
        <v>0</v>
      </c>
      <c r="AA462" s="39">
        <f t="shared" si="130"/>
        <v>0</v>
      </c>
      <c r="AB462" s="39">
        <f t="shared" si="131"/>
        <v>0</v>
      </c>
      <c r="AC462" s="39" t="str">
        <f t="shared" si="132"/>
        <v/>
      </c>
      <c r="AD462" s="39" t="str">
        <f t="shared" si="133"/>
        <v/>
      </c>
      <c r="AE462" s="39" t="str">
        <f t="shared" si="134"/>
        <v/>
      </c>
      <c r="AF462" s="106" t="str">
        <f t="shared" si="135"/>
        <v/>
      </c>
      <c r="AG462" s="39">
        <f t="shared" si="136"/>
        <v>0</v>
      </c>
      <c r="AH462" s="39" t="str">
        <f t="shared" si="137"/>
        <v/>
      </c>
      <c r="AI462" s="39">
        <f>IF(AND($E462="timed",$N462&gt;=Settings!$C$9),1,0)</f>
        <v>0</v>
      </c>
      <c r="AJ462" s="39" t="str">
        <f>IF(OR($S462="",Settings!$C$16=""),"",IF($S462&lt;=Settings!$C$16,1,2))</f>
        <v/>
      </c>
      <c r="AK462" s="39" t="str">
        <f>IF($C462="","",IFERROR(IF(INDEX(Settings!$C$20:$C$59,MATCH($C462,Settings!$B$20:$B$59,0))="",Settings!$C$10,INDEX(Settings!$C$20:$C$59,MATCH($C462,Settings!$B$20:$B$59,0))),Settings!$C$10))</f>
        <v/>
      </c>
      <c r="AL462" s="108">
        <f t="shared" si="138"/>
        <v>0</v>
      </c>
      <c r="AM462" s="39" t="str">
        <f t="shared" si="139"/>
        <v/>
      </c>
      <c r="AN462" s="39" t="str">
        <f t="shared" si="140"/>
        <v/>
      </c>
      <c r="AO462" s="39" t="str">
        <f t="shared" si="141"/>
        <v/>
      </c>
      <c r="AP462" s="39">
        <f t="shared" si="142"/>
        <v>0</v>
      </c>
      <c r="AQ462" s="39">
        <f t="shared" si="143"/>
        <v>0</v>
      </c>
    </row>
    <row r="463" spans="14:43" x14ac:dyDescent="0.25">
      <c r="N463" s="105">
        <f t="shared" si="126"/>
        <v>0</v>
      </c>
      <c r="O463" s="106" t="str">
        <f>IF($F463="","",IF(ISNUMBER($F463),$F463+Settings!$C$7/24,IFERROR(DATEVALUE(LEFT($F463,10))+TIMEVALUE(MID($F463,12,8))+Settings!$C$7/24,"")))</f>
        <v/>
      </c>
      <c r="P463" s="106" t="str">
        <f>IF($G463="","",IF(ISNUMBER($G463),$G463+Settings!$C$7/24,IFERROR(DATEVALUE(LEFT($G463,10))+TIMEVALUE(MID($G463,12,8))+Settings!$C$7/24,"")))</f>
        <v/>
      </c>
      <c r="Q463" s="39" t="str">
        <f t="shared" si="127"/>
        <v/>
      </c>
      <c r="R463" s="39" t="str">
        <f t="shared" si="128"/>
        <v/>
      </c>
      <c r="S463" s="107" t="str">
        <f t="shared" si="129"/>
        <v/>
      </c>
      <c r="T463" s="39" t="str">
        <f>IF($C463="","",IF(COUNTIF($C$2:$C463,$C463)=1,1,0))</f>
        <v/>
      </c>
      <c r="U463" s="39" t="str">
        <f>IF($T463=1,COUNTIF($T$2:$T463,1),"")</f>
        <v/>
      </c>
      <c r="V463" s="39" t="str">
        <f>IF($B463="","",IF(COUNTIF($B$2:$B463,$B463)=1,1,0))</f>
        <v/>
      </c>
      <c r="W463" s="39" t="str">
        <f>IF($V463=1,COUNTIF($V$2:$V463,1),"")</f>
        <v/>
      </c>
      <c r="X463" s="39" t="str">
        <f>IF($A463="","",IF(COUNTIF($A$2:$A463,$A463)=1,1,0))</f>
        <v/>
      </c>
      <c r="Y463" s="39" t="str">
        <f>IF($X463=1,COUNTIF($X$2:$X463,1),"")</f>
        <v/>
      </c>
      <c r="Z463" s="39">
        <f>IF(AND($E463="timed",$N463&gt;Settings!$C$8),1,0)</f>
        <v>0</v>
      </c>
      <c r="AA463" s="39">
        <f t="shared" si="130"/>
        <v>0</v>
      </c>
      <c r="AB463" s="39">
        <f t="shared" si="131"/>
        <v>0</v>
      </c>
      <c r="AC463" s="39" t="str">
        <f t="shared" si="132"/>
        <v/>
      </c>
      <c r="AD463" s="39" t="str">
        <f t="shared" si="133"/>
        <v/>
      </c>
      <c r="AE463" s="39" t="str">
        <f t="shared" si="134"/>
        <v/>
      </c>
      <c r="AF463" s="106" t="str">
        <f t="shared" si="135"/>
        <v/>
      </c>
      <c r="AG463" s="39">
        <f t="shared" si="136"/>
        <v>0</v>
      </c>
      <c r="AH463" s="39" t="str">
        <f t="shared" si="137"/>
        <v/>
      </c>
      <c r="AI463" s="39">
        <f>IF(AND($E463="timed",$N463&gt;=Settings!$C$9),1,0)</f>
        <v>0</v>
      </c>
      <c r="AJ463" s="39" t="str">
        <f>IF(OR($S463="",Settings!$C$16=""),"",IF($S463&lt;=Settings!$C$16,1,2))</f>
        <v/>
      </c>
      <c r="AK463" s="39" t="str">
        <f>IF($C463="","",IFERROR(IF(INDEX(Settings!$C$20:$C$59,MATCH($C463,Settings!$B$20:$B$59,0))="",Settings!$C$10,INDEX(Settings!$C$20:$C$59,MATCH($C463,Settings!$B$20:$B$59,0))),Settings!$C$10))</f>
        <v/>
      </c>
      <c r="AL463" s="108">
        <f t="shared" si="138"/>
        <v>0</v>
      </c>
      <c r="AM463" s="39" t="str">
        <f t="shared" si="139"/>
        <v/>
      </c>
      <c r="AN463" s="39" t="str">
        <f t="shared" si="140"/>
        <v/>
      </c>
      <c r="AO463" s="39" t="str">
        <f t="shared" si="141"/>
        <v/>
      </c>
      <c r="AP463" s="39">
        <f t="shared" si="142"/>
        <v>0</v>
      </c>
      <c r="AQ463" s="39">
        <f t="shared" si="143"/>
        <v>0</v>
      </c>
    </row>
    <row r="464" spans="14:43" x14ac:dyDescent="0.25">
      <c r="N464" s="105">
        <f t="shared" si="126"/>
        <v>0</v>
      </c>
      <c r="O464" s="106" t="str">
        <f>IF($F464="","",IF(ISNUMBER($F464),$F464+Settings!$C$7/24,IFERROR(DATEVALUE(LEFT($F464,10))+TIMEVALUE(MID($F464,12,8))+Settings!$C$7/24,"")))</f>
        <v/>
      </c>
      <c r="P464" s="106" t="str">
        <f>IF($G464="","",IF(ISNUMBER($G464),$G464+Settings!$C$7/24,IFERROR(DATEVALUE(LEFT($G464,10))+TIMEVALUE(MID($G464,12,8))+Settings!$C$7/24,"")))</f>
        <v/>
      </c>
      <c r="Q464" s="39" t="str">
        <f t="shared" si="127"/>
        <v/>
      </c>
      <c r="R464" s="39" t="str">
        <f t="shared" si="128"/>
        <v/>
      </c>
      <c r="S464" s="107" t="str">
        <f t="shared" si="129"/>
        <v/>
      </c>
      <c r="T464" s="39" t="str">
        <f>IF($C464="","",IF(COUNTIF($C$2:$C464,$C464)=1,1,0))</f>
        <v/>
      </c>
      <c r="U464" s="39" t="str">
        <f>IF($T464=1,COUNTIF($T$2:$T464,1),"")</f>
        <v/>
      </c>
      <c r="V464" s="39" t="str">
        <f>IF($B464="","",IF(COUNTIF($B$2:$B464,$B464)=1,1,0))</f>
        <v/>
      </c>
      <c r="W464" s="39" t="str">
        <f>IF($V464=1,COUNTIF($V$2:$V464,1),"")</f>
        <v/>
      </c>
      <c r="X464" s="39" t="str">
        <f>IF($A464="","",IF(COUNTIF($A$2:$A464,$A464)=1,1,0))</f>
        <v/>
      </c>
      <c r="Y464" s="39" t="str">
        <f>IF($X464=1,COUNTIF($X$2:$X464,1),"")</f>
        <v/>
      </c>
      <c r="Z464" s="39">
        <f>IF(AND($E464="timed",$N464&gt;Settings!$C$8),1,0)</f>
        <v>0</v>
      </c>
      <c r="AA464" s="39">
        <f t="shared" si="130"/>
        <v>0</v>
      </c>
      <c r="AB464" s="39">
        <f t="shared" si="131"/>
        <v>0</v>
      </c>
      <c r="AC464" s="39" t="str">
        <f t="shared" si="132"/>
        <v/>
      </c>
      <c r="AD464" s="39" t="str">
        <f t="shared" si="133"/>
        <v/>
      </c>
      <c r="AE464" s="39" t="str">
        <f t="shared" si="134"/>
        <v/>
      </c>
      <c r="AF464" s="106" t="str">
        <f t="shared" si="135"/>
        <v/>
      </c>
      <c r="AG464" s="39">
        <f t="shared" si="136"/>
        <v>0</v>
      </c>
      <c r="AH464" s="39" t="str">
        <f t="shared" si="137"/>
        <v/>
      </c>
      <c r="AI464" s="39">
        <f>IF(AND($E464="timed",$N464&gt;=Settings!$C$9),1,0)</f>
        <v>0</v>
      </c>
      <c r="AJ464" s="39" t="str">
        <f>IF(OR($S464="",Settings!$C$16=""),"",IF($S464&lt;=Settings!$C$16,1,2))</f>
        <v/>
      </c>
      <c r="AK464" s="39" t="str">
        <f>IF($C464="","",IFERROR(IF(INDEX(Settings!$C$20:$C$59,MATCH($C464,Settings!$B$20:$B$59,0))="",Settings!$C$10,INDEX(Settings!$C$20:$C$59,MATCH($C464,Settings!$B$20:$B$59,0))),Settings!$C$10))</f>
        <v/>
      </c>
      <c r="AL464" s="108">
        <f t="shared" si="138"/>
        <v>0</v>
      </c>
      <c r="AM464" s="39" t="str">
        <f t="shared" si="139"/>
        <v/>
      </c>
      <c r="AN464" s="39" t="str">
        <f t="shared" si="140"/>
        <v/>
      </c>
      <c r="AO464" s="39" t="str">
        <f t="shared" si="141"/>
        <v/>
      </c>
      <c r="AP464" s="39">
        <f t="shared" si="142"/>
        <v>0</v>
      </c>
      <c r="AQ464" s="39">
        <f t="shared" si="143"/>
        <v>0</v>
      </c>
    </row>
    <row r="465" spans="14:43" x14ac:dyDescent="0.25">
      <c r="N465" s="105">
        <f t="shared" si="126"/>
        <v>0</v>
      </c>
      <c r="O465" s="106" t="str">
        <f>IF($F465="","",IF(ISNUMBER($F465),$F465+Settings!$C$7/24,IFERROR(DATEVALUE(LEFT($F465,10))+TIMEVALUE(MID($F465,12,8))+Settings!$C$7/24,"")))</f>
        <v/>
      </c>
      <c r="P465" s="106" t="str">
        <f>IF($G465="","",IF(ISNUMBER($G465),$G465+Settings!$C$7/24,IFERROR(DATEVALUE(LEFT($G465,10))+TIMEVALUE(MID($G465,12,8))+Settings!$C$7/24,"")))</f>
        <v/>
      </c>
      <c r="Q465" s="39" t="str">
        <f t="shared" si="127"/>
        <v/>
      </c>
      <c r="R465" s="39" t="str">
        <f t="shared" si="128"/>
        <v/>
      </c>
      <c r="S465" s="107" t="str">
        <f t="shared" si="129"/>
        <v/>
      </c>
      <c r="T465" s="39" t="str">
        <f>IF($C465="","",IF(COUNTIF($C$2:$C465,$C465)=1,1,0))</f>
        <v/>
      </c>
      <c r="U465" s="39" t="str">
        <f>IF($T465=1,COUNTIF($T$2:$T465,1),"")</f>
        <v/>
      </c>
      <c r="V465" s="39" t="str">
        <f>IF($B465="","",IF(COUNTIF($B$2:$B465,$B465)=1,1,0))</f>
        <v/>
      </c>
      <c r="W465" s="39" t="str">
        <f>IF($V465=1,COUNTIF($V$2:$V465,1),"")</f>
        <v/>
      </c>
      <c r="X465" s="39" t="str">
        <f>IF($A465="","",IF(COUNTIF($A$2:$A465,$A465)=1,1,0))</f>
        <v/>
      </c>
      <c r="Y465" s="39" t="str">
        <f>IF($X465=1,COUNTIF($X$2:$X465,1),"")</f>
        <v/>
      </c>
      <c r="Z465" s="39">
        <f>IF(AND($E465="timed",$N465&gt;Settings!$C$8),1,0)</f>
        <v>0</v>
      </c>
      <c r="AA465" s="39">
        <f t="shared" si="130"/>
        <v>0</v>
      </c>
      <c r="AB465" s="39">
        <f t="shared" si="131"/>
        <v>0</v>
      </c>
      <c r="AC465" s="39" t="str">
        <f t="shared" si="132"/>
        <v/>
      </c>
      <c r="AD465" s="39" t="str">
        <f t="shared" si="133"/>
        <v/>
      </c>
      <c r="AE465" s="39" t="str">
        <f t="shared" si="134"/>
        <v/>
      </c>
      <c r="AF465" s="106" t="str">
        <f t="shared" si="135"/>
        <v/>
      </c>
      <c r="AG465" s="39">
        <f t="shared" si="136"/>
        <v>0</v>
      </c>
      <c r="AH465" s="39" t="str">
        <f t="shared" si="137"/>
        <v/>
      </c>
      <c r="AI465" s="39">
        <f>IF(AND($E465="timed",$N465&gt;=Settings!$C$9),1,0)</f>
        <v>0</v>
      </c>
      <c r="AJ465" s="39" t="str">
        <f>IF(OR($S465="",Settings!$C$16=""),"",IF($S465&lt;=Settings!$C$16,1,2))</f>
        <v/>
      </c>
      <c r="AK465" s="39" t="str">
        <f>IF($C465="","",IFERROR(IF(INDEX(Settings!$C$20:$C$59,MATCH($C465,Settings!$B$20:$B$59,0))="",Settings!$C$10,INDEX(Settings!$C$20:$C$59,MATCH($C465,Settings!$B$20:$B$59,0))),Settings!$C$10))</f>
        <v/>
      </c>
      <c r="AL465" s="108">
        <f t="shared" si="138"/>
        <v>0</v>
      </c>
      <c r="AM465" s="39" t="str">
        <f t="shared" si="139"/>
        <v/>
      </c>
      <c r="AN465" s="39" t="str">
        <f t="shared" si="140"/>
        <v/>
      </c>
      <c r="AO465" s="39" t="str">
        <f t="shared" si="141"/>
        <v/>
      </c>
      <c r="AP465" s="39">
        <f t="shared" si="142"/>
        <v>0</v>
      </c>
      <c r="AQ465" s="39">
        <f t="shared" si="143"/>
        <v>0</v>
      </c>
    </row>
    <row r="466" spans="14:43" x14ac:dyDescent="0.25">
      <c r="N466" s="105">
        <f t="shared" si="126"/>
        <v>0</v>
      </c>
      <c r="O466" s="106" t="str">
        <f>IF($F466="","",IF(ISNUMBER($F466),$F466+Settings!$C$7/24,IFERROR(DATEVALUE(LEFT($F466,10))+TIMEVALUE(MID($F466,12,8))+Settings!$C$7/24,"")))</f>
        <v/>
      </c>
      <c r="P466" s="106" t="str">
        <f>IF($G466="","",IF(ISNUMBER($G466),$G466+Settings!$C$7/24,IFERROR(DATEVALUE(LEFT($G466,10))+TIMEVALUE(MID($G466,12,8))+Settings!$C$7/24,"")))</f>
        <v/>
      </c>
      <c r="Q466" s="39" t="str">
        <f t="shared" si="127"/>
        <v/>
      </c>
      <c r="R466" s="39" t="str">
        <f t="shared" si="128"/>
        <v/>
      </c>
      <c r="S466" s="107" t="str">
        <f t="shared" si="129"/>
        <v/>
      </c>
      <c r="T466" s="39" t="str">
        <f>IF($C466="","",IF(COUNTIF($C$2:$C466,$C466)=1,1,0))</f>
        <v/>
      </c>
      <c r="U466" s="39" t="str">
        <f>IF($T466=1,COUNTIF($T$2:$T466,1),"")</f>
        <v/>
      </c>
      <c r="V466" s="39" t="str">
        <f>IF($B466="","",IF(COUNTIF($B$2:$B466,$B466)=1,1,0))</f>
        <v/>
      </c>
      <c r="W466" s="39" t="str">
        <f>IF($V466=1,COUNTIF($V$2:$V466,1),"")</f>
        <v/>
      </c>
      <c r="X466" s="39" t="str">
        <f>IF($A466="","",IF(COUNTIF($A$2:$A466,$A466)=1,1,0))</f>
        <v/>
      </c>
      <c r="Y466" s="39" t="str">
        <f>IF($X466=1,COUNTIF($X$2:$X466,1),"")</f>
        <v/>
      </c>
      <c r="Z466" s="39">
        <f>IF(AND($E466="timed",$N466&gt;Settings!$C$8),1,0)</f>
        <v>0</v>
      </c>
      <c r="AA466" s="39">
        <f t="shared" si="130"/>
        <v>0</v>
      </c>
      <c r="AB466" s="39">
        <f t="shared" si="131"/>
        <v>0</v>
      </c>
      <c r="AC466" s="39" t="str">
        <f t="shared" si="132"/>
        <v/>
      </c>
      <c r="AD466" s="39" t="str">
        <f t="shared" si="133"/>
        <v/>
      </c>
      <c r="AE466" s="39" t="str">
        <f t="shared" si="134"/>
        <v/>
      </c>
      <c r="AF466" s="106" t="str">
        <f t="shared" si="135"/>
        <v/>
      </c>
      <c r="AG466" s="39">
        <f t="shared" si="136"/>
        <v>0</v>
      </c>
      <c r="AH466" s="39" t="str">
        <f t="shared" si="137"/>
        <v/>
      </c>
      <c r="AI466" s="39">
        <f>IF(AND($E466="timed",$N466&gt;=Settings!$C$9),1,0)</f>
        <v>0</v>
      </c>
      <c r="AJ466" s="39" t="str">
        <f>IF(OR($S466="",Settings!$C$16=""),"",IF($S466&lt;=Settings!$C$16,1,2))</f>
        <v/>
      </c>
      <c r="AK466" s="39" t="str">
        <f>IF($C466="","",IFERROR(IF(INDEX(Settings!$C$20:$C$59,MATCH($C466,Settings!$B$20:$B$59,0))="",Settings!$C$10,INDEX(Settings!$C$20:$C$59,MATCH($C466,Settings!$B$20:$B$59,0))),Settings!$C$10))</f>
        <v/>
      </c>
      <c r="AL466" s="108">
        <f t="shared" si="138"/>
        <v>0</v>
      </c>
      <c r="AM466" s="39" t="str">
        <f t="shared" si="139"/>
        <v/>
      </c>
      <c r="AN466" s="39" t="str">
        <f t="shared" si="140"/>
        <v/>
      </c>
      <c r="AO466" s="39" t="str">
        <f t="shared" si="141"/>
        <v/>
      </c>
      <c r="AP466" s="39">
        <f t="shared" si="142"/>
        <v>0</v>
      </c>
      <c r="AQ466" s="39">
        <f t="shared" si="143"/>
        <v>0</v>
      </c>
    </row>
    <row r="467" spans="14:43" x14ac:dyDescent="0.25">
      <c r="N467" s="105">
        <f t="shared" si="126"/>
        <v>0</v>
      </c>
      <c r="O467" s="106" t="str">
        <f>IF($F467="","",IF(ISNUMBER($F467),$F467+Settings!$C$7/24,IFERROR(DATEVALUE(LEFT($F467,10))+TIMEVALUE(MID($F467,12,8))+Settings!$C$7/24,"")))</f>
        <v/>
      </c>
      <c r="P467" s="106" t="str">
        <f>IF($G467="","",IF(ISNUMBER($G467),$G467+Settings!$C$7/24,IFERROR(DATEVALUE(LEFT($G467,10))+TIMEVALUE(MID($G467,12,8))+Settings!$C$7/24,"")))</f>
        <v/>
      </c>
      <c r="Q467" s="39" t="str">
        <f t="shared" si="127"/>
        <v/>
      </c>
      <c r="R467" s="39" t="str">
        <f t="shared" si="128"/>
        <v/>
      </c>
      <c r="S467" s="107" t="str">
        <f t="shared" si="129"/>
        <v/>
      </c>
      <c r="T467" s="39" t="str">
        <f>IF($C467="","",IF(COUNTIF($C$2:$C467,$C467)=1,1,0))</f>
        <v/>
      </c>
      <c r="U467" s="39" t="str">
        <f>IF($T467=1,COUNTIF($T$2:$T467,1),"")</f>
        <v/>
      </c>
      <c r="V467" s="39" t="str">
        <f>IF($B467="","",IF(COUNTIF($B$2:$B467,$B467)=1,1,0))</f>
        <v/>
      </c>
      <c r="W467" s="39" t="str">
        <f>IF($V467=1,COUNTIF($V$2:$V467,1),"")</f>
        <v/>
      </c>
      <c r="X467" s="39" t="str">
        <f>IF($A467="","",IF(COUNTIF($A$2:$A467,$A467)=1,1,0))</f>
        <v/>
      </c>
      <c r="Y467" s="39" t="str">
        <f>IF($X467=1,COUNTIF($X$2:$X467,1),"")</f>
        <v/>
      </c>
      <c r="Z467" s="39">
        <f>IF(AND($E467="timed",$N467&gt;Settings!$C$8),1,0)</f>
        <v>0</v>
      </c>
      <c r="AA467" s="39">
        <f t="shared" si="130"/>
        <v>0</v>
      </c>
      <c r="AB467" s="39">
        <f t="shared" si="131"/>
        <v>0</v>
      </c>
      <c r="AC467" s="39" t="str">
        <f t="shared" si="132"/>
        <v/>
      </c>
      <c r="AD467" s="39" t="str">
        <f t="shared" si="133"/>
        <v/>
      </c>
      <c r="AE467" s="39" t="str">
        <f t="shared" si="134"/>
        <v/>
      </c>
      <c r="AF467" s="106" t="str">
        <f t="shared" si="135"/>
        <v/>
      </c>
      <c r="AG467" s="39">
        <f t="shared" si="136"/>
        <v>0</v>
      </c>
      <c r="AH467" s="39" t="str">
        <f t="shared" si="137"/>
        <v/>
      </c>
      <c r="AI467" s="39">
        <f>IF(AND($E467="timed",$N467&gt;=Settings!$C$9),1,0)</f>
        <v>0</v>
      </c>
      <c r="AJ467" s="39" t="str">
        <f>IF(OR($S467="",Settings!$C$16=""),"",IF($S467&lt;=Settings!$C$16,1,2))</f>
        <v/>
      </c>
      <c r="AK467" s="39" t="str">
        <f>IF($C467="","",IFERROR(IF(INDEX(Settings!$C$20:$C$59,MATCH($C467,Settings!$B$20:$B$59,0))="",Settings!$C$10,INDEX(Settings!$C$20:$C$59,MATCH($C467,Settings!$B$20:$B$59,0))),Settings!$C$10))</f>
        <v/>
      </c>
      <c r="AL467" s="108">
        <f t="shared" si="138"/>
        <v>0</v>
      </c>
      <c r="AM467" s="39" t="str">
        <f t="shared" si="139"/>
        <v/>
      </c>
      <c r="AN467" s="39" t="str">
        <f t="shared" si="140"/>
        <v/>
      </c>
      <c r="AO467" s="39" t="str">
        <f t="shared" si="141"/>
        <v/>
      </c>
      <c r="AP467" s="39">
        <f t="shared" si="142"/>
        <v>0</v>
      </c>
      <c r="AQ467" s="39">
        <f t="shared" si="143"/>
        <v>0</v>
      </c>
    </row>
    <row r="468" spans="14:43" x14ac:dyDescent="0.25">
      <c r="N468" s="105">
        <f t="shared" si="126"/>
        <v>0</v>
      </c>
      <c r="O468" s="106" t="str">
        <f>IF($F468="","",IF(ISNUMBER($F468),$F468+Settings!$C$7/24,IFERROR(DATEVALUE(LEFT($F468,10))+TIMEVALUE(MID($F468,12,8))+Settings!$C$7/24,"")))</f>
        <v/>
      </c>
      <c r="P468" s="106" t="str">
        <f>IF($G468="","",IF(ISNUMBER($G468),$G468+Settings!$C$7/24,IFERROR(DATEVALUE(LEFT($G468,10))+TIMEVALUE(MID($G468,12,8))+Settings!$C$7/24,"")))</f>
        <v/>
      </c>
      <c r="Q468" s="39" t="str">
        <f t="shared" si="127"/>
        <v/>
      </c>
      <c r="R468" s="39" t="str">
        <f t="shared" si="128"/>
        <v/>
      </c>
      <c r="S468" s="107" t="str">
        <f t="shared" si="129"/>
        <v/>
      </c>
      <c r="T468" s="39" t="str">
        <f>IF($C468="","",IF(COUNTIF($C$2:$C468,$C468)=1,1,0))</f>
        <v/>
      </c>
      <c r="U468" s="39" t="str">
        <f>IF($T468=1,COUNTIF($T$2:$T468,1),"")</f>
        <v/>
      </c>
      <c r="V468" s="39" t="str">
        <f>IF($B468="","",IF(COUNTIF($B$2:$B468,$B468)=1,1,0))</f>
        <v/>
      </c>
      <c r="W468" s="39" t="str">
        <f>IF($V468=1,COUNTIF($V$2:$V468,1),"")</f>
        <v/>
      </c>
      <c r="X468" s="39" t="str">
        <f>IF($A468="","",IF(COUNTIF($A$2:$A468,$A468)=1,1,0))</f>
        <v/>
      </c>
      <c r="Y468" s="39" t="str">
        <f>IF($X468=1,COUNTIF($X$2:$X468,1),"")</f>
        <v/>
      </c>
      <c r="Z468" s="39">
        <f>IF(AND($E468="timed",$N468&gt;Settings!$C$8),1,0)</f>
        <v>0</v>
      </c>
      <c r="AA468" s="39">
        <f t="shared" si="130"/>
        <v>0</v>
      </c>
      <c r="AB468" s="39">
        <f t="shared" si="131"/>
        <v>0</v>
      </c>
      <c r="AC468" s="39" t="str">
        <f t="shared" si="132"/>
        <v/>
      </c>
      <c r="AD468" s="39" t="str">
        <f t="shared" si="133"/>
        <v/>
      </c>
      <c r="AE468" s="39" t="str">
        <f t="shared" si="134"/>
        <v/>
      </c>
      <c r="AF468" s="106" t="str">
        <f t="shared" si="135"/>
        <v/>
      </c>
      <c r="AG468" s="39">
        <f t="shared" si="136"/>
        <v>0</v>
      </c>
      <c r="AH468" s="39" t="str">
        <f t="shared" si="137"/>
        <v/>
      </c>
      <c r="AI468" s="39">
        <f>IF(AND($E468="timed",$N468&gt;=Settings!$C$9),1,0)</f>
        <v>0</v>
      </c>
      <c r="AJ468" s="39" t="str">
        <f>IF(OR($S468="",Settings!$C$16=""),"",IF($S468&lt;=Settings!$C$16,1,2))</f>
        <v/>
      </c>
      <c r="AK468" s="39" t="str">
        <f>IF($C468="","",IFERROR(IF(INDEX(Settings!$C$20:$C$59,MATCH($C468,Settings!$B$20:$B$59,0))="",Settings!$C$10,INDEX(Settings!$C$20:$C$59,MATCH($C468,Settings!$B$20:$B$59,0))),Settings!$C$10))</f>
        <v/>
      </c>
      <c r="AL468" s="108">
        <f t="shared" si="138"/>
        <v>0</v>
      </c>
      <c r="AM468" s="39" t="str">
        <f t="shared" si="139"/>
        <v/>
      </c>
      <c r="AN468" s="39" t="str">
        <f t="shared" si="140"/>
        <v/>
      </c>
      <c r="AO468" s="39" t="str">
        <f t="shared" si="141"/>
        <v/>
      </c>
      <c r="AP468" s="39">
        <f t="shared" si="142"/>
        <v>0</v>
      </c>
      <c r="AQ468" s="39">
        <f t="shared" si="143"/>
        <v>0</v>
      </c>
    </row>
    <row r="469" spans="14:43" x14ac:dyDescent="0.25">
      <c r="N469" s="105">
        <f t="shared" si="126"/>
        <v>0</v>
      </c>
      <c r="O469" s="106" t="str">
        <f>IF($F469="","",IF(ISNUMBER($F469),$F469+Settings!$C$7/24,IFERROR(DATEVALUE(LEFT($F469,10))+TIMEVALUE(MID($F469,12,8))+Settings!$C$7/24,"")))</f>
        <v/>
      </c>
      <c r="P469" s="106" t="str">
        <f>IF($G469="","",IF(ISNUMBER($G469),$G469+Settings!$C$7/24,IFERROR(DATEVALUE(LEFT($G469,10))+TIMEVALUE(MID($G469,12,8))+Settings!$C$7/24,"")))</f>
        <v/>
      </c>
      <c r="Q469" s="39" t="str">
        <f t="shared" si="127"/>
        <v/>
      </c>
      <c r="R469" s="39" t="str">
        <f t="shared" si="128"/>
        <v/>
      </c>
      <c r="S469" s="107" t="str">
        <f t="shared" si="129"/>
        <v/>
      </c>
      <c r="T469" s="39" t="str">
        <f>IF($C469="","",IF(COUNTIF($C$2:$C469,$C469)=1,1,0))</f>
        <v/>
      </c>
      <c r="U469" s="39" t="str">
        <f>IF($T469=1,COUNTIF($T$2:$T469,1),"")</f>
        <v/>
      </c>
      <c r="V469" s="39" t="str">
        <f>IF($B469="","",IF(COUNTIF($B$2:$B469,$B469)=1,1,0))</f>
        <v/>
      </c>
      <c r="W469" s="39" t="str">
        <f>IF($V469=1,COUNTIF($V$2:$V469,1),"")</f>
        <v/>
      </c>
      <c r="X469" s="39" t="str">
        <f>IF($A469="","",IF(COUNTIF($A$2:$A469,$A469)=1,1,0))</f>
        <v/>
      </c>
      <c r="Y469" s="39" t="str">
        <f>IF($X469=1,COUNTIF($X$2:$X469,1),"")</f>
        <v/>
      </c>
      <c r="Z469" s="39">
        <f>IF(AND($E469="timed",$N469&gt;Settings!$C$8),1,0)</f>
        <v>0</v>
      </c>
      <c r="AA469" s="39">
        <f t="shared" si="130"/>
        <v>0</v>
      </c>
      <c r="AB469" s="39">
        <f t="shared" si="131"/>
        <v>0</v>
      </c>
      <c r="AC469" s="39" t="str">
        <f t="shared" si="132"/>
        <v/>
      </c>
      <c r="AD469" s="39" t="str">
        <f t="shared" si="133"/>
        <v/>
      </c>
      <c r="AE469" s="39" t="str">
        <f t="shared" si="134"/>
        <v/>
      </c>
      <c r="AF469" s="106" t="str">
        <f t="shared" si="135"/>
        <v/>
      </c>
      <c r="AG469" s="39">
        <f t="shared" si="136"/>
        <v>0</v>
      </c>
      <c r="AH469" s="39" t="str">
        <f t="shared" si="137"/>
        <v/>
      </c>
      <c r="AI469" s="39">
        <f>IF(AND($E469="timed",$N469&gt;=Settings!$C$9),1,0)</f>
        <v>0</v>
      </c>
      <c r="AJ469" s="39" t="str">
        <f>IF(OR($S469="",Settings!$C$16=""),"",IF($S469&lt;=Settings!$C$16,1,2))</f>
        <v/>
      </c>
      <c r="AK469" s="39" t="str">
        <f>IF($C469="","",IFERROR(IF(INDEX(Settings!$C$20:$C$59,MATCH($C469,Settings!$B$20:$B$59,0))="",Settings!$C$10,INDEX(Settings!$C$20:$C$59,MATCH($C469,Settings!$B$20:$B$59,0))),Settings!$C$10))</f>
        <v/>
      </c>
      <c r="AL469" s="108">
        <f t="shared" si="138"/>
        <v>0</v>
      </c>
      <c r="AM469" s="39" t="str">
        <f t="shared" si="139"/>
        <v/>
      </c>
      <c r="AN469" s="39" t="str">
        <f t="shared" si="140"/>
        <v/>
      </c>
      <c r="AO469" s="39" t="str">
        <f t="shared" si="141"/>
        <v/>
      </c>
      <c r="AP469" s="39">
        <f t="shared" si="142"/>
        <v>0</v>
      </c>
      <c r="AQ469" s="39">
        <f t="shared" si="143"/>
        <v>0</v>
      </c>
    </row>
    <row r="470" spans="14:43" x14ac:dyDescent="0.25">
      <c r="N470" s="105">
        <f t="shared" si="126"/>
        <v>0</v>
      </c>
      <c r="O470" s="106" t="str">
        <f>IF($F470="","",IF(ISNUMBER($F470),$F470+Settings!$C$7/24,IFERROR(DATEVALUE(LEFT($F470,10))+TIMEVALUE(MID($F470,12,8))+Settings!$C$7/24,"")))</f>
        <v/>
      </c>
      <c r="P470" s="106" t="str">
        <f>IF($G470="","",IF(ISNUMBER($G470),$G470+Settings!$C$7/24,IFERROR(DATEVALUE(LEFT($G470,10))+TIMEVALUE(MID($G470,12,8))+Settings!$C$7/24,"")))</f>
        <v/>
      </c>
      <c r="Q470" s="39" t="str">
        <f t="shared" si="127"/>
        <v/>
      </c>
      <c r="R470" s="39" t="str">
        <f t="shared" si="128"/>
        <v/>
      </c>
      <c r="S470" s="107" t="str">
        <f t="shared" si="129"/>
        <v/>
      </c>
      <c r="T470" s="39" t="str">
        <f>IF($C470="","",IF(COUNTIF($C$2:$C470,$C470)=1,1,0))</f>
        <v/>
      </c>
      <c r="U470" s="39" t="str">
        <f>IF($T470=1,COUNTIF($T$2:$T470,1),"")</f>
        <v/>
      </c>
      <c r="V470" s="39" t="str">
        <f>IF($B470="","",IF(COUNTIF($B$2:$B470,$B470)=1,1,0))</f>
        <v/>
      </c>
      <c r="W470" s="39" t="str">
        <f>IF($V470=1,COUNTIF($V$2:$V470,1),"")</f>
        <v/>
      </c>
      <c r="X470" s="39" t="str">
        <f>IF($A470="","",IF(COUNTIF($A$2:$A470,$A470)=1,1,0))</f>
        <v/>
      </c>
      <c r="Y470" s="39" t="str">
        <f>IF($X470=1,COUNTIF($X$2:$X470,1),"")</f>
        <v/>
      </c>
      <c r="Z470" s="39">
        <f>IF(AND($E470="timed",$N470&gt;Settings!$C$8),1,0)</f>
        <v>0</v>
      </c>
      <c r="AA470" s="39">
        <f t="shared" si="130"/>
        <v>0</v>
      </c>
      <c r="AB470" s="39">
        <f t="shared" si="131"/>
        <v>0</v>
      </c>
      <c r="AC470" s="39" t="str">
        <f t="shared" si="132"/>
        <v/>
      </c>
      <c r="AD470" s="39" t="str">
        <f t="shared" si="133"/>
        <v/>
      </c>
      <c r="AE470" s="39" t="str">
        <f t="shared" si="134"/>
        <v/>
      </c>
      <c r="AF470" s="106" t="str">
        <f t="shared" si="135"/>
        <v/>
      </c>
      <c r="AG470" s="39">
        <f t="shared" si="136"/>
        <v>0</v>
      </c>
      <c r="AH470" s="39" t="str">
        <f t="shared" si="137"/>
        <v/>
      </c>
      <c r="AI470" s="39">
        <f>IF(AND($E470="timed",$N470&gt;=Settings!$C$9),1,0)</f>
        <v>0</v>
      </c>
      <c r="AJ470" s="39" t="str">
        <f>IF(OR($S470="",Settings!$C$16=""),"",IF($S470&lt;=Settings!$C$16,1,2))</f>
        <v/>
      </c>
      <c r="AK470" s="39" t="str">
        <f>IF($C470="","",IFERROR(IF(INDEX(Settings!$C$20:$C$59,MATCH($C470,Settings!$B$20:$B$59,0))="",Settings!$C$10,INDEX(Settings!$C$20:$C$59,MATCH($C470,Settings!$B$20:$B$59,0))),Settings!$C$10))</f>
        <v/>
      </c>
      <c r="AL470" s="108">
        <f t="shared" si="138"/>
        <v>0</v>
      </c>
      <c r="AM470" s="39" t="str">
        <f t="shared" si="139"/>
        <v/>
      </c>
      <c r="AN470" s="39" t="str">
        <f t="shared" si="140"/>
        <v/>
      </c>
      <c r="AO470" s="39" t="str">
        <f t="shared" si="141"/>
        <v/>
      </c>
      <c r="AP470" s="39">
        <f t="shared" si="142"/>
        <v>0</v>
      </c>
      <c r="AQ470" s="39">
        <f t="shared" si="143"/>
        <v>0</v>
      </c>
    </row>
    <row r="471" spans="14:43" x14ac:dyDescent="0.25">
      <c r="N471" s="105">
        <f t="shared" si="126"/>
        <v>0</v>
      </c>
      <c r="O471" s="106" t="str">
        <f>IF($F471="","",IF(ISNUMBER($F471),$F471+Settings!$C$7/24,IFERROR(DATEVALUE(LEFT($F471,10))+TIMEVALUE(MID($F471,12,8))+Settings!$C$7/24,"")))</f>
        <v/>
      </c>
      <c r="P471" s="106" t="str">
        <f>IF($G471="","",IF(ISNUMBER($G471),$G471+Settings!$C$7/24,IFERROR(DATEVALUE(LEFT($G471,10))+TIMEVALUE(MID($G471,12,8))+Settings!$C$7/24,"")))</f>
        <v/>
      </c>
      <c r="Q471" s="39" t="str">
        <f t="shared" si="127"/>
        <v/>
      </c>
      <c r="R471" s="39" t="str">
        <f t="shared" si="128"/>
        <v/>
      </c>
      <c r="S471" s="107" t="str">
        <f t="shared" si="129"/>
        <v/>
      </c>
      <c r="T471" s="39" t="str">
        <f>IF($C471="","",IF(COUNTIF($C$2:$C471,$C471)=1,1,0))</f>
        <v/>
      </c>
      <c r="U471" s="39" t="str">
        <f>IF($T471=1,COUNTIF($T$2:$T471,1),"")</f>
        <v/>
      </c>
      <c r="V471" s="39" t="str">
        <f>IF($B471="","",IF(COUNTIF($B$2:$B471,$B471)=1,1,0))</f>
        <v/>
      </c>
      <c r="W471" s="39" t="str">
        <f>IF($V471=1,COUNTIF($V$2:$V471,1),"")</f>
        <v/>
      </c>
      <c r="X471" s="39" t="str">
        <f>IF($A471="","",IF(COUNTIF($A$2:$A471,$A471)=1,1,0))</f>
        <v/>
      </c>
      <c r="Y471" s="39" t="str">
        <f>IF($X471=1,COUNTIF($X$2:$X471,1),"")</f>
        <v/>
      </c>
      <c r="Z471" s="39">
        <f>IF(AND($E471="timed",$N471&gt;Settings!$C$8),1,0)</f>
        <v>0</v>
      </c>
      <c r="AA471" s="39">
        <f t="shared" si="130"/>
        <v>0</v>
      </c>
      <c r="AB471" s="39">
        <f t="shared" si="131"/>
        <v>0</v>
      </c>
      <c r="AC471" s="39" t="str">
        <f t="shared" si="132"/>
        <v/>
      </c>
      <c r="AD471" s="39" t="str">
        <f t="shared" si="133"/>
        <v/>
      </c>
      <c r="AE471" s="39" t="str">
        <f t="shared" si="134"/>
        <v/>
      </c>
      <c r="AF471" s="106" t="str">
        <f t="shared" si="135"/>
        <v/>
      </c>
      <c r="AG471" s="39">
        <f t="shared" si="136"/>
        <v>0</v>
      </c>
      <c r="AH471" s="39" t="str">
        <f t="shared" si="137"/>
        <v/>
      </c>
      <c r="AI471" s="39">
        <f>IF(AND($E471="timed",$N471&gt;=Settings!$C$9),1,0)</f>
        <v>0</v>
      </c>
      <c r="AJ471" s="39" t="str">
        <f>IF(OR($S471="",Settings!$C$16=""),"",IF($S471&lt;=Settings!$C$16,1,2))</f>
        <v/>
      </c>
      <c r="AK471" s="39" t="str">
        <f>IF($C471="","",IFERROR(IF(INDEX(Settings!$C$20:$C$59,MATCH($C471,Settings!$B$20:$B$59,0))="",Settings!$C$10,INDEX(Settings!$C$20:$C$59,MATCH($C471,Settings!$B$20:$B$59,0))),Settings!$C$10))</f>
        <v/>
      </c>
      <c r="AL471" s="108">
        <f t="shared" si="138"/>
        <v>0</v>
      </c>
      <c r="AM471" s="39" t="str">
        <f t="shared" si="139"/>
        <v/>
      </c>
      <c r="AN471" s="39" t="str">
        <f t="shared" si="140"/>
        <v/>
      </c>
      <c r="AO471" s="39" t="str">
        <f t="shared" si="141"/>
        <v/>
      </c>
      <c r="AP471" s="39">
        <f t="shared" si="142"/>
        <v>0</v>
      </c>
      <c r="AQ471" s="39">
        <f t="shared" si="143"/>
        <v>0</v>
      </c>
    </row>
    <row r="472" spans="14:43" x14ac:dyDescent="0.25">
      <c r="N472" s="105">
        <f t="shared" si="126"/>
        <v>0</v>
      </c>
      <c r="O472" s="106" t="str">
        <f>IF($F472="","",IF(ISNUMBER($F472),$F472+Settings!$C$7/24,IFERROR(DATEVALUE(LEFT($F472,10))+TIMEVALUE(MID($F472,12,8))+Settings!$C$7/24,"")))</f>
        <v/>
      </c>
      <c r="P472" s="106" t="str">
        <f>IF($G472="","",IF(ISNUMBER($G472),$G472+Settings!$C$7/24,IFERROR(DATEVALUE(LEFT($G472,10))+TIMEVALUE(MID($G472,12,8))+Settings!$C$7/24,"")))</f>
        <v/>
      </c>
      <c r="Q472" s="39" t="str">
        <f t="shared" si="127"/>
        <v/>
      </c>
      <c r="R472" s="39" t="str">
        <f t="shared" si="128"/>
        <v/>
      </c>
      <c r="S472" s="107" t="str">
        <f t="shared" si="129"/>
        <v/>
      </c>
      <c r="T472" s="39" t="str">
        <f>IF($C472="","",IF(COUNTIF($C$2:$C472,$C472)=1,1,0))</f>
        <v/>
      </c>
      <c r="U472" s="39" t="str">
        <f>IF($T472=1,COUNTIF($T$2:$T472,1),"")</f>
        <v/>
      </c>
      <c r="V472" s="39" t="str">
        <f>IF($B472="","",IF(COUNTIF($B$2:$B472,$B472)=1,1,0))</f>
        <v/>
      </c>
      <c r="W472" s="39" t="str">
        <f>IF($V472=1,COUNTIF($V$2:$V472,1),"")</f>
        <v/>
      </c>
      <c r="X472" s="39" t="str">
        <f>IF($A472="","",IF(COUNTIF($A$2:$A472,$A472)=1,1,0))</f>
        <v/>
      </c>
      <c r="Y472" s="39" t="str">
        <f>IF($X472=1,COUNTIF($X$2:$X472,1),"")</f>
        <v/>
      </c>
      <c r="Z472" s="39">
        <f>IF(AND($E472="timed",$N472&gt;Settings!$C$8),1,0)</f>
        <v>0</v>
      </c>
      <c r="AA472" s="39">
        <f t="shared" si="130"/>
        <v>0</v>
      </c>
      <c r="AB472" s="39">
        <f t="shared" si="131"/>
        <v>0</v>
      </c>
      <c r="AC472" s="39" t="str">
        <f t="shared" si="132"/>
        <v/>
      </c>
      <c r="AD472" s="39" t="str">
        <f t="shared" si="133"/>
        <v/>
      </c>
      <c r="AE472" s="39" t="str">
        <f t="shared" si="134"/>
        <v/>
      </c>
      <c r="AF472" s="106" t="str">
        <f t="shared" si="135"/>
        <v/>
      </c>
      <c r="AG472" s="39">
        <f t="shared" si="136"/>
        <v>0</v>
      </c>
      <c r="AH472" s="39" t="str">
        <f t="shared" si="137"/>
        <v/>
      </c>
      <c r="AI472" s="39">
        <f>IF(AND($E472="timed",$N472&gt;=Settings!$C$9),1,0)</f>
        <v>0</v>
      </c>
      <c r="AJ472" s="39" t="str">
        <f>IF(OR($S472="",Settings!$C$16=""),"",IF($S472&lt;=Settings!$C$16,1,2))</f>
        <v/>
      </c>
      <c r="AK472" s="39" t="str">
        <f>IF($C472="","",IFERROR(IF(INDEX(Settings!$C$20:$C$59,MATCH($C472,Settings!$B$20:$B$59,0))="",Settings!$C$10,INDEX(Settings!$C$20:$C$59,MATCH($C472,Settings!$B$20:$B$59,0))),Settings!$C$10))</f>
        <v/>
      </c>
      <c r="AL472" s="108">
        <f t="shared" si="138"/>
        <v>0</v>
      </c>
      <c r="AM472" s="39" t="str">
        <f t="shared" si="139"/>
        <v/>
      </c>
      <c r="AN472" s="39" t="str">
        <f t="shared" si="140"/>
        <v/>
      </c>
      <c r="AO472" s="39" t="str">
        <f t="shared" si="141"/>
        <v/>
      </c>
      <c r="AP472" s="39">
        <f t="shared" si="142"/>
        <v>0</v>
      </c>
      <c r="AQ472" s="39">
        <f t="shared" si="143"/>
        <v>0</v>
      </c>
    </row>
    <row r="473" spans="14:43" x14ac:dyDescent="0.25">
      <c r="N473" s="105">
        <f t="shared" si="126"/>
        <v>0</v>
      </c>
      <c r="O473" s="106" t="str">
        <f>IF($F473="","",IF(ISNUMBER($F473),$F473+Settings!$C$7/24,IFERROR(DATEVALUE(LEFT($F473,10))+TIMEVALUE(MID($F473,12,8))+Settings!$C$7/24,"")))</f>
        <v/>
      </c>
      <c r="P473" s="106" t="str">
        <f>IF($G473="","",IF(ISNUMBER($G473),$G473+Settings!$C$7/24,IFERROR(DATEVALUE(LEFT($G473,10))+TIMEVALUE(MID($G473,12,8))+Settings!$C$7/24,"")))</f>
        <v/>
      </c>
      <c r="Q473" s="39" t="str">
        <f t="shared" si="127"/>
        <v/>
      </c>
      <c r="R473" s="39" t="str">
        <f t="shared" si="128"/>
        <v/>
      </c>
      <c r="S473" s="107" t="str">
        <f t="shared" si="129"/>
        <v/>
      </c>
      <c r="T473" s="39" t="str">
        <f>IF($C473="","",IF(COUNTIF($C$2:$C473,$C473)=1,1,0))</f>
        <v/>
      </c>
      <c r="U473" s="39" t="str">
        <f>IF($T473=1,COUNTIF($T$2:$T473,1),"")</f>
        <v/>
      </c>
      <c r="V473" s="39" t="str">
        <f>IF($B473="","",IF(COUNTIF($B$2:$B473,$B473)=1,1,0))</f>
        <v/>
      </c>
      <c r="W473" s="39" t="str">
        <f>IF($V473=1,COUNTIF($V$2:$V473,1),"")</f>
        <v/>
      </c>
      <c r="X473" s="39" t="str">
        <f>IF($A473="","",IF(COUNTIF($A$2:$A473,$A473)=1,1,0))</f>
        <v/>
      </c>
      <c r="Y473" s="39" t="str">
        <f>IF($X473=1,COUNTIF($X$2:$X473,1),"")</f>
        <v/>
      </c>
      <c r="Z473" s="39">
        <f>IF(AND($E473="timed",$N473&gt;Settings!$C$8),1,0)</f>
        <v>0</v>
      </c>
      <c r="AA473" s="39">
        <f t="shared" si="130"/>
        <v>0</v>
      </c>
      <c r="AB473" s="39">
        <f t="shared" si="131"/>
        <v>0</v>
      </c>
      <c r="AC473" s="39" t="str">
        <f t="shared" si="132"/>
        <v/>
      </c>
      <c r="AD473" s="39" t="str">
        <f t="shared" si="133"/>
        <v/>
      </c>
      <c r="AE473" s="39" t="str">
        <f t="shared" si="134"/>
        <v/>
      </c>
      <c r="AF473" s="106" t="str">
        <f t="shared" si="135"/>
        <v/>
      </c>
      <c r="AG473" s="39">
        <f t="shared" si="136"/>
        <v>0</v>
      </c>
      <c r="AH473" s="39" t="str">
        <f t="shared" si="137"/>
        <v/>
      </c>
      <c r="AI473" s="39">
        <f>IF(AND($E473="timed",$N473&gt;=Settings!$C$9),1,0)</f>
        <v>0</v>
      </c>
      <c r="AJ473" s="39" t="str">
        <f>IF(OR($S473="",Settings!$C$16=""),"",IF($S473&lt;=Settings!$C$16,1,2))</f>
        <v/>
      </c>
      <c r="AK473" s="39" t="str">
        <f>IF($C473="","",IFERROR(IF(INDEX(Settings!$C$20:$C$59,MATCH($C473,Settings!$B$20:$B$59,0))="",Settings!$C$10,INDEX(Settings!$C$20:$C$59,MATCH($C473,Settings!$B$20:$B$59,0))),Settings!$C$10))</f>
        <v/>
      </c>
      <c r="AL473" s="108">
        <f t="shared" si="138"/>
        <v>0</v>
      </c>
      <c r="AM473" s="39" t="str">
        <f t="shared" si="139"/>
        <v/>
      </c>
      <c r="AN473" s="39" t="str">
        <f t="shared" si="140"/>
        <v/>
      </c>
      <c r="AO473" s="39" t="str">
        <f t="shared" si="141"/>
        <v/>
      </c>
      <c r="AP473" s="39">
        <f t="shared" si="142"/>
        <v>0</v>
      </c>
      <c r="AQ473" s="39">
        <f t="shared" si="143"/>
        <v>0</v>
      </c>
    </row>
    <row r="474" spans="14:43" x14ac:dyDescent="0.25">
      <c r="N474" s="105">
        <f t="shared" si="126"/>
        <v>0</v>
      </c>
      <c r="O474" s="106" t="str">
        <f>IF($F474="","",IF(ISNUMBER($F474),$F474+Settings!$C$7/24,IFERROR(DATEVALUE(LEFT($F474,10))+TIMEVALUE(MID($F474,12,8))+Settings!$C$7/24,"")))</f>
        <v/>
      </c>
      <c r="P474" s="106" t="str">
        <f>IF($G474="","",IF(ISNUMBER($G474),$G474+Settings!$C$7/24,IFERROR(DATEVALUE(LEFT($G474,10))+TIMEVALUE(MID($G474,12,8))+Settings!$C$7/24,"")))</f>
        <v/>
      </c>
      <c r="Q474" s="39" t="str">
        <f t="shared" si="127"/>
        <v/>
      </c>
      <c r="R474" s="39" t="str">
        <f t="shared" si="128"/>
        <v/>
      </c>
      <c r="S474" s="107" t="str">
        <f t="shared" si="129"/>
        <v/>
      </c>
      <c r="T474" s="39" t="str">
        <f>IF($C474="","",IF(COUNTIF($C$2:$C474,$C474)=1,1,0))</f>
        <v/>
      </c>
      <c r="U474" s="39" t="str">
        <f>IF($T474=1,COUNTIF($T$2:$T474,1),"")</f>
        <v/>
      </c>
      <c r="V474" s="39" t="str">
        <f>IF($B474="","",IF(COUNTIF($B$2:$B474,$B474)=1,1,0))</f>
        <v/>
      </c>
      <c r="W474" s="39" t="str">
        <f>IF($V474=1,COUNTIF($V$2:$V474,1),"")</f>
        <v/>
      </c>
      <c r="X474" s="39" t="str">
        <f>IF($A474="","",IF(COUNTIF($A$2:$A474,$A474)=1,1,0))</f>
        <v/>
      </c>
      <c r="Y474" s="39" t="str">
        <f>IF($X474=1,COUNTIF($X$2:$X474,1),"")</f>
        <v/>
      </c>
      <c r="Z474" s="39">
        <f>IF(AND($E474="timed",$N474&gt;Settings!$C$8),1,0)</f>
        <v>0</v>
      </c>
      <c r="AA474" s="39">
        <f t="shared" si="130"/>
        <v>0</v>
      </c>
      <c r="AB474" s="39">
        <f t="shared" si="131"/>
        <v>0</v>
      </c>
      <c r="AC474" s="39" t="str">
        <f t="shared" si="132"/>
        <v/>
      </c>
      <c r="AD474" s="39" t="str">
        <f t="shared" si="133"/>
        <v/>
      </c>
      <c r="AE474" s="39" t="str">
        <f t="shared" si="134"/>
        <v/>
      </c>
      <c r="AF474" s="106" t="str">
        <f t="shared" si="135"/>
        <v/>
      </c>
      <c r="AG474" s="39">
        <f t="shared" si="136"/>
        <v>0</v>
      </c>
      <c r="AH474" s="39" t="str">
        <f t="shared" si="137"/>
        <v/>
      </c>
      <c r="AI474" s="39">
        <f>IF(AND($E474="timed",$N474&gt;=Settings!$C$9),1,0)</f>
        <v>0</v>
      </c>
      <c r="AJ474" s="39" t="str">
        <f>IF(OR($S474="",Settings!$C$16=""),"",IF($S474&lt;=Settings!$C$16,1,2))</f>
        <v/>
      </c>
      <c r="AK474" s="39" t="str">
        <f>IF($C474="","",IFERROR(IF(INDEX(Settings!$C$20:$C$59,MATCH($C474,Settings!$B$20:$B$59,0))="",Settings!$C$10,INDEX(Settings!$C$20:$C$59,MATCH($C474,Settings!$B$20:$B$59,0))),Settings!$C$10))</f>
        <v/>
      </c>
      <c r="AL474" s="108">
        <f t="shared" si="138"/>
        <v>0</v>
      </c>
      <c r="AM474" s="39" t="str">
        <f t="shared" si="139"/>
        <v/>
      </c>
      <c r="AN474" s="39" t="str">
        <f t="shared" si="140"/>
        <v/>
      </c>
      <c r="AO474" s="39" t="str">
        <f t="shared" si="141"/>
        <v/>
      </c>
      <c r="AP474" s="39">
        <f t="shared" si="142"/>
        <v>0</v>
      </c>
      <c r="AQ474" s="39">
        <f t="shared" si="143"/>
        <v>0</v>
      </c>
    </row>
    <row r="475" spans="14:43" x14ac:dyDescent="0.25">
      <c r="N475" s="105">
        <f t="shared" si="126"/>
        <v>0</v>
      </c>
      <c r="O475" s="106" t="str">
        <f>IF($F475="","",IF(ISNUMBER($F475),$F475+Settings!$C$7/24,IFERROR(DATEVALUE(LEFT($F475,10))+TIMEVALUE(MID($F475,12,8))+Settings!$C$7/24,"")))</f>
        <v/>
      </c>
      <c r="P475" s="106" t="str">
        <f>IF($G475="","",IF(ISNUMBER($G475),$G475+Settings!$C$7/24,IFERROR(DATEVALUE(LEFT($G475,10))+TIMEVALUE(MID($G475,12,8))+Settings!$C$7/24,"")))</f>
        <v/>
      </c>
      <c r="Q475" s="39" t="str">
        <f t="shared" si="127"/>
        <v/>
      </c>
      <c r="R475" s="39" t="str">
        <f t="shared" si="128"/>
        <v/>
      </c>
      <c r="S475" s="107" t="str">
        <f t="shared" si="129"/>
        <v/>
      </c>
      <c r="T475" s="39" t="str">
        <f>IF($C475="","",IF(COUNTIF($C$2:$C475,$C475)=1,1,0))</f>
        <v/>
      </c>
      <c r="U475" s="39" t="str">
        <f>IF($T475=1,COUNTIF($T$2:$T475,1),"")</f>
        <v/>
      </c>
      <c r="V475" s="39" t="str">
        <f>IF($B475="","",IF(COUNTIF($B$2:$B475,$B475)=1,1,0))</f>
        <v/>
      </c>
      <c r="W475" s="39" t="str">
        <f>IF($V475=1,COUNTIF($V$2:$V475,1),"")</f>
        <v/>
      </c>
      <c r="X475" s="39" t="str">
        <f>IF($A475="","",IF(COUNTIF($A$2:$A475,$A475)=1,1,0))</f>
        <v/>
      </c>
      <c r="Y475" s="39" t="str">
        <f>IF($X475=1,COUNTIF($X$2:$X475,1),"")</f>
        <v/>
      </c>
      <c r="Z475" s="39">
        <f>IF(AND($E475="timed",$N475&gt;Settings!$C$8),1,0)</f>
        <v>0</v>
      </c>
      <c r="AA475" s="39">
        <f t="shared" si="130"/>
        <v>0</v>
      </c>
      <c r="AB475" s="39">
        <f t="shared" si="131"/>
        <v>0</v>
      </c>
      <c r="AC475" s="39" t="str">
        <f t="shared" si="132"/>
        <v/>
      </c>
      <c r="AD475" s="39" t="str">
        <f t="shared" si="133"/>
        <v/>
      </c>
      <c r="AE475" s="39" t="str">
        <f t="shared" si="134"/>
        <v/>
      </c>
      <c r="AF475" s="106" t="str">
        <f t="shared" si="135"/>
        <v/>
      </c>
      <c r="AG475" s="39">
        <f t="shared" si="136"/>
        <v>0</v>
      </c>
      <c r="AH475" s="39" t="str">
        <f t="shared" si="137"/>
        <v/>
      </c>
      <c r="AI475" s="39">
        <f>IF(AND($E475="timed",$N475&gt;=Settings!$C$9),1,0)</f>
        <v>0</v>
      </c>
      <c r="AJ475" s="39" t="str">
        <f>IF(OR($S475="",Settings!$C$16=""),"",IF($S475&lt;=Settings!$C$16,1,2))</f>
        <v/>
      </c>
      <c r="AK475" s="39" t="str">
        <f>IF($C475="","",IFERROR(IF(INDEX(Settings!$C$20:$C$59,MATCH($C475,Settings!$B$20:$B$59,0))="",Settings!$C$10,INDEX(Settings!$C$20:$C$59,MATCH($C475,Settings!$B$20:$B$59,0))),Settings!$C$10))</f>
        <v/>
      </c>
      <c r="AL475" s="108">
        <f t="shared" si="138"/>
        <v>0</v>
      </c>
      <c r="AM475" s="39" t="str">
        <f t="shared" si="139"/>
        <v/>
      </c>
      <c r="AN475" s="39" t="str">
        <f t="shared" si="140"/>
        <v/>
      </c>
      <c r="AO475" s="39" t="str">
        <f t="shared" si="141"/>
        <v/>
      </c>
      <c r="AP475" s="39">
        <f t="shared" si="142"/>
        <v>0</v>
      </c>
      <c r="AQ475" s="39">
        <f t="shared" si="143"/>
        <v>0</v>
      </c>
    </row>
    <row r="476" spans="14:43" x14ac:dyDescent="0.25">
      <c r="N476" s="105">
        <f t="shared" si="126"/>
        <v>0</v>
      </c>
      <c r="O476" s="106" t="str">
        <f>IF($F476="","",IF(ISNUMBER($F476),$F476+Settings!$C$7/24,IFERROR(DATEVALUE(LEFT($F476,10))+TIMEVALUE(MID($F476,12,8))+Settings!$C$7/24,"")))</f>
        <v/>
      </c>
      <c r="P476" s="106" t="str">
        <f>IF($G476="","",IF(ISNUMBER($G476),$G476+Settings!$C$7/24,IFERROR(DATEVALUE(LEFT($G476,10))+TIMEVALUE(MID($G476,12,8))+Settings!$C$7/24,"")))</f>
        <v/>
      </c>
      <c r="Q476" s="39" t="str">
        <f t="shared" si="127"/>
        <v/>
      </c>
      <c r="R476" s="39" t="str">
        <f t="shared" si="128"/>
        <v/>
      </c>
      <c r="S476" s="107" t="str">
        <f t="shared" si="129"/>
        <v/>
      </c>
      <c r="T476" s="39" t="str">
        <f>IF($C476="","",IF(COUNTIF($C$2:$C476,$C476)=1,1,0))</f>
        <v/>
      </c>
      <c r="U476" s="39" t="str">
        <f>IF($T476=1,COUNTIF($T$2:$T476,1),"")</f>
        <v/>
      </c>
      <c r="V476" s="39" t="str">
        <f>IF($B476="","",IF(COUNTIF($B$2:$B476,$B476)=1,1,0))</f>
        <v/>
      </c>
      <c r="W476" s="39" t="str">
        <f>IF($V476=1,COUNTIF($V$2:$V476,1),"")</f>
        <v/>
      </c>
      <c r="X476" s="39" t="str">
        <f>IF($A476="","",IF(COUNTIF($A$2:$A476,$A476)=1,1,0))</f>
        <v/>
      </c>
      <c r="Y476" s="39" t="str">
        <f>IF($X476=1,COUNTIF($X$2:$X476,1),"")</f>
        <v/>
      </c>
      <c r="Z476" s="39">
        <f>IF(AND($E476="timed",$N476&gt;Settings!$C$8),1,0)</f>
        <v>0</v>
      </c>
      <c r="AA476" s="39">
        <f t="shared" si="130"/>
        <v>0</v>
      </c>
      <c r="AB476" s="39">
        <f t="shared" si="131"/>
        <v>0</v>
      </c>
      <c r="AC476" s="39" t="str">
        <f t="shared" si="132"/>
        <v/>
      </c>
      <c r="AD476" s="39" t="str">
        <f t="shared" si="133"/>
        <v/>
      </c>
      <c r="AE476" s="39" t="str">
        <f t="shared" si="134"/>
        <v/>
      </c>
      <c r="AF476" s="106" t="str">
        <f t="shared" si="135"/>
        <v/>
      </c>
      <c r="AG476" s="39">
        <f t="shared" si="136"/>
        <v>0</v>
      </c>
      <c r="AH476" s="39" t="str">
        <f t="shared" si="137"/>
        <v/>
      </c>
      <c r="AI476" s="39">
        <f>IF(AND($E476="timed",$N476&gt;=Settings!$C$9),1,0)</f>
        <v>0</v>
      </c>
      <c r="AJ476" s="39" t="str">
        <f>IF(OR($S476="",Settings!$C$16=""),"",IF($S476&lt;=Settings!$C$16,1,2))</f>
        <v/>
      </c>
      <c r="AK476" s="39" t="str">
        <f>IF($C476="","",IFERROR(IF(INDEX(Settings!$C$20:$C$59,MATCH($C476,Settings!$B$20:$B$59,0))="",Settings!$C$10,INDEX(Settings!$C$20:$C$59,MATCH($C476,Settings!$B$20:$B$59,0))),Settings!$C$10))</f>
        <v/>
      </c>
      <c r="AL476" s="108">
        <f t="shared" si="138"/>
        <v>0</v>
      </c>
      <c r="AM476" s="39" t="str">
        <f t="shared" si="139"/>
        <v/>
      </c>
      <c r="AN476" s="39" t="str">
        <f t="shared" si="140"/>
        <v/>
      </c>
      <c r="AO476" s="39" t="str">
        <f t="shared" si="141"/>
        <v/>
      </c>
      <c r="AP476" s="39">
        <f t="shared" si="142"/>
        <v>0</v>
      </c>
      <c r="AQ476" s="39">
        <f t="shared" si="143"/>
        <v>0</v>
      </c>
    </row>
    <row r="477" spans="14:43" x14ac:dyDescent="0.25">
      <c r="N477" s="105">
        <f t="shared" si="126"/>
        <v>0</v>
      </c>
      <c r="O477" s="106" t="str">
        <f>IF($F477="","",IF(ISNUMBER($F477),$F477+Settings!$C$7/24,IFERROR(DATEVALUE(LEFT($F477,10))+TIMEVALUE(MID($F477,12,8))+Settings!$C$7/24,"")))</f>
        <v/>
      </c>
      <c r="P477" s="106" t="str">
        <f>IF($G477="","",IF(ISNUMBER($G477),$G477+Settings!$C$7/24,IFERROR(DATEVALUE(LEFT($G477,10))+TIMEVALUE(MID($G477,12,8))+Settings!$C$7/24,"")))</f>
        <v/>
      </c>
      <c r="Q477" s="39" t="str">
        <f t="shared" si="127"/>
        <v/>
      </c>
      <c r="R477" s="39" t="str">
        <f t="shared" si="128"/>
        <v/>
      </c>
      <c r="S477" s="107" t="str">
        <f t="shared" si="129"/>
        <v/>
      </c>
      <c r="T477" s="39" t="str">
        <f>IF($C477="","",IF(COUNTIF($C$2:$C477,$C477)=1,1,0))</f>
        <v/>
      </c>
      <c r="U477" s="39" t="str">
        <f>IF($T477=1,COUNTIF($T$2:$T477,1),"")</f>
        <v/>
      </c>
      <c r="V477" s="39" t="str">
        <f>IF($B477="","",IF(COUNTIF($B$2:$B477,$B477)=1,1,0))</f>
        <v/>
      </c>
      <c r="W477" s="39" t="str">
        <f>IF($V477=1,COUNTIF($V$2:$V477,1),"")</f>
        <v/>
      </c>
      <c r="X477" s="39" t="str">
        <f>IF($A477="","",IF(COUNTIF($A$2:$A477,$A477)=1,1,0))</f>
        <v/>
      </c>
      <c r="Y477" s="39" t="str">
        <f>IF($X477=1,COUNTIF($X$2:$X477,1),"")</f>
        <v/>
      </c>
      <c r="Z477" s="39">
        <f>IF(AND($E477="timed",$N477&gt;Settings!$C$8),1,0)</f>
        <v>0</v>
      </c>
      <c r="AA477" s="39">
        <f t="shared" si="130"/>
        <v>0</v>
      </c>
      <c r="AB477" s="39">
        <f t="shared" si="131"/>
        <v>0</v>
      </c>
      <c r="AC477" s="39" t="str">
        <f t="shared" si="132"/>
        <v/>
      </c>
      <c r="AD477" s="39" t="str">
        <f t="shared" si="133"/>
        <v/>
      </c>
      <c r="AE477" s="39" t="str">
        <f t="shared" si="134"/>
        <v/>
      </c>
      <c r="AF477" s="106" t="str">
        <f t="shared" si="135"/>
        <v/>
      </c>
      <c r="AG477" s="39">
        <f t="shared" si="136"/>
        <v>0</v>
      </c>
      <c r="AH477" s="39" t="str">
        <f t="shared" si="137"/>
        <v/>
      </c>
      <c r="AI477" s="39">
        <f>IF(AND($E477="timed",$N477&gt;=Settings!$C$9),1,0)</f>
        <v>0</v>
      </c>
      <c r="AJ477" s="39" t="str">
        <f>IF(OR($S477="",Settings!$C$16=""),"",IF($S477&lt;=Settings!$C$16,1,2))</f>
        <v/>
      </c>
      <c r="AK477" s="39" t="str">
        <f>IF($C477="","",IFERROR(IF(INDEX(Settings!$C$20:$C$59,MATCH($C477,Settings!$B$20:$B$59,0))="",Settings!$C$10,INDEX(Settings!$C$20:$C$59,MATCH($C477,Settings!$B$20:$B$59,0))),Settings!$C$10))</f>
        <v/>
      </c>
      <c r="AL477" s="108">
        <f t="shared" si="138"/>
        <v>0</v>
      </c>
      <c r="AM477" s="39" t="str">
        <f t="shared" si="139"/>
        <v/>
      </c>
      <c r="AN477" s="39" t="str">
        <f t="shared" si="140"/>
        <v/>
      </c>
      <c r="AO477" s="39" t="str">
        <f t="shared" si="141"/>
        <v/>
      </c>
      <c r="AP477" s="39">
        <f t="shared" si="142"/>
        <v>0</v>
      </c>
      <c r="AQ477" s="39">
        <f t="shared" si="143"/>
        <v>0</v>
      </c>
    </row>
    <row r="478" spans="14:43" x14ac:dyDescent="0.25">
      <c r="N478" s="105">
        <f t="shared" si="126"/>
        <v>0</v>
      </c>
      <c r="O478" s="106" t="str">
        <f>IF($F478="","",IF(ISNUMBER($F478),$F478+Settings!$C$7/24,IFERROR(DATEVALUE(LEFT($F478,10))+TIMEVALUE(MID($F478,12,8))+Settings!$C$7/24,"")))</f>
        <v/>
      </c>
      <c r="P478" s="106" t="str">
        <f>IF($G478="","",IF(ISNUMBER($G478),$G478+Settings!$C$7/24,IFERROR(DATEVALUE(LEFT($G478,10))+TIMEVALUE(MID($G478,12,8))+Settings!$C$7/24,"")))</f>
        <v/>
      </c>
      <c r="Q478" s="39" t="str">
        <f t="shared" si="127"/>
        <v/>
      </c>
      <c r="R478" s="39" t="str">
        <f t="shared" si="128"/>
        <v/>
      </c>
      <c r="S478" s="107" t="str">
        <f t="shared" si="129"/>
        <v/>
      </c>
      <c r="T478" s="39" t="str">
        <f>IF($C478="","",IF(COUNTIF($C$2:$C478,$C478)=1,1,0))</f>
        <v/>
      </c>
      <c r="U478" s="39" t="str">
        <f>IF($T478=1,COUNTIF($T$2:$T478,1),"")</f>
        <v/>
      </c>
      <c r="V478" s="39" t="str">
        <f>IF($B478="","",IF(COUNTIF($B$2:$B478,$B478)=1,1,0))</f>
        <v/>
      </c>
      <c r="W478" s="39" t="str">
        <f>IF($V478=1,COUNTIF($V$2:$V478,1),"")</f>
        <v/>
      </c>
      <c r="X478" s="39" t="str">
        <f>IF($A478="","",IF(COUNTIF($A$2:$A478,$A478)=1,1,0))</f>
        <v/>
      </c>
      <c r="Y478" s="39" t="str">
        <f>IF($X478=1,COUNTIF($X$2:$X478,1),"")</f>
        <v/>
      </c>
      <c r="Z478" s="39">
        <f>IF(AND($E478="timed",$N478&gt;Settings!$C$8),1,0)</f>
        <v>0</v>
      </c>
      <c r="AA478" s="39">
        <f t="shared" si="130"/>
        <v>0</v>
      </c>
      <c r="AB478" s="39">
        <f t="shared" si="131"/>
        <v>0</v>
      </c>
      <c r="AC478" s="39" t="str">
        <f t="shared" si="132"/>
        <v/>
      </c>
      <c r="AD478" s="39" t="str">
        <f t="shared" si="133"/>
        <v/>
      </c>
      <c r="AE478" s="39" t="str">
        <f t="shared" si="134"/>
        <v/>
      </c>
      <c r="AF478" s="106" t="str">
        <f t="shared" si="135"/>
        <v/>
      </c>
      <c r="AG478" s="39">
        <f t="shared" si="136"/>
        <v>0</v>
      </c>
      <c r="AH478" s="39" t="str">
        <f t="shared" si="137"/>
        <v/>
      </c>
      <c r="AI478" s="39">
        <f>IF(AND($E478="timed",$N478&gt;=Settings!$C$9),1,0)</f>
        <v>0</v>
      </c>
      <c r="AJ478" s="39" t="str">
        <f>IF(OR($S478="",Settings!$C$16=""),"",IF($S478&lt;=Settings!$C$16,1,2))</f>
        <v/>
      </c>
      <c r="AK478" s="39" t="str">
        <f>IF($C478="","",IFERROR(IF(INDEX(Settings!$C$20:$C$59,MATCH($C478,Settings!$B$20:$B$59,0))="",Settings!$C$10,INDEX(Settings!$C$20:$C$59,MATCH($C478,Settings!$B$20:$B$59,0))),Settings!$C$10))</f>
        <v/>
      </c>
      <c r="AL478" s="108">
        <f t="shared" si="138"/>
        <v>0</v>
      </c>
      <c r="AM478" s="39" t="str">
        <f t="shared" si="139"/>
        <v/>
      </c>
      <c r="AN478" s="39" t="str">
        <f t="shared" si="140"/>
        <v/>
      </c>
      <c r="AO478" s="39" t="str">
        <f t="shared" si="141"/>
        <v/>
      </c>
      <c r="AP478" s="39">
        <f t="shared" si="142"/>
        <v>0</v>
      </c>
      <c r="AQ478" s="39">
        <f t="shared" si="143"/>
        <v>0</v>
      </c>
    </row>
    <row r="479" spans="14:43" x14ac:dyDescent="0.25">
      <c r="N479" s="105">
        <f t="shared" si="126"/>
        <v>0</v>
      </c>
      <c r="O479" s="106" t="str">
        <f>IF($F479="","",IF(ISNUMBER($F479),$F479+Settings!$C$7/24,IFERROR(DATEVALUE(LEFT($F479,10))+TIMEVALUE(MID($F479,12,8))+Settings!$C$7/24,"")))</f>
        <v/>
      </c>
      <c r="P479" s="106" t="str">
        <f>IF($G479="","",IF(ISNUMBER($G479),$G479+Settings!$C$7/24,IFERROR(DATEVALUE(LEFT($G479,10))+TIMEVALUE(MID($G479,12,8))+Settings!$C$7/24,"")))</f>
        <v/>
      </c>
      <c r="Q479" s="39" t="str">
        <f t="shared" si="127"/>
        <v/>
      </c>
      <c r="R479" s="39" t="str">
        <f t="shared" si="128"/>
        <v/>
      </c>
      <c r="S479" s="107" t="str">
        <f t="shared" si="129"/>
        <v/>
      </c>
      <c r="T479" s="39" t="str">
        <f>IF($C479="","",IF(COUNTIF($C$2:$C479,$C479)=1,1,0))</f>
        <v/>
      </c>
      <c r="U479" s="39" t="str">
        <f>IF($T479=1,COUNTIF($T$2:$T479,1),"")</f>
        <v/>
      </c>
      <c r="V479" s="39" t="str">
        <f>IF($B479="","",IF(COUNTIF($B$2:$B479,$B479)=1,1,0))</f>
        <v/>
      </c>
      <c r="W479" s="39" t="str">
        <f>IF($V479=1,COUNTIF($V$2:$V479,1),"")</f>
        <v/>
      </c>
      <c r="X479" s="39" t="str">
        <f>IF($A479="","",IF(COUNTIF($A$2:$A479,$A479)=1,1,0))</f>
        <v/>
      </c>
      <c r="Y479" s="39" t="str">
        <f>IF($X479=1,COUNTIF($X$2:$X479,1),"")</f>
        <v/>
      </c>
      <c r="Z479" s="39">
        <f>IF(AND($E479="timed",$N479&gt;Settings!$C$8),1,0)</f>
        <v>0</v>
      </c>
      <c r="AA479" s="39">
        <f t="shared" si="130"/>
        <v>0</v>
      </c>
      <c r="AB479" s="39">
        <f t="shared" si="131"/>
        <v>0</v>
      </c>
      <c r="AC479" s="39" t="str">
        <f t="shared" si="132"/>
        <v/>
      </c>
      <c r="AD479" s="39" t="str">
        <f t="shared" si="133"/>
        <v/>
      </c>
      <c r="AE479" s="39" t="str">
        <f t="shared" si="134"/>
        <v/>
      </c>
      <c r="AF479" s="106" t="str">
        <f t="shared" si="135"/>
        <v/>
      </c>
      <c r="AG479" s="39">
        <f t="shared" si="136"/>
        <v>0</v>
      </c>
      <c r="AH479" s="39" t="str">
        <f t="shared" si="137"/>
        <v/>
      </c>
      <c r="AI479" s="39">
        <f>IF(AND($E479="timed",$N479&gt;=Settings!$C$9),1,0)</f>
        <v>0</v>
      </c>
      <c r="AJ479" s="39" t="str">
        <f>IF(OR($S479="",Settings!$C$16=""),"",IF($S479&lt;=Settings!$C$16,1,2))</f>
        <v/>
      </c>
      <c r="AK479" s="39" t="str">
        <f>IF($C479="","",IFERROR(IF(INDEX(Settings!$C$20:$C$59,MATCH($C479,Settings!$B$20:$B$59,0))="",Settings!$C$10,INDEX(Settings!$C$20:$C$59,MATCH($C479,Settings!$B$20:$B$59,0))),Settings!$C$10))</f>
        <v/>
      </c>
      <c r="AL479" s="108">
        <f t="shared" si="138"/>
        <v>0</v>
      </c>
      <c r="AM479" s="39" t="str">
        <f t="shared" si="139"/>
        <v/>
      </c>
      <c r="AN479" s="39" t="str">
        <f t="shared" si="140"/>
        <v/>
      </c>
      <c r="AO479" s="39" t="str">
        <f t="shared" si="141"/>
        <v/>
      </c>
      <c r="AP479" s="39">
        <f t="shared" si="142"/>
        <v>0</v>
      </c>
      <c r="AQ479" s="39">
        <f t="shared" si="143"/>
        <v>0</v>
      </c>
    </row>
    <row r="480" spans="14:43" x14ac:dyDescent="0.25">
      <c r="N480" s="105">
        <f t="shared" si="126"/>
        <v>0</v>
      </c>
      <c r="O480" s="106" t="str">
        <f>IF($F480="","",IF(ISNUMBER($F480),$F480+Settings!$C$7/24,IFERROR(DATEVALUE(LEFT($F480,10))+TIMEVALUE(MID($F480,12,8))+Settings!$C$7/24,"")))</f>
        <v/>
      </c>
      <c r="P480" s="106" t="str">
        <f>IF($G480="","",IF(ISNUMBER($G480),$G480+Settings!$C$7/24,IFERROR(DATEVALUE(LEFT($G480,10))+TIMEVALUE(MID($G480,12,8))+Settings!$C$7/24,"")))</f>
        <v/>
      </c>
      <c r="Q480" s="39" t="str">
        <f t="shared" si="127"/>
        <v/>
      </c>
      <c r="R480" s="39" t="str">
        <f t="shared" si="128"/>
        <v/>
      </c>
      <c r="S480" s="107" t="str">
        <f t="shared" si="129"/>
        <v/>
      </c>
      <c r="T480" s="39" t="str">
        <f>IF($C480="","",IF(COUNTIF($C$2:$C480,$C480)=1,1,0))</f>
        <v/>
      </c>
      <c r="U480" s="39" t="str">
        <f>IF($T480=1,COUNTIF($T$2:$T480,1),"")</f>
        <v/>
      </c>
      <c r="V480" s="39" t="str">
        <f>IF($B480="","",IF(COUNTIF($B$2:$B480,$B480)=1,1,0))</f>
        <v/>
      </c>
      <c r="W480" s="39" t="str">
        <f>IF($V480=1,COUNTIF($V$2:$V480,1),"")</f>
        <v/>
      </c>
      <c r="X480" s="39" t="str">
        <f>IF($A480="","",IF(COUNTIF($A$2:$A480,$A480)=1,1,0))</f>
        <v/>
      </c>
      <c r="Y480" s="39" t="str">
        <f>IF($X480=1,COUNTIF($X$2:$X480,1),"")</f>
        <v/>
      </c>
      <c r="Z480" s="39">
        <f>IF(AND($E480="timed",$N480&gt;Settings!$C$8),1,0)</f>
        <v>0</v>
      </c>
      <c r="AA480" s="39">
        <f t="shared" si="130"/>
        <v>0</v>
      </c>
      <c r="AB480" s="39">
        <f t="shared" si="131"/>
        <v>0</v>
      </c>
      <c r="AC480" s="39" t="str">
        <f t="shared" si="132"/>
        <v/>
      </c>
      <c r="AD480" s="39" t="str">
        <f t="shared" si="133"/>
        <v/>
      </c>
      <c r="AE480" s="39" t="str">
        <f t="shared" si="134"/>
        <v/>
      </c>
      <c r="AF480" s="106" t="str">
        <f t="shared" si="135"/>
        <v/>
      </c>
      <c r="AG480" s="39">
        <f t="shared" si="136"/>
        <v>0</v>
      </c>
      <c r="AH480" s="39" t="str">
        <f t="shared" si="137"/>
        <v/>
      </c>
      <c r="AI480" s="39">
        <f>IF(AND($E480="timed",$N480&gt;=Settings!$C$9),1,0)</f>
        <v>0</v>
      </c>
      <c r="AJ480" s="39" t="str">
        <f>IF(OR($S480="",Settings!$C$16=""),"",IF($S480&lt;=Settings!$C$16,1,2))</f>
        <v/>
      </c>
      <c r="AK480" s="39" t="str">
        <f>IF($C480="","",IFERROR(IF(INDEX(Settings!$C$20:$C$59,MATCH($C480,Settings!$B$20:$B$59,0))="",Settings!$C$10,INDEX(Settings!$C$20:$C$59,MATCH($C480,Settings!$B$20:$B$59,0))),Settings!$C$10))</f>
        <v/>
      </c>
      <c r="AL480" s="108">
        <f t="shared" si="138"/>
        <v>0</v>
      </c>
      <c r="AM480" s="39" t="str">
        <f t="shared" si="139"/>
        <v/>
      </c>
      <c r="AN480" s="39" t="str">
        <f t="shared" si="140"/>
        <v/>
      </c>
      <c r="AO480" s="39" t="str">
        <f t="shared" si="141"/>
        <v/>
      </c>
      <c r="AP480" s="39">
        <f t="shared" si="142"/>
        <v>0</v>
      </c>
      <c r="AQ480" s="39">
        <f t="shared" si="143"/>
        <v>0</v>
      </c>
    </row>
    <row r="481" spans="14:43" x14ac:dyDescent="0.25">
      <c r="N481" s="105">
        <f t="shared" si="126"/>
        <v>0</v>
      </c>
      <c r="O481" s="106" t="str">
        <f>IF($F481="","",IF(ISNUMBER($F481),$F481+Settings!$C$7/24,IFERROR(DATEVALUE(LEFT($F481,10))+TIMEVALUE(MID($F481,12,8))+Settings!$C$7/24,"")))</f>
        <v/>
      </c>
      <c r="P481" s="106" t="str">
        <f>IF($G481="","",IF(ISNUMBER($G481),$G481+Settings!$C$7/24,IFERROR(DATEVALUE(LEFT($G481,10))+TIMEVALUE(MID($G481,12,8))+Settings!$C$7/24,"")))</f>
        <v/>
      </c>
      <c r="Q481" s="39" t="str">
        <f t="shared" si="127"/>
        <v/>
      </c>
      <c r="R481" s="39" t="str">
        <f t="shared" si="128"/>
        <v/>
      </c>
      <c r="S481" s="107" t="str">
        <f t="shared" si="129"/>
        <v/>
      </c>
      <c r="T481" s="39" t="str">
        <f>IF($C481="","",IF(COUNTIF($C$2:$C481,$C481)=1,1,0))</f>
        <v/>
      </c>
      <c r="U481" s="39" t="str">
        <f>IF($T481=1,COUNTIF($T$2:$T481,1),"")</f>
        <v/>
      </c>
      <c r="V481" s="39" t="str">
        <f>IF($B481="","",IF(COUNTIF($B$2:$B481,$B481)=1,1,0))</f>
        <v/>
      </c>
      <c r="W481" s="39" t="str">
        <f>IF($V481=1,COUNTIF($V$2:$V481,1),"")</f>
        <v/>
      </c>
      <c r="X481" s="39" t="str">
        <f>IF($A481="","",IF(COUNTIF($A$2:$A481,$A481)=1,1,0))</f>
        <v/>
      </c>
      <c r="Y481" s="39" t="str">
        <f>IF($X481=1,COUNTIF($X$2:$X481,1),"")</f>
        <v/>
      </c>
      <c r="Z481" s="39">
        <f>IF(AND($E481="timed",$N481&gt;Settings!$C$8),1,0)</f>
        <v>0</v>
      </c>
      <c r="AA481" s="39">
        <f t="shared" si="130"/>
        <v>0</v>
      </c>
      <c r="AB481" s="39">
        <f t="shared" si="131"/>
        <v>0</v>
      </c>
      <c r="AC481" s="39" t="str">
        <f t="shared" si="132"/>
        <v/>
      </c>
      <c r="AD481" s="39" t="str">
        <f t="shared" si="133"/>
        <v/>
      </c>
      <c r="AE481" s="39" t="str">
        <f t="shared" si="134"/>
        <v/>
      </c>
      <c r="AF481" s="106" t="str">
        <f t="shared" si="135"/>
        <v/>
      </c>
      <c r="AG481" s="39">
        <f t="shared" si="136"/>
        <v>0</v>
      </c>
      <c r="AH481" s="39" t="str">
        <f t="shared" si="137"/>
        <v/>
      </c>
      <c r="AI481" s="39">
        <f>IF(AND($E481="timed",$N481&gt;=Settings!$C$9),1,0)</f>
        <v>0</v>
      </c>
      <c r="AJ481" s="39" t="str">
        <f>IF(OR($S481="",Settings!$C$16=""),"",IF($S481&lt;=Settings!$C$16,1,2))</f>
        <v/>
      </c>
      <c r="AK481" s="39" t="str">
        <f>IF($C481="","",IFERROR(IF(INDEX(Settings!$C$20:$C$59,MATCH($C481,Settings!$B$20:$B$59,0))="",Settings!$C$10,INDEX(Settings!$C$20:$C$59,MATCH($C481,Settings!$B$20:$B$59,0))),Settings!$C$10))</f>
        <v/>
      </c>
      <c r="AL481" s="108">
        <f t="shared" si="138"/>
        <v>0</v>
      </c>
      <c r="AM481" s="39" t="str">
        <f t="shared" si="139"/>
        <v/>
      </c>
      <c r="AN481" s="39" t="str">
        <f t="shared" si="140"/>
        <v/>
      </c>
      <c r="AO481" s="39" t="str">
        <f t="shared" si="141"/>
        <v/>
      </c>
      <c r="AP481" s="39">
        <f t="shared" si="142"/>
        <v>0</v>
      </c>
      <c r="AQ481" s="39">
        <f t="shared" si="143"/>
        <v>0</v>
      </c>
    </row>
    <row r="482" spans="14:43" x14ac:dyDescent="0.25">
      <c r="N482" s="105">
        <f t="shared" si="126"/>
        <v>0</v>
      </c>
      <c r="O482" s="106" t="str">
        <f>IF($F482="","",IF(ISNUMBER($F482),$F482+Settings!$C$7/24,IFERROR(DATEVALUE(LEFT($F482,10))+TIMEVALUE(MID($F482,12,8))+Settings!$C$7/24,"")))</f>
        <v/>
      </c>
      <c r="P482" s="106" t="str">
        <f>IF($G482="","",IF(ISNUMBER($G482),$G482+Settings!$C$7/24,IFERROR(DATEVALUE(LEFT($G482,10))+TIMEVALUE(MID($G482,12,8))+Settings!$C$7/24,"")))</f>
        <v/>
      </c>
      <c r="Q482" s="39" t="str">
        <f t="shared" si="127"/>
        <v/>
      </c>
      <c r="R482" s="39" t="str">
        <f t="shared" si="128"/>
        <v/>
      </c>
      <c r="S482" s="107" t="str">
        <f t="shared" si="129"/>
        <v/>
      </c>
      <c r="T482" s="39" t="str">
        <f>IF($C482="","",IF(COUNTIF($C$2:$C482,$C482)=1,1,0))</f>
        <v/>
      </c>
      <c r="U482" s="39" t="str">
        <f>IF($T482=1,COUNTIF($T$2:$T482,1),"")</f>
        <v/>
      </c>
      <c r="V482" s="39" t="str">
        <f>IF($B482="","",IF(COUNTIF($B$2:$B482,$B482)=1,1,0))</f>
        <v/>
      </c>
      <c r="W482" s="39" t="str">
        <f>IF($V482=1,COUNTIF($V$2:$V482,1),"")</f>
        <v/>
      </c>
      <c r="X482" s="39" t="str">
        <f>IF($A482="","",IF(COUNTIF($A$2:$A482,$A482)=1,1,0))</f>
        <v/>
      </c>
      <c r="Y482" s="39" t="str">
        <f>IF($X482=1,COUNTIF($X$2:$X482,1),"")</f>
        <v/>
      </c>
      <c r="Z482" s="39">
        <f>IF(AND($E482="timed",$N482&gt;Settings!$C$8),1,0)</f>
        <v>0</v>
      </c>
      <c r="AA482" s="39">
        <f t="shared" si="130"/>
        <v>0</v>
      </c>
      <c r="AB482" s="39">
        <f t="shared" si="131"/>
        <v>0</v>
      </c>
      <c r="AC482" s="39" t="str">
        <f t="shared" si="132"/>
        <v/>
      </c>
      <c r="AD482" s="39" t="str">
        <f t="shared" si="133"/>
        <v/>
      </c>
      <c r="AE482" s="39" t="str">
        <f t="shared" si="134"/>
        <v/>
      </c>
      <c r="AF482" s="106" t="str">
        <f t="shared" si="135"/>
        <v/>
      </c>
      <c r="AG482" s="39">
        <f t="shared" si="136"/>
        <v>0</v>
      </c>
      <c r="AH482" s="39" t="str">
        <f t="shared" si="137"/>
        <v/>
      </c>
      <c r="AI482" s="39">
        <f>IF(AND($E482="timed",$N482&gt;=Settings!$C$9),1,0)</f>
        <v>0</v>
      </c>
      <c r="AJ482" s="39" t="str">
        <f>IF(OR($S482="",Settings!$C$16=""),"",IF($S482&lt;=Settings!$C$16,1,2))</f>
        <v/>
      </c>
      <c r="AK482" s="39" t="str">
        <f>IF($C482="","",IFERROR(IF(INDEX(Settings!$C$20:$C$59,MATCH($C482,Settings!$B$20:$B$59,0))="",Settings!$C$10,INDEX(Settings!$C$20:$C$59,MATCH($C482,Settings!$B$20:$B$59,0))),Settings!$C$10))</f>
        <v/>
      </c>
      <c r="AL482" s="108">
        <f t="shared" si="138"/>
        <v>0</v>
      </c>
      <c r="AM482" s="39" t="str">
        <f t="shared" si="139"/>
        <v/>
      </c>
      <c r="AN482" s="39" t="str">
        <f t="shared" si="140"/>
        <v/>
      </c>
      <c r="AO482" s="39" t="str">
        <f t="shared" si="141"/>
        <v/>
      </c>
      <c r="AP482" s="39">
        <f t="shared" si="142"/>
        <v>0</v>
      </c>
      <c r="AQ482" s="39">
        <f t="shared" si="143"/>
        <v>0</v>
      </c>
    </row>
    <row r="483" spans="14:43" x14ac:dyDescent="0.25">
      <c r="N483" s="105">
        <f t="shared" si="126"/>
        <v>0</v>
      </c>
      <c r="O483" s="106" t="str">
        <f>IF($F483="","",IF(ISNUMBER($F483),$F483+Settings!$C$7/24,IFERROR(DATEVALUE(LEFT($F483,10))+TIMEVALUE(MID($F483,12,8))+Settings!$C$7/24,"")))</f>
        <v/>
      </c>
      <c r="P483" s="106" t="str">
        <f>IF($G483="","",IF(ISNUMBER($G483),$G483+Settings!$C$7/24,IFERROR(DATEVALUE(LEFT($G483,10))+TIMEVALUE(MID($G483,12,8))+Settings!$C$7/24,"")))</f>
        <v/>
      </c>
      <c r="Q483" s="39" t="str">
        <f t="shared" si="127"/>
        <v/>
      </c>
      <c r="R483" s="39" t="str">
        <f t="shared" si="128"/>
        <v/>
      </c>
      <c r="S483" s="107" t="str">
        <f t="shared" si="129"/>
        <v/>
      </c>
      <c r="T483" s="39" t="str">
        <f>IF($C483="","",IF(COUNTIF($C$2:$C483,$C483)=1,1,0))</f>
        <v/>
      </c>
      <c r="U483" s="39" t="str">
        <f>IF($T483=1,COUNTIF($T$2:$T483,1),"")</f>
        <v/>
      </c>
      <c r="V483" s="39" t="str">
        <f>IF($B483="","",IF(COUNTIF($B$2:$B483,$B483)=1,1,0))</f>
        <v/>
      </c>
      <c r="W483" s="39" t="str">
        <f>IF($V483=1,COUNTIF($V$2:$V483,1),"")</f>
        <v/>
      </c>
      <c r="X483" s="39" t="str">
        <f>IF($A483="","",IF(COUNTIF($A$2:$A483,$A483)=1,1,0))</f>
        <v/>
      </c>
      <c r="Y483" s="39" t="str">
        <f>IF($X483=1,COUNTIF($X$2:$X483,1),"")</f>
        <v/>
      </c>
      <c r="Z483" s="39">
        <f>IF(AND($E483="timed",$N483&gt;Settings!$C$8),1,0)</f>
        <v>0</v>
      </c>
      <c r="AA483" s="39">
        <f t="shared" si="130"/>
        <v>0</v>
      </c>
      <c r="AB483" s="39">
        <f t="shared" si="131"/>
        <v>0</v>
      </c>
      <c r="AC483" s="39" t="str">
        <f t="shared" si="132"/>
        <v/>
      </c>
      <c r="AD483" s="39" t="str">
        <f t="shared" si="133"/>
        <v/>
      </c>
      <c r="AE483" s="39" t="str">
        <f t="shared" si="134"/>
        <v/>
      </c>
      <c r="AF483" s="106" t="str">
        <f t="shared" si="135"/>
        <v/>
      </c>
      <c r="AG483" s="39">
        <f t="shared" si="136"/>
        <v>0</v>
      </c>
      <c r="AH483" s="39" t="str">
        <f t="shared" si="137"/>
        <v/>
      </c>
      <c r="AI483" s="39">
        <f>IF(AND($E483="timed",$N483&gt;=Settings!$C$9),1,0)</f>
        <v>0</v>
      </c>
      <c r="AJ483" s="39" t="str">
        <f>IF(OR($S483="",Settings!$C$16=""),"",IF($S483&lt;=Settings!$C$16,1,2))</f>
        <v/>
      </c>
      <c r="AK483" s="39" t="str">
        <f>IF($C483="","",IFERROR(IF(INDEX(Settings!$C$20:$C$59,MATCH($C483,Settings!$B$20:$B$59,0))="",Settings!$C$10,INDEX(Settings!$C$20:$C$59,MATCH($C483,Settings!$B$20:$B$59,0))),Settings!$C$10))</f>
        <v/>
      </c>
      <c r="AL483" s="108">
        <f t="shared" si="138"/>
        <v>0</v>
      </c>
      <c r="AM483" s="39" t="str">
        <f t="shared" si="139"/>
        <v/>
      </c>
      <c r="AN483" s="39" t="str">
        <f t="shared" si="140"/>
        <v/>
      </c>
      <c r="AO483" s="39" t="str">
        <f t="shared" si="141"/>
        <v/>
      </c>
      <c r="AP483" s="39">
        <f t="shared" si="142"/>
        <v>0</v>
      </c>
      <c r="AQ483" s="39">
        <f t="shared" si="143"/>
        <v>0</v>
      </c>
    </row>
    <row r="484" spans="14:43" x14ac:dyDescent="0.25">
      <c r="N484" s="105">
        <f t="shared" si="126"/>
        <v>0</v>
      </c>
      <c r="O484" s="106" t="str">
        <f>IF($F484="","",IF(ISNUMBER($F484),$F484+Settings!$C$7/24,IFERROR(DATEVALUE(LEFT($F484,10))+TIMEVALUE(MID($F484,12,8))+Settings!$C$7/24,"")))</f>
        <v/>
      </c>
      <c r="P484" s="106" t="str">
        <f>IF($G484="","",IF(ISNUMBER($G484),$G484+Settings!$C$7/24,IFERROR(DATEVALUE(LEFT($G484,10))+TIMEVALUE(MID($G484,12,8))+Settings!$C$7/24,"")))</f>
        <v/>
      </c>
      <c r="Q484" s="39" t="str">
        <f t="shared" si="127"/>
        <v/>
      </c>
      <c r="R484" s="39" t="str">
        <f t="shared" si="128"/>
        <v/>
      </c>
      <c r="S484" s="107" t="str">
        <f t="shared" si="129"/>
        <v/>
      </c>
      <c r="T484" s="39" t="str">
        <f>IF($C484="","",IF(COUNTIF($C$2:$C484,$C484)=1,1,0))</f>
        <v/>
      </c>
      <c r="U484" s="39" t="str">
        <f>IF($T484=1,COUNTIF($T$2:$T484,1),"")</f>
        <v/>
      </c>
      <c r="V484" s="39" t="str">
        <f>IF($B484="","",IF(COUNTIF($B$2:$B484,$B484)=1,1,0))</f>
        <v/>
      </c>
      <c r="W484" s="39" t="str">
        <f>IF($V484=1,COUNTIF($V$2:$V484,1),"")</f>
        <v/>
      </c>
      <c r="X484" s="39" t="str">
        <f>IF($A484="","",IF(COUNTIF($A$2:$A484,$A484)=1,1,0))</f>
        <v/>
      </c>
      <c r="Y484" s="39" t="str">
        <f>IF($X484=1,COUNTIF($X$2:$X484,1),"")</f>
        <v/>
      </c>
      <c r="Z484" s="39">
        <f>IF(AND($E484="timed",$N484&gt;Settings!$C$8),1,0)</f>
        <v>0</v>
      </c>
      <c r="AA484" s="39">
        <f t="shared" si="130"/>
        <v>0</v>
      </c>
      <c r="AB484" s="39">
        <f t="shared" si="131"/>
        <v>0</v>
      </c>
      <c r="AC484" s="39" t="str">
        <f t="shared" si="132"/>
        <v/>
      </c>
      <c r="AD484" s="39" t="str">
        <f t="shared" si="133"/>
        <v/>
      </c>
      <c r="AE484" s="39" t="str">
        <f t="shared" si="134"/>
        <v/>
      </c>
      <c r="AF484" s="106" t="str">
        <f t="shared" si="135"/>
        <v/>
      </c>
      <c r="AG484" s="39">
        <f t="shared" si="136"/>
        <v>0</v>
      </c>
      <c r="AH484" s="39" t="str">
        <f t="shared" si="137"/>
        <v/>
      </c>
      <c r="AI484" s="39">
        <f>IF(AND($E484="timed",$N484&gt;=Settings!$C$9),1,0)</f>
        <v>0</v>
      </c>
      <c r="AJ484" s="39" t="str">
        <f>IF(OR($S484="",Settings!$C$16=""),"",IF($S484&lt;=Settings!$C$16,1,2))</f>
        <v/>
      </c>
      <c r="AK484" s="39" t="str">
        <f>IF($C484="","",IFERROR(IF(INDEX(Settings!$C$20:$C$59,MATCH($C484,Settings!$B$20:$B$59,0))="",Settings!$C$10,INDEX(Settings!$C$20:$C$59,MATCH($C484,Settings!$B$20:$B$59,0))),Settings!$C$10))</f>
        <v/>
      </c>
      <c r="AL484" s="108">
        <f t="shared" si="138"/>
        <v>0</v>
      </c>
      <c r="AM484" s="39" t="str">
        <f t="shared" si="139"/>
        <v/>
      </c>
      <c r="AN484" s="39" t="str">
        <f t="shared" si="140"/>
        <v/>
      </c>
      <c r="AO484" s="39" t="str">
        <f t="shared" si="141"/>
        <v/>
      </c>
      <c r="AP484" s="39">
        <f t="shared" si="142"/>
        <v>0</v>
      </c>
      <c r="AQ484" s="39">
        <f t="shared" si="143"/>
        <v>0</v>
      </c>
    </row>
    <row r="485" spans="14:43" x14ac:dyDescent="0.25">
      <c r="N485" s="105">
        <f t="shared" si="126"/>
        <v>0</v>
      </c>
      <c r="O485" s="106" t="str">
        <f>IF($F485="","",IF(ISNUMBER($F485),$F485+Settings!$C$7/24,IFERROR(DATEVALUE(LEFT($F485,10))+TIMEVALUE(MID($F485,12,8))+Settings!$C$7/24,"")))</f>
        <v/>
      </c>
      <c r="P485" s="106" t="str">
        <f>IF($G485="","",IF(ISNUMBER($G485),$G485+Settings!$C$7/24,IFERROR(DATEVALUE(LEFT($G485,10))+TIMEVALUE(MID($G485,12,8))+Settings!$C$7/24,"")))</f>
        <v/>
      </c>
      <c r="Q485" s="39" t="str">
        <f t="shared" si="127"/>
        <v/>
      </c>
      <c r="R485" s="39" t="str">
        <f t="shared" si="128"/>
        <v/>
      </c>
      <c r="S485" s="107" t="str">
        <f t="shared" si="129"/>
        <v/>
      </c>
      <c r="T485" s="39" t="str">
        <f>IF($C485="","",IF(COUNTIF($C$2:$C485,$C485)=1,1,0))</f>
        <v/>
      </c>
      <c r="U485" s="39" t="str">
        <f>IF($T485=1,COUNTIF($T$2:$T485,1),"")</f>
        <v/>
      </c>
      <c r="V485" s="39" t="str">
        <f>IF($B485="","",IF(COUNTIF($B$2:$B485,$B485)=1,1,0))</f>
        <v/>
      </c>
      <c r="W485" s="39" t="str">
        <f>IF($V485=1,COUNTIF($V$2:$V485,1),"")</f>
        <v/>
      </c>
      <c r="X485" s="39" t="str">
        <f>IF($A485="","",IF(COUNTIF($A$2:$A485,$A485)=1,1,0))</f>
        <v/>
      </c>
      <c r="Y485" s="39" t="str">
        <f>IF($X485=1,COUNTIF($X$2:$X485,1),"")</f>
        <v/>
      </c>
      <c r="Z485" s="39">
        <f>IF(AND($E485="timed",$N485&gt;Settings!$C$8),1,0)</f>
        <v>0</v>
      </c>
      <c r="AA485" s="39">
        <f t="shared" si="130"/>
        <v>0</v>
      </c>
      <c r="AB485" s="39">
        <f t="shared" si="131"/>
        <v>0</v>
      </c>
      <c r="AC485" s="39" t="str">
        <f t="shared" si="132"/>
        <v/>
      </c>
      <c r="AD485" s="39" t="str">
        <f t="shared" si="133"/>
        <v/>
      </c>
      <c r="AE485" s="39" t="str">
        <f t="shared" si="134"/>
        <v/>
      </c>
      <c r="AF485" s="106" t="str">
        <f t="shared" si="135"/>
        <v/>
      </c>
      <c r="AG485" s="39">
        <f t="shared" si="136"/>
        <v>0</v>
      </c>
      <c r="AH485" s="39" t="str">
        <f t="shared" si="137"/>
        <v/>
      </c>
      <c r="AI485" s="39">
        <f>IF(AND($E485="timed",$N485&gt;=Settings!$C$9),1,0)</f>
        <v>0</v>
      </c>
      <c r="AJ485" s="39" t="str">
        <f>IF(OR($S485="",Settings!$C$16=""),"",IF($S485&lt;=Settings!$C$16,1,2))</f>
        <v/>
      </c>
      <c r="AK485" s="39" t="str">
        <f>IF($C485="","",IFERROR(IF(INDEX(Settings!$C$20:$C$59,MATCH($C485,Settings!$B$20:$B$59,0))="",Settings!$C$10,INDEX(Settings!$C$20:$C$59,MATCH($C485,Settings!$B$20:$B$59,0))),Settings!$C$10))</f>
        <v/>
      </c>
      <c r="AL485" s="108">
        <f t="shared" si="138"/>
        <v>0</v>
      </c>
      <c r="AM485" s="39" t="str">
        <f t="shared" si="139"/>
        <v/>
      </c>
      <c r="AN485" s="39" t="str">
        <f t="shared" si="140"/>
        <v/>
      </c>
      <c r="AO485" s="39" t="str">
        <f t="shared" si="141"/>
        <v/>
      </c>
      <c r="AP485" s="39">
        <f t="shared" si="142"/>
        <v>0</v>
      </c>
      <c r="AQ485" s="39">
        <f t="shared" si="143"/>
        <v>0</v>
      </c>
    </row>
    <row r="486" spans="14:43" x14ac:dyDescent="0.25">
      <c r="N486" s="105">
        <f t="shared" si="126"/>
        <v>0</v>
      </c>
      <c r="O486" s="106" t="str">
        <f>IF($F486="","",IF(ISNUMBER($F486),$F486+Settings!$C$7/24,IFERROR(DATEVALUE(LEFT($F486,10))+TIMEVALUE(MID($F486,12,8))+Settings!$C$7/24,"")))</f>
        <v/>
      </c>
      <c r="P486" s="106" t="str">
        <f>IF($G486="","",IF(ISNUMBER($G486),$G486+Settings!$C$7/24,IFERROR(DATEVALUE(LEFT($G486,10))+TIMEVALUE(MID($G486,12,8))+Settings!$C$7/24,"")))</f>
        <v/>
      </c>
      <c r="Q486" s="39" t="str">
        <f t="shared" si="127"/>
        <v/>
      </c>
      <c r="R486" s="39" t="str">
        <f t="shared" si="128"/>
        <v/>
      </c>
      <c r="S486" s="107" t="str">
        <f t="shared" si="129"/>
        <v/>
      </c>
      <c r="T486" s="39" t="str">
        <f>IF($C486="","",IF(COUNTIF($C$2:$C486,$C486)=1,1,0))</f>
        <v/>
      </c>
      <c r="U486" s="39" t="str">
        <f>IF($T486=1,COUNTIF($T$2:$T486,1),"")</f>
        <v/>
      </c>
      <c r="V486" s="39" t="str">
        <f>IF($B486="","",IF(COUNTIF($B$2:$B486,$B486)=1,1,0))</f>
        <v/>
      </c>
      <c r="W486" s="39" t="str">
        <f>IF($V486=1,COUNTIF($V$2:$V486,1),"")</f>
        <v/>
      </c>
      <c r="X486" s="39" t="str">
        <f>IF($A486="","",IF(COUNTIF($A$2:$A486,$A486)=1,1,0))</f>
        <v/>
      </c>
      <c r="Y486" s="39" t="str">
        <f>IF($X486=1,COUNTIF($X$2:$X486,1),"")</f>
        <v/>
      </c>
      <c r="Z486" s="39">
        <f>IF(AND($E486="timed",$N486&gt;Settings!$C$8),1,0)</f>
        <v>0</v>
      </c>
      <c r="AA486" s="39">
        <f t="shared" si="130"/>
        <v>0</v>
      </c>
      <c r="AB486" s="39">
        <f t="shared" si="131"/>
        <v>0</v>
      </c>
      <c r="AC486" s="39" t="str">
        <f t="shared" si="132"/>
        <v/>
      </c>
      <c r="AD486" s="39" t="str">
        <f t="shared" si="133"/>
        <v/>
      </c>
      <c r="AE486" s="39" t="str">
        <f t="shared" si="134"/>
        <v/>
      </c>
      <c r="AF486" s="106" t="str">
        <f t="shared" si="135"/>
        <v/>
      </c>
      <c r="AG486" s="39">
        <f t="shared" si="136"/>
        <v>0</v>
      </c>
      <c r="AH486" s="39" t="str">
        <f t="shared" si="137"/>
        <v/>
      </c>
      <c r="AI486" s="39">
        <f>IF(AND($E486="timed",$N486&gt;=Settings!$C$9),1,0)</f>
        <v>0</v>
      </c>
      <c r="AJ486" s="39" t="str">
        <f>IF(OR($S486="",Settings!$C$16=""),"",IF($S486&lt;=Settings!$C$16,1,2))</f>
        <v/>
      </c>
      <c r="AK486" s="39" t="str">
        <f>IF($C486="","",IFERROR(IF(INDEX(Settings!$C$20:$C$59,MATCH($C486,Settings!$B$20:$B$59,0))="",Settings!$C$10,INDEX(Settings!$C$20:$C$59,MATCH($C486,Settings!$B$20:$B$59,0))),Settings!$C$10))</f>
        <v/>
      </c>
      <c r="AL486" s="108">
        <f t="shared" si="138"/>
        <v>0</v>
      </c>
      <c r="AM486" s="39" t="str">
        <f t="shared" si="139"/>
        <v/>
      </c>
      <c r="AN486" s="39" t="str">
        <f t="shared" si="140"/>
        <v/>
      </c>
      <c r="AO486" s="39" t="str">
        <f t="shared" si="141"/>
        <v/>
      </c>
      <c r="AP486" s="39">
        <f t="shared" si="142"/>
        <v>0</v>
      </c>
      <c r="AQ486" s="39">
        <f t="shared" si="143"/>
        <v>0</v>
      </c>
    </row>
    <row r="487" spans="14:43" x14ac:dyDescent="0.25">
      <c r="N487" s="105">
        <f t="shared" si="126"/>
        <v>0</v>
      </c>
      <c r="O487" s="106" t="str">
        <f>IF($F487="","",IF(ISNUMBER($F487),$F487+Settings!$C$7/24,IFERROR(DATEVALUE(LEFT($F487,10))+TIMEVALUE(MID($F487,12,8))+Settings!$C$7/24,"")))</f>
        <v/>
      </c>
      <c r="P487" s="106" t="str">
        <f>IF($G487="","",IF(ISNUMBER($G487),$G487+Settings!$C$7/24,IFERROR(DATEVALUE(LEFT($G487,10))+TIMEVALUE(MID($G487,12,8))+Settings!$C$7/24,"")))</f>
        <v/>
      </c>
      <c r="Q487" s="39" t="str">
        <f t="shared" si="127"/>
        <v/>
      </c>
      <c r="R487" s="39" t="str">
        <f t="shared" si="128"/>
        <v/>
      </c>
      <c r="S487" s="107" t="str">
        <f t="shared" si="129"/>
        <v/>
      </c>
      <c r="T487" s="39" t="str">
        <f>IF($C487="","",IF(COUNTIF($C$2:$C487,$C487)=1,1,0))</f>
        <v/>
      </c>
      <c r="U487" s="39" t="str">
        <f>IF($T487=1,COUNTIF($T$2:$T487,1),"")</f>
        <v/>
      </c>
      <c r="V487" s="39" t="str">
        <f>IF($B487="","",IF(COUNTIF($B$2:$B487,$B487)=1,1,0))</f>
        <v/>
      </c>
      <c r="W487" s="39" t="str">
        <f>IF($V487=1,COUNTIF($V$2:$V487,1),"")</f>
        <v/>
      </c>
      <c r="X487" s="39" t="str">
        <f>IF($A487="","",IF(COUNTIF($A$2:$A487,$A487)=1,1,0))</f>
        <v/>
      </c>
      <c r="Y487" s="39" t="str">
        <f>IF($X487=1,COUNTIF($X$2:$X487,1),"")</f>
        <v/>
      </c>
      <c r="Z487" s="39">
        <f>IF(AND($E487="timed",$N487&gt;Settings!$C$8),1,0)</f>
        <v>0</v>
      </c>
      <c r="AA487" s="39">
        <f t="shared" si="130"/>
        <v>0</v>
      </c>
      <c r="AB487" s="39">
        <f t="shared" si="131"/>
        <v>0</v>
      </c>
      <c r="AC487" s="39" t="str">
        <f t="shared" si="132"/>
        <v/>
      </c>
      <c r="AD487" s="39" t="str">
        <f t="shared" si="133"/>
        <v/>
      </c>
      <c r="AE487" s="39" t="str">
        <f t="shared" si="134"/>
        <v/>
      </c>
      <c r="AF487" s="106" t="str">
        <f t="shared" si="135"/>
        <v/>
      </c>
      <c r="AG487" s="39">
        <f t="shared" si="136"/>
        <v>0</v>
      </c>
      <c r="AH487" s="39" t="str">
        <f t="shared" si="137"/>
        <v/>
      </c>
      <c r="AI487" s="39">
        <f>IF(AND($E487="timed",$N487&gt;=Settings!$C$9),1,0)</f>
        <v>0</v>
      </c>
      <c r="AJ487" s="39" t="str">
        <f>IF(OR($S487="",Settings!$C$16=""),"",IF($S487&lt;=Settings!$C$16,1,2))</f>
        <v/>
      </c>
      <c r="AK487" s="39" t="str">
        <f>IF($C487="","",IFERROR(IF(INDEX(Settings!$C$20:$C$59,MATCH($C487,Settings!$B$20:$B$59,0))="",Settings!$C$10,INDEX(Settings!$C$20:$C$59,MATCH($C487,Settings!$B$20:$B$59,0))),Settings!$C$10))</f>
        <v/>
      </c>
      <c r="AL487" s="108">
        <f t="shared" si="138"/>
        <v>0</v>
      </c>
      <c r="AM487" s="39" t="str">
        <f t="shared" si="139"/>
        <v/>
      </c>
      <c r="AN487" s="39" t="str">
        <f t="shared" si="140"/>
        <v/>
      </c>
      <c r="AO487" s="39" t="str">
        <f t="shared" si="141"/>
        <v/>
      </c>
      <c r="AP487" s="39">
        <f t="shared" si="142"/>
        <v>0</v>
      </c>
      <c r="AQ487" s="39">
        <f t="shared" si="143"/>
        <v>0</v>
      </c>
    </row>
    <row r="488" spans="14:43" x14ac:dyDescent="0.25">
      <c r="N488" s="105">
        <f t="shared" si="126"/>
        <v>0</v>
      </c>
      <c r="O488" s="106" t="str">
        <f>IF($F488="","",IF(ISNUMBER($F488),$F488+Settings!$C$7/24,IFERROR(DATEVALUE(LEFT($F488,10))+TIMEVALUE(MID($F488,12,8))+Settings!$C$7/24,"")))</f>
        <v/>
      </c>
      <c r="P488" s="106" t="str">
        <f>IF($G488="","",IF(ISNUMBER($G488),$G488+Settings!$C$7/24,IFERROR(DATEVALUE(LEFT($G488,10))+TIMEVALUE(MID($G488,12,8))+Settings!$C$7/24,"")))</f>
        <v/>
      </c>
      <c r="Q488" s="39" t="str">
        <f t="shared" si="127"/>
        <v/>
      </c>
      <c r="R488" s="39" t="str">
        <f t="shared" si="128"/>
        <v/>
      </c>
      <c r="S488" s="107" t="str">
        <f t="shared" si="129"/>
        <v/>
      </c>
      <c r="T488" s="39" t="str">
        <f>IF($C488="","",IF(COUNTIF($C$2:$C488,$C488)=1,1,0))</f>
        <v/>
      </c>
      <c r="U488" s="39" t="str">
        <f>IF($T488=1,COUNTIF($T$2:$T488,1),"")</f>
        <v/>
      </c>
      <c r="V488" s="39" t="str">
        <f>IF($B488="","",IF(COUNTIF($B$2:$B488,$B488)=1,1,0))</f>
        <v/>
      </c>
      <c r="W488" s="39" t="str">
        <f>IF($V488=1,COUNTIF($V$2:$V488,1),"")</f>
        <v/>
      </c>
      <c r="X488" s="39" t="str">
        <f>IF($A488="","",IF(COUNTIF($A$2:$A488,$A488)=1,1,0))</f>
        <v/>
      </c>
      <c r="Y488" s="39" t="str">
        <f>IF($X488=1,COUNTIF($X$2:$X488,1),"")</f>
        <v/>
      </c>
      <c r="Z488" s="39">
        <f>IF(AND($E488="timed",$N488&gt;Settings!$C$8),1,0)</f>
        <v>0</v>
      </c>
      <c r="AA488" s="39">
        <f t="shared" si="130"/>
        <v>0</v>
      </c>
      <c r="AB488" s="39">
        <f t="shared" si="131"/>
        <v>0</v>
      </c>
      <c r="AC488" s="39" t="str">
        <f t="shared" si="132"/>
        <v/>
      </c>
      <c r="AD488" s="39" t="str">
        <f t="shared" si="133"/>
        <v/>
      </c>
      <c r="AE488" s="39" t="str">
        <f t="shared" si="134"/>
        <v/>
      </c>
      <c r="AF488" s="106" t="str">
        <f t="shared" si="135"/>
        <v/>
      </c>
      <c r="AG488" s="39">
        <f t="shared" si="136"/>
        <v>0</v>
      </c>
      <c r="AH488" s="39" t="str">
        <f t="shared" si="137"/>
        <v/>
      </c>
      <c r="AI488" s="39">
        <f>IF(AND($E488="timed",$N488&gt;=Settings!$C$9),1,0)</f>
        <v>0</v>
      </c>
      <c r="AJ488" s="39" t="str">
        <f>IF(OR($S488="",Settings!$C$16=""),"",IF($S488&lt;=Settings!$C$16,1,2))</f>
        <v/>
      </c>
      <c r="AK488" s="39" t="str">
        <f>IF($C488="","",IFERROR(IF(INDEX(Settings!$C$20:$C$59,MATCH($C488,Settings!$B$20:$B$59,0))="",Settings!$C$10,INDEX(Settings!$C$20:$C$59,MATCH($C488,Settings!$B$20:$B$59,0))),Settings!$C$10))</f>
        <v/>
      </c>
      <c r="AL488" s="108">
        <f t="shared" si="138"/>
        <v>0</v>
      </c>
      <c r="AM488" s="39" t="str">
        <f t="shared" si="139"/>
        <v/>
      </c>
      <c r="AN488" s="39" t="str">
        <f t="shared" si="140"/>
        <v/>
      </c>
      <c r="AO488" s="39" t="str">
        <f t="shared" si="141"/>
        <v/>
      </c>
      <c r="AP488" s="39">
        <f t="shared" si="142"/>
        <v>0</v>
      </c>
      <c r="AQ488" s="39">
        <f t="shared" si="143"/>
        <v>0</v>
      </c>
    </row>
    <row r="489" spans="14:43" x14ac:dyDescent="0.25">
      <c r="N489" s="105">
        <f t="shared" si="126"/>
        <v>0</v>
      </c>
      <c r="O489" s="106" t="str">
        <f>IF($F489="","",IF(ISNUMBER($F489),$F489+Settings!$C$7/24,IFERROR(DATEVALUE(LEFT($F489,10))+TIMEVALUE(MID($F489,12,8))+Settings!$C$7/24,"")))</f>
        <v/>
      </c>
      <c r="P489" s="106" t="str">
        <f>IF($G489="","",IF(ISNUMBER($G489),$G489+Settings!$C$7/24,IFERROR(DATEVALUE(LEFT($G489,10))+TIMEVALUE(MID($G489,12,8))+Settings!$C$7/24,"")))</f>
        <v/>
      </c>
      <c r="Q489" s="39" t="str">
        <f t="shared" si="127"/>
        <v/>
      </c>
      <c r="R489" s="39" t="str">
        <f t="shared" si="128"/>
        <v/>
      </c>
      <c r="S489" s="107" t="str">
        <f t="shared" si="129"/>
        <v/>
      </c>
      <c r="T489" s="39" t="str">
        <f>IF($C489="","",IF(COUNTIF($C$2:$C489,$C489)=1,1,0))</f>
        <v/>
      </c>
      <c r="U489" s="39" t="str">
        <f>IF($T489=1,COUNTIF($T$2:$T489,1),"")</f>
        <v/>
      </c>
      <c r="V489" s="39" t="str">
        <f>IF($B489="","",IF(COUNTIF($B$2:$B489,$B489)=1,1,0))</f>
        <v/>
      </c>
      <c r="W489" s="39" t="str">
        <f>IF($V489=1,COUNTIF($V$2:$V489,1),"")</f>
        <v/>
      </c>
      <c r="X489" s="39" t="str">
        <f>IF($A489="","",IF(COUNTIF($A$2:$A489,$A489)=1,1,0))</f>
        <v/>
      </c>
      <c r="Y489" s="39" t="str">
        <f>IF($X489=1,COUNTIF($X$2:$X489,1),"")</f>
        <v/>
      </c>
      <c r="Z489" s="39">
        <f>IF(AND($E489="timed",$N489&gt;Settings!$C$8),1,0)</f>
        <v>0</v>
      </c>
      <c r="AA489" s="39">
        <f t="shared" si="130"/>
        <v>0</v>
      </c>
      <c r="AB489" s="39">
        <f t="shared" si="131"/>
        <v>0</v>
      </c>
      <c r="AC489" s="39" t="str">
        <f t="shared" si="132"/>
        <v/>
      </c>
      <c r="AD489" s="39" t="str">
        <f t="shared" si="133"/>
        <v/>
      </c>
      <c r="AE489" s="39" t="str">
        <f t="shared" si="134"/>
        <v/>
      </c>
      <c r="AF489" s="106" t="str">
        <f t="shared" si="135"/>
        <v/>
      </c>
      <c r="AG489" s="39">
        <f t="shared" si="136"/>
        <v>0</v>
      </c>
      <c r="AH489" s="39" t="str">
        <f t="shared" si="137"/>
        <v/>
      </c>
      <c r="AI489" s="39">
        <f>IF(AND($E489="timed",$N489&gt;=Settings!$C$9),1,0)</f>
        <v>0</v>
      </c>
      <c r="AJ489" s="39" t="str">
        <f>IF(OR($S489="",Settings!$C$16=""),"",IF($S489&lt;=Settings!$C$16,1,2))</f>
        <v/>
      </c>
      <c r="AK489" s="39" t="str">
        <f>IF($C489="","",IFERROR(IF(INDEX(Settings!$C$20:$C$59,MATCH($C489,Settings!$B$20:$B$59,0))="",Settings!$C$10,INDEX(Settings!$C$20:$C$59,MATCH($C489,Settings!$B$20:$B$59,0))),Settings!$C$10))</f>
        <v/>
      </c>
      <c r="AL489" s="108">
        <f t="shared" si="138"/>
        <v>0</v>
      </c>
      <c r="AM489" s="39" t="str">
        <f t="shared" si="139"/>
        <v/>
      </c>
      <c r="AN489" s="39" t="str">
        <f t="shared" si="140"/>
        <v/>
      </c>
      <c r="AO489" s="39" t="str">
        <f t="shared" si="141"/>
        <v/>
      </c>
      <c r="AP489" s="39">
        <f t="shared" si="142"/>
        <v>0</v>
      </c>
      <c r="AQ489" s="39">
        <f t="shared" si="143"/>
        <v>0</v>
      </c>
    </row>
    <row r="490" spans="14:43" x14ac:dyDescent="0.25">
      <c r="N490" s="105">
        <f t="shared" si="126"/>
        <v>0</v>
      </c>
      <c r="O490" s="106" t="str">
        <f>IF($F490="","",IF(ISNUMBER($F490),$F490+Settings!$C$7/24,IFERROR(DATEVALUE(LEFT($F490,10))+TIMEVALUE(MID($F490,12,8))+Settings!$C$7/24,"")))</f>
        <v/>
      </c>
      <c r="P490" s="106" t="str">
        <f>IF($G490="","",IF(ISNUMBER($G490),$G490+Settings!$C$7/24,IFERROR(DATEVALUE(LEFT($G490,10))+TIMEVALUE(MID($G490,12,8))+Settings!$C$7/24,"")))</f>
        <v/>
      </c>
      <c r="Q490" s="39" t="str">
        <f t="shared" si="127"/>
        <v/>
      </c>
      <c r="R490" s="39" t="str">
        <f t="shared" si="128"/>
        <v/>
      </c>
      <c r="S490" s="107" t="str">
        <f t="shared" si="129"/>
        <v/>
      </c>
      <c r="T490" s="39" t="str">
        <f>IF($C490="","",IF(COUNTIF($C$2:$C490,$C490)=1,1,0))</f>
        <v/>
      </c>
      <c r="U490" s="39" t="str">
        <f>IF($T490=1,COUNTIF($T$2:$T490,1),"")</f>
        <v/>
      </c>
      <c r="V490" s="39" t="str">
        <f>IF($B490="","",IF(COUNTIF($B$2:$B490,$B490)=1,1,0))</f>
        <v/>
      </c>
      <c r="W490" s="39" t="str">
        <f>IF($V490=1,COUNTIF($V$2:$V490,1),"")</f>
        <v/>
      </c>
      <c r="X490" s="39" t="str">
        <f>IF($A490="","",IF(COUNTIF($A$2:$A490,$A490)=1,1,0))</f>
        <v/>
      </c>
      <c r="Y490" s="39" t="str">
        <f>IF($X490=1,COUNTIF($X$2:$X490,1),"")</f>
        <v/>
      </c>
      <c r="Z490" s="39">
        <f>IF(AND($E490="timed",$N490&gt;Settings!$C$8),1,0)</f>
        <v>0</v>
      </c>
      <c r="AA490" s="39">
        <f t="shared" si="130"/>
        <v>0</v>
      </c>
      <c r="AB490" s="39">
        <f t="shared" si="131"/>
        <v>0</v>
      </c>
      <c r="AC490" s="39" t="str">
        <f t="shared" si="132"/>
        <v/>
      </c>
      <c r="AD490" s="39" t="str">
        <f t="shared" si="133"/>
        <v/>
      </c>
      <c r="AE490" s="39" t="str">
        <f t="shared" si="134"/>
        <v/>
      </c>
      <c r="AF490" s="106" t="str">
        <f t="shared" si="135"/>
        <v/>
      </c>
      <c r="AG490" s="39">
        <f t="shared" si="136"/>
        <v>0</v>
      </c>
      <c r="AH490" s="39" t="str">
        <f t="shared" si="137"/>
        <v/>
      </c>
      <c r="AI490" s="39">
        <f>IF(AND($E490="timed",$N490&gt;=Settings!$C$9),1,0)</f>
        <v>0</v>
      </c>
      <c r="AJ490" s="39" t="str">
        <f>IF(OR($S490="",Settings!$C$16=""),"",IF($S490&lt;=Settings!$C$16,1,2))</f>
        <v/>
      </c>
      <c r="AK490" s="39" t="str">
        <f>IF($C490="","",IFERROR(IF(INDEX(Settings!$C$20:$C$59,MATCH($C490,Settings!$B$20:$B$59,0))="",Settings!$C$10,INDEX(Settings!$C$20:$C$59,MATCH($C490,Settings!$B$20:$B$59,0))),Settings!$C$10))</f>
        <v/>
      </c>
      <c r="AL490" s="108">
        <f t="shared" si="138"/>
        <v>0</v>
      </c>
      <c r="AM490" s="39" t="str">
        <f t="shared" si="139"/>
        <v/>
      </c>
      <c r="AN490" s="39" t="str">
        <f t="shared" si="140"/>
        <v/>
      </c>
      <c r="AO490" s="39" t="str">
        <f t="shared" si="141"/>
        <v/>
      </c>
      <c r="AP490" s="39">
        <f t="shared" si="142"/>
        <v>0</v>
      </c>
      <c r="AQ490" s="39">
        <f t="shared" si="143"/>
        <v>0</v>
      </c>
    </row>
    <row r="491" spans="14:43" x14ac:dyDescent="0.25">
      <c r="N491" s="105">
        <f t="shared" si="126"/>
        <v>0</v>
      </c>
      <c r="O491" s="106" t="str">
        <f>IF($F491="","",IF(ISNUMBER($F491),$F491+Settings!$C$7/24,IFERROR(DATEVALUE(LEFT($F491,10))+TIMEVALUE(MID($F491,12,8))+Settings!$C$7/24,"")))</f>
        <v/>
      </c>
      <c r="P491" s="106" t="str">
        <f>IF($G491="","",IF(ISNUMBER($G491),$G491+Settings!$C$7/24,IFERROR(DATEVALUE(LEFT($G491,10))+TIMEVALUE(MID($G491,12,8))+Settings!$C$7/24,"")))</f>
        <v/>
      </c>
      <c r="Q491" s="39" t="str">
        <f t="shared" si="127"/>
        <v/>
      </c>
      <c r="R491" s="39" t="str">
        <f t="shared" si="128"/>
        <v/>
      </c>
      <c r="S491" s="107" t="str">
        <f t="shared" si="129"/>
        <v/>
      </c>
      <c r="T491" s="39" t="str">
        <f>IF($C491="","",IF(COUNTIF($C$2:$C491,$C491)=1,1,0))</f>
        <v/>
      </c>
      <c r="U491" s="39" t="str">
        <f>IF($T491=1,COUNTIF($T$2:$T491,1),"")</f>
        <v/>
      </c>
      <c r="V491" s="39" t="str">
        <f>IF($B491="","",IF(COUNTIF($B$2:$B491,$B491)=1,1,0))</f>
        <v/>
      </c>
      <c r="W491" s="39" t="str">
        <f>IF($V491=1,COUNTIF($V$2:$V491,1),"")</f>
        <v/>
      </c>
      <c r="X491" s="39" t="str">
        <f>IF($A491="","",IF(COUNTIF($A$2:$A491,$A491)=1,1,0))</f>
        <v/>
      </c>
      <c r="Y491" s="39" t="str">
        <f>IF($X491=1,COUNTIF($X$2:$X491,1),"")</f>
        <v/>
      </c>
      <c r="Z491" s="39">
        <f>IF(AND($E491="timed",$N491&gt;Settings!$C$8),1,0)</f>
        <v>0</v>
      </c>
      <c r="AA491" s="39">
        <f t="shared" si="130"/>
        <v>0</v>
      </c>
      <c r="AB491" s="39">
        <f t="shared" si="131"/>
        <v>0</v>
      </c>
      <c r="AC491" s="39" t="str">
        <f t="shared" si="132"/>
        <v/>
      </c>
      <c r="AD491" s="39" t="str">
        <f t="shared" si="133"/>
        <v/>
      </c>
      <c r="AE491" s="39" t="str">
        <f t="shared" si="134"/>
        <v/>
      </c>
      <c r="AF491" s="106" t="str">
        <f t="shared" si="135"/>
        <v/>
      </c>
      <c r="AG491" s="39">
        <f t="shared" si="136"/>
        <v>0</v>
      </c>
      <c r="AH491" s="39" t="str">
        <f t="shared" si="137"/>
        <v/>
      </c>
      <c r="AI491" s="39">
        <f>IF(AND($E491="timed",$N491&gt;=Settings!$C$9),1,0)</f>
        <v>0</v>
      </c>
      <c r="AJ491" s="39" t="str">
        <f>IF(OR($S491="",Settings!$C$16=""),"",IF($S491&lt;=Settings!$C$16,1,2))</f>
        <v/>
      </c>
      <c r="AK491" s="39" t="str">
        <f>IF($C491="","",IFERROR(IF(INDEX(Settings!$C$20:$C$59,MATCH($C491,Settings!$B$20:$B$59,0))="",Settings!$C$10,INDEX(Settings!$C$20:$C$59,MATCH($C491,Settings!$B$20:$B$59,0))),Settings!$C$10))</f>
        <v/>
      </c>
      <c r="AL491" s="108">
        <f t="shared" si="138"/>
        <v>0</v>
      </c>
      <c r="AM491" s="39" t="str">
        <f t="shared" si="139"/>
        <v/>
      </c>
      <c r="AN491" s="39" t="str">
        <f t="shared" si="140"/>
        <v/>
      </c>
      <c r="AO491" s="39" t="str">
        <f t="shared" si="141"/>
        <v/>
      </c>
      <c r="AP491" s="39">
        <f t="shared" si="142"/>
        <v>0</v>
      </c>
      <c r="AQ491" s="39">
        <f t="shared" si="143"/>
        <v>0</v>
      </c>
    </row>
    <row r="492" spans="14:43" x14ac:dyDescent="0.25">
      <c r="N492" s="105">
        <f t="shared" si="126"/>
        <v>0</v>
      </c>
      <c r="O492" s="106" t="str">
        <f>IF($F492="","",IF(ISNUMBER($F492),$F492+Settings!$C$7/24,IFERROR(DATEVALUE(LEFT($F492,10))+TIMEVALUE(MID($F492,12,8))+Settings!$C$7/24,"")))</f>
        <v/>
      </c>
      <c r="P492" s="106" t="str">
        <f>IF($G492="","",IF(ISNUMBER($G492),$G492+Settings!$C$7/24,IFERROR(DATEVALUE(LEFT($G492,10))+TIMEVALUE(MID($G492,12,8))+Settings!$C$7/24,"")))</f>
        <v/>
      </c>
      <c r="Q492" s="39" t="str">
        <f t="shared" si="127"/>
        <v/>
      </c>
      <c r="R492" s="39" t="str">
        <f t="shared" si="128"/>
        <v/>
      </c>
      <c r="S492" s="107" t="str">
        <f t="shared" si="129"/>
        <v/>
      </c>
      <c r="T492" s="39" t="str">
        <f>IF($C492="","",IF(COUNTIF($C$2:$C492,$C492)=1,1,0))</f>
        <v/>
      </c>
      <c r="U492" s="39" t="str">
        <f>IF($T492=1,COUNTIF($T$2:$T492,1),"")</f>
        <v/>
      </c>
      <c r="V492" s="39" t="str">
        <f>IF($B492="","",IF(COUNTIF($B$2:$B492,$B492)=1,1,0))</f>
        <v/>
      </c>
      <c r="W492" s="39" t="str">
        <f>IF($V492=1,COUNTIF($V$2:$V492,1),"")</f>
        <v/>
      </c>
      <c r="X492" s="39" t="str">
        <f>IF($A492="","",IF(COUNTIF($A$2:$A492,$A492)=1,1,0))</f>
        <v/>
      </c>
      <c r="Y492" s="39" t="str">
        <f>IF($X492=1,COUNTIF($X$2:$X492,1),"")</f>
        <v/>
      </c>
      <c r="Z492" s="39">
        <f>IF(AND($E492="timed",$N492&gt;Settings!$C$8),1,0)</f>
        <v>0</v>
      </c>
      <c r="AA492" s="39">
        <f t="shared" si="130"/>
        <v>0</v>
      </c>
      <c r="AB492" s="39">
        <f t="shared" si="131"/>
        <v>0</v>
      </c>
      <c r="AC492" s="39" t="str">
        <f t="shared" si="132"/>
        <v/>
      </c>
      <c r="AD492" s="39" t="str">
        <f t="shared" si="133"/>
        <v/>
      </c>
      <c r="AE492" s="39" t="str">
        <f t="shared" si="134"/>
        <v/>
      </c>
      <c r="AF492" s="106" t="str">
        <f t="shared" si="135"/>
        <v/>
      </c>
      <c r="AG492" s="39">
        <f t="shared" si="136"/>
        <v>0</v>
      </c>
      <c r="AH492" s="39" t="str">
        <f t="shared" si="137"/>
        <v/>
      </c>
      <c r="AI492" s="39">
        <f>IF(AND($E492="timed",$N492&gt;=Settings!$C$9),1,0)</f>
        <v>0</v>
      </c>
      <c r="AJ492" s="39" t="str">
        <f>IF(OR($S492="",Settings!$C$16=""),"",IF($S492&lt;=Settings!$C$16,1,2))</f>
        <v/>
      </c>
      <c r="AK492" s="39" t="str">
        <f>IF($C492="","",IFERROR(IF(INDEX(Settings!$C$20:$C$59,MATCH($C492,Settings!$B$20:$B$59,0))="",Settings!$C$10,INDEX(Settings!$C$20:$C$59,MATCH($C492,Settings!$B$20:$B$59,0))),Settings!$C$10))</f>
        <v/>
      </c>
      <c r="AL492" s="108">
        <f t="shared" si="138"/>
        <v>0</v>
      </c>
      <c r="AM492" s="39" t="str">
        <f t="shared" si="139"/>
        <v/>
      </c>
      <c r="AN492" s="39" t="str">
        <f t="shared" si="140"/>
        <v/>
      </c>
      <c r="AO492" s="39" t="str">
        <f t="shared" si="141"/>
        <v/>
      </c>
      <c r="AP492" s="39">
        <f t="shared" si="142"/>
        <v>0</v>
      </c>
      <c r="AQ492" s="39">
        <f t="shared" si="143"/>
        <v>0</v>
      </c>
    </row>
    <row r="493" spans="14:43" x14ac:dyDescent="0.25">
      <c r="N493" s="105">
        <f t="shared" si="126"/>
        <v>0</v>
      </c>
      <c r="O493" s="106" t="str">
        <f>IF($F493="","",IF(ISNUMBER($F493),$F493+Settings!$C$7/24,IFERROR(DATEVALUE(LEFT($F493,10))+TIMEVALUE(MID($F493,12,8))+Settings!$C$7/24,"")))</f>
        <v/>
      </c>
      <c r="P493" s="106" t="str">
        <f>IF($G493="","",IF(ISNUMBER($G493),$G493+Settings!$C$7/24,IFERROR(DATEVALUE(LEFT($G493,10))+TIMEVALUE(MID($G493,12,8))+Settings!$C$7/24,"")))</f>
        <v/>
      </c>
      <c r="Q493" s="39" t="str">
        <f t="shared" si="127"/>
        <v/>
      </c>
      <c r="R493" s="39" t="str">
        <f t="shared" si="128"/>
        <v/>
      </c>
      <c r="S493" s="107" t="str">
        <f t="shared" si="129"/>
        <v/>
      </c>
      <c r="T493" s="39" t="str">
        <f>IF($C493="","",IF(COUNTIF($C$2:$C493,$C493)=1,1,0))</f>
        <v/>
      </c>
      <c r="U493" s="39" t="str">
        <f>IF($T493=1,COUNTIF($T$2:$T493,1),"")</f>
        <v/>
      </c>
      <c r="V493" s="39" t="str">
        <f>IF($B493="","",IF(COUNTIF($B$2:$B493,$B493)=1,1,0))</f>
        <v/>
      </c>
      <c r="W493" s="39" t="str">
        <f>IF($V493=1,COUNTIF($V$2:$V493,1),"")</f>
        <v/>
      </c>
      <c r="X493" s="39" t="str">
        <f>IF($A493="","",IF(COUNTIF($A$2:$A493,$A493)=1,1,0))</f>
        <v/>
      </c>
      <c r="Y493" s="39" t="str">
        <f>IF($X493=1,COUNTIF($X$2:$X493,1),"")</f>
        <v/>
      </c>
      <c r="Z493" s="39">
        <f>IF(AND($E493="timed",$N493&gt;Settings!$C$8),1,0)</f>
        <v>0</v>
      </c>
      <c r="AA493" s="39">
        <f t="shared" si="130"/>
        <v>0</v>
      </c>
      <c r="AB493" s="39">
        <f t="shared" si="131"/>
        <v>0</v>
      </c>
      <c r="AC493" s="39" t="str">
        <f t="shared" si="132"/>
        <v/>
      </c>
      <c r="AD493" s="39" t="str">
        <f t="shared" si="133"/>
        <v/>
      </c>
      <c r="AE493" s="39" t="str">
        <f t="shared" si="134"/>
        <v/>
      </c>
      <c r="AF493" s="106" t="str">
        <f t="shared" si="135"/>
        <v/>
      </c>
      <c r="AG493" s="39">
        <f t="shared" si="136"/>
        <v>0</v>
      </c>
      <c r="AH493" s="39" t="str">
        <f t="shared" si="137"/>
        <v/>
      </c>
      <c r="AI493" s="39">
        <f>IF(AND($E493="timed",$N493&gt;=Settings!$C$9),1,0)</f>
        <v>0</v>
      </c>
      <c r="AJ493" s="39" t="str">
        <f>IF(OR($S493="",Settings!$C$16=""),"",IF($S493&lt;=Settings!$C$16,1,2))</f>
        <v/>
      </c>
      <c r="AK493" s="39" t="str">
        <f>IF($C493="","",IFERROR(IF(INDEX(Settings!$C$20:$C$59,MATCH($C493,Settings!$B$20:$B$59,0))="",Settings!$C$10,INDEX(Settings!$C$20:$C$59,MATCH($C493,Settings!$B$20:$B$59,0))),Settings!$C$10))</f>
        <v/>
      </c>
      <c r="AL493" s="108">
        <f t="shared" si="138"/>
        <v>0</v>
      </c>
      <c r="AM493" s="39" t="str">
        <f t="shared" si="139"/>
        <v/>
      </c>
      <c r="AN493" s="39" t="str">
        <f t="shared" si="140"/>
        <v/>
      </c>
      <c r="AO493" s="39" t="str">
        <f t="shared" si="141"/>
        <v/>
      </c>
      <c r="AP493" s="39">
        <f t="shared" si="142"/>
        <v>0</v>
      </c>
      <c r="AQ493" s="39">
        <f t="shared" si="143"/>
        <v>0</v>
      </c>
    </row>
    <row r="494" spans="14:43" x14ac:dyDescent="0.25">
      <c r="N494" s="105">
        <f t="shared" si="126"/>
        <v>0</v>
      </c>
      <c r="O494" s="106" t="str">
        <f>IF($F494="","",IF(ISNUMBER($F494),$F494+Settings!$C$7/24,IFERROR(DATEVALUE(LEFT($F494,10))+TIMEVALUE(MID($F494,12,8))+Settings!$C$7/24,"")))</f>
        <v/>
      </c>
      <c r="P494" s="106" t="str">
        <f>IF($G494="","",IF(ISNUMBER($G494),$G494+Settings!$C$7/24,IFERROR(DATEVALUE(LEFT($G494,10))+TIMEVALUE(MID($G494,12,8))+Settings!$C$7/24,"")))</f>
        <v/>
      </c>
      <c r="Q494" s="39" t="str">
        <f t="shared" si="127"/>
        <v/>
      </c>
      <c r="R494" s="39" t="str">
        <f t="shared" si="128"/>
        <v/>
      </c>
      <c r="S494" s="107" t="str">
        <f t="shared" si="129"/>
        <v/>
      </c>
      <c r="T494" s="39" t="str">
        <f>IF($C494="","",IF(COUNTIF($C$2:$C494,$C494)=1,1,0))</f>
        <v/>
      </c>
      <c r="U494" s="39" t="str">
        <f>IF($T494=1,COUNTIF($T$2:$T494,1),"")</f>
        <v/>
      </c>
      <c r="V494" s="39" t="str">
        <f>IF($B494="","",IF(COUNTIF($B$2:$B494,$B494)=1,1,0))</f>
        <v/>
      </c>
      <c r="W494" s="39" t="str">
        <f>IF($V494=1,COUNTIF($V$2:$V494,1),"")</f>
        <v/>
      </c>
      <c r="X494" s="39" t="str">
        <f>IF($A494="","",IF(COUNTIF($A$2:$A494,$A494)=1,1,0))</f>
        <v/>
      </c>
      <c r="Y494" s="39" t="str">
        <f>IF($X494=1,COUNTIF($X$2:$X494,1),"")</f>
        <v/>
      </c>
      <c r="Z494" s="39">
        <f>IF(AND($E494="timed",$N494&gt;Settings!$C$8),1,0)</f>
        <v>0</v>
      </c>
      <c r="AA494" s="39">
        <f t="shared" si="130"/>
        <v>0</v>
      </c>
      <c r="AB494" s="39">
        <f t="shared" si="131"/>
        <v>0</v>
      </c>
      <c r="AC494" s="39" t="str">
        <f t="shared" si="132"/>
        <v/>
      </c>
      <c r="AD494" s="39" t="str">
        <f t="shared" si="133"/>
        <v/>
      </c>
      <c r="AE494" s="39" t="str">
        <f t="shared" si="134"/>
        <v/>
      </c>
      <c r="AF494" s="106" t="str">
        <f t="shared" si="135"/>
        <v/>
      </c>
      <c r="AG494" s="39">
        <f t="shared" si="136"/>
        <v>0</v>
      </c>
      <c r="AH494" s="39" t="str">
        <f t="shared" si="137"/>
        <v/>
      </c>
      <c r="AI494" s="39">
        <f>IF(AND($E494="timed",$N494&gt;=Settings!$C$9),1,0)</f>
        <v>0</v>
      </c>
      <c r="AJ494" s="39" t="str">
        <f>IF(OR($S494="",Settings!$C$16=""),"",IF($S494&lt;=Settings!$C$16,1,2))</f>
        <v/>
      </c>
      <c r="AK494" s="39" t="str">
        <f>IF($C494="","",IFERROR(IF(INDEX(Settings!$C$20:$C$59,MATCH($C494,Settings!$B$20:$B$59,0))="",Settings!$C$10,INDEX(Settings!$C$20:$C$59,MATCH($C494,Settings!$B$20:$B$59,0))),Settings!$C$10))</f>
        <v/>
      </c>
      <c r="AL494" s="108">
        <f t="shared" si="138"/>
        <v>0</v>
      </c>
      <c r="AM494" s="39" t="str">
        <f t="shared" si="139"/>
        <v/>
      </c>
      <c r="AN494" s="39" t="str">
        <f t="shared" si="140"/>
        <v/>
      </c>
      <c r="AO494" s="39" t="str">
        <f t="shared" si="141"/>
        <v/>
      </c>
      <c r="AP494" s="39">
        <f t="shared" si="142"/>
        <v>0</v>
      </c>
      <c r="AQ494" s="39">
        <f t="shared" si="143"/>
        <v>0</v>
      </c>
    </row>
    <row r="495" spans="14:43" x14ac:dyDescent="0.25">
      <c r="N495" s="105">
        <f t="shared" si="126"/>
        <v>0</v>
      </c>
      <c r="O495" s="106" t="str">
        <f>IF($F495="","",IF(ISNUMBER($F495),$F495+Settings!$C$7/24,IFERROR(DATEVALUE(LEFT($F495,10))+TIMEVALUE(MID($F495,12,8))+Settings!$C$7/24,"")))</f>
        <v/>
      </c>
      <c r="P495" s="106" t="str">
        <f>IF($G495="","",IF(ISNUMBER($G495),$G495+Settings!$C$7/24,IFERROR(DATEVALUE(LEFT($G495,10))+TIMEVALUE(MID($G495,12,8))+Settings!$C$7/24,"")))</f>
        <v/>
      </c>
      <c r="Q495" s="39" t="str">
        <f t="shared" si="127"/>
        <v/>
      </c>
      <c r="R495" s="39" t="str">
        <f t="shared" si="128"/>
        <v/>
      </c>
      <c r="S495" s="107" t="str">
        <f t="shared" si="129"/>
        <v/>
      </c>
      <c r="T495" s="39" t="str">
        <f>IF($C495="","",IF(COUNTIF($C$2:$C495,$C495)=1,1,0))</f>
        <v/>
      </c>
      <c r="U495" s="39" t="str">
        <f>IF($T495=1,COUNTIF($T$2:$T495,1),"")</f>
        <v/>
      </c>
      <c r="V495" s="39" t="str">
        <f>IF($B495="","",IF(COUNTIF($B$2:$B495,$B495)=1,1,0))</f>
        <v/>
      </c>
      <c r="W495" s="39" t="str">
        <f>IF($V495=1,COUNTIF($V$2:$V495,1),"")</f>
        <v/>
      </c>
      <c r="X495" s="39" t="str">
        <f>IF($A495="","",IF(COUNTIF($A$2:$A495,$A495)=1,1,0))</f>
        <v/>
      </c>
      <c r="Y495" s="39" t="str">
        <f>IF($X495=1,COUNTIF($X$2:$X495,1),"")</f>
        <v/>
      </c>
      <c r="Z495" s="39">
        <f>IF(AND($E495="timed",$N495&gt;Settings!$C$8),1,0)</f>
        <v>0</v>
      </c>
      <c r="AA495" s="39">
        <f t="shared" si="130"/>
        <v>0</v>
      </c>
      <c r="AB495" s="39">
        <f t="shared" si="131"/>
        <v>0</v>
      </c>
      <c r="AC495" s="39" t="str">
        <f t="shared" si="132"/>
        <v/>
      </c>
      <c r="AD495" s="39" t="str">
        <f t="shared" si="133"/>
        <v/>
      </c>
      <c r="AE495" s="39" t="str">
        <f t="shared" si="134"/>
        <v/>
      </c>
      <c r="AF495" s="106" t="str">
        <f t="shared" si="135"/>
        <v/>
      </c>
      <c r="AG495" s="39">
        <f t="shared" si="136"/>
        <v>0</v>
      </c>
      <c r="AH495" s="39" t="str">
        <f t="shared" si="137"/>
        <v/>
      </c>
      <c r="AI495" s="39">
        <f>IF(AND($E495="timed",$N495&gt;=Settings!$C$9),1,0)</f>
        <v>0</v>
      </c>
      <c r="AJ495" s="39" t="str">
        <f>IF(OR($S495="",Settings!$C$16=""),"",IF($S495&lt;=Settings!$C$16,1,2))</f>
        <v/>
      </c>
      <c r="AK495" s="39" t="str">
        <f>IF($C495="","",IFERROR(IF(INDEX(Settings!$C$20:$C$59,MATCH($C495,Settings!$B$20:$B$59,0))="",Settings!$C$10,INDEX(Settings!$C$20:$C$59,MATCH($C495,Settings!$B$20:$B$59,0))),Settings!$C$10))</f>
        <v/>
      </c>
      <c r="AL495" s="108">
        <f t="shared" si="138"/>
        <v>0</v>
      </c>
      <c r="AM495" s="39" t="str">
        <f t="shared" si="139"/>
        <v/>
      </c>
      <c r="AN495" s="39" t="str">
        <f t="shared" si="140"/>
        <v/>
      </c>
      <c r="AO495" s="39" t="str">
        <f t="shared" si="141"/>
        <v/>
      </c>
      <c r="AP495" s="39">
        <f t="shared" si="142"/>
        <v>0</v>
      </c>
      <c r="AQ495" s="39">
        <f t="shared" si="143"/>
        <v>0</v>
      </c>
    </row>
    <row r="496" spans="14:43" x14ac:dyDescent="0.25">
      <c r="N496" s="105">
        <f t="shared" si="126"/>
        <v>0</v>
      </c>
      <c r="O496" s="106" t="str">
        <f>IF($F496="","",IF(ISNUMBER($F496),$F496+Settings!$C$7/24,IFERROR(DATEVALUE(LEFT($F496,10))+TIMEVALUE(MID($F496,12,8))+Settings!$C$7/24,"")))</f>
        <v/>
      </c>
      <c r="P496" s="106" t="str">
        <f>IF($G496="","",IF(ISNUMBER($G496),$G496+Settings!$C$7/24,IFERROR(DATEVALUE(LEFT($G496,10))+TIMEVALUE(MID($G496,12,8))+Settings!$C$7/24,"")))</f>
        <v/>
      </c>
      <c r="Q496" s="39" t="str">
        <f t="shared" si="127"/>
        <v/>
      </c>
      <c r="R496" s="39" t="str">
        <f t="shared" si="128"/>
        <v/>
      </c>
      <c r="S496" s="107" t="str">
        <f t="shared" si="129"/>
        <v/>
      </c>
      <c r="T496" s="39" t="str">
        <f>IF($C496="","",IF(COUNTIF($C$2:$C496,$C496)=1,1,0))</f>
        <v/>
      </c>
      <c r="U496" s="39" t="str">
        <f>IF($T496=1,COUNTIF($T$2:$T496,1),"")</f>
        <v/>
      </c>
      <c r="V496" s="39" t="str">
        <f>IF($B496="","",IF(COUNTIF($B$2:$B496,$B496)=1,1,0))</f>
        <v/>
      </c>
      <c r="W496" s="39" t="str">
        <f>IF($V496=1,COUNTIF($V$2:$V496,1),"")</f>
        <v/>
      </c>
      <c r="X496" s="39" t="str">
        <f>IF($A496="","",IF(COUNTIF($A$2:$A496,$A496)=1,1,0))</f>
        <v/>
      </c>
      <c r="Y496" s="39" t="str">
        <f>IF($X496=1,COUNTIF($X$2:$X496,1),"")</f>
        <v/>
      </c>
      <c r="Z496" s="39">
        <f>IF(AND($E496="timed",$N496&gt;Settings!$C$8),1,0)</f>
        <v>0</v>
      </c>
      <c r="AA496" s="39">
        <f t="shared" si="130"/>
        <v>0</v>
      </c>
      <c r="AB496" s="39">
        <f t="shared" si="131"/>
        <v>0</v>
      </c>
      <c r="AC496" s="39" t="str">
        <f t="shared" si="132"/>
        <v/>
      </c>
      <c r="AD496" s="39" t="str">
        <f t="shared" si="133"/>
        <v/>
      </c>
      <c r="AE496" s="39" t="str">
        <f t="shared" si="134"/>
        <v/>
      </c>
      <c r="AF496" s="106" t="str">
        <f t="shared" si="135"/>
        <v/>
      </c>
      <c r="AG496" s="39">
        <f t="shared" si="136"/>
        <v>0</v>
      </c>
      <c r="AH496" s="39" t="str">
        <f t="shared" si="137"/>
        <v/>
      </c>
      <c r="AI496" s="39">
        <f>IF(AND($E496="timed",$N496&gt;=Settings!$C$9),1,0)</f>
        <v>0</v>
      </c>
      <c r="AJ496" s="39" t="str">
        <f>IF(OR($S496="",Settings!$C$16=""),"",IF($S496&lt;=Settings!$C$16,1,2))</f>
        <v/>
      </c>
      <c r="AK496" s="39" t="str">
        <f>IF($C496="","",IFERROR(IF(INDEX(Settings!$C$20:$C$59,MATCH($C496,Settings!$B$20:$B$59,0))="",Settings!$C$10,INDEX(Settings!$C$20:$C$59,MATCH($C496,Settings!$B$20:$B$59,0))),Settings!$C$10))</f>
        <v/>
      </c>
      <c r="AL496" s="108">
        <f t="shared" si="138"/>
        <v>0</v>
      </c>
      <c r="AM496" s="39" t="str">
        <f t="shared" si="139"/>
        <v/>
      </c>
      <c r="AN496" s="39" t="str">
        <f t="shared" si="140"/>
        <v/>
      </c>
      <c r="AO496" s="39" t="str">
        <f t="shared" si="141"/>
        <v/>
      </c>
      <c r="AP496" s="39">
        <f t="shared" si="142"/>
        <v>0</v>
      </c>
      <c r="AQ496" s="39">
        <f t="shared" si="143"/>
        <v>0</v>
      </c>
    </row>
    <row r="497" spans="14:43" x14ac:dyDescent="0.25">
      <c r="N497" s="105">
        <f t="shared" si="126"/>
        <v>0</v>
      </c>
      <c r="O497" s="106" t="str">
        <f>IF($F497="","",IF(ISNUMBER($F497),$F497+Settings!$C$7/24,IFERROR(DATEVALUE(LEFT($F497,10))+TIMEVALUE(MID($F497,12,8))+Settings!$C$7/24,"")))</f>
        <v/>
      </c>
      <c r="P497" s="106" t="str">
        <f>IF($G497="","",IF(ISNUMBER($G497),$G497+Settings!$C$7/24,IFERROR(DATEVALUE(LEFT($G497,10))+TIMEVALUE(MID($G497,12,8))+Settings!$C$7/24,"")))</f>
        <v/>
      </c>
      <c r="Q497" s="39" t="str">
        <f t="shared" si="127"/>
        <v/>
      </c>
      <c r="R497" s="39" t="str">
        <f t="shared" si="128"/>
        <v/>
      </c>
      <c r="S497" s="107" t="str">
        <f t="shared" si="129"/>
        <v/>
      </c>
      <c r="T497" s="39" t="str">
        <f>IF($C497="","",IF(COUNTIF($C$2:$C497,$C497)=1,1,0))</f>
        <v/>
      </c>
      <c r="U497" s="39" t="str">
        <f>IF($T497=1,COUNTIF($T$2:$T497,1),"")</f>
        <v/>
      </c>
      <c r="V497" s="39" t="str">
        <f>IF($B497="","",IF(COUNTIF($B$2:$B497,$B497)=1,1,0))</f>
        <v/>
      </c>
      <c r="W497" s="39" t="str">
        <f>IF($V497=1,COUNTIF($V$2:$V497,1),"")</f>
        <v/>
      </c>
      <c r="X497" s="39" t="str">
        <f>IF($A497="","",IF(COUNTIF($A$2:$A497,$A497)=1,1,0))</f>
        <v/>
      </c>
      <c r="Y497" s="39" t="str">
        <f>IF($X497=1,COUNTIF($X$2:$X497,1),"")</f>
        <v/>
      </c>
      <c r="Z497" s="39">
        <f>IF(AND($E497="timed",$N497&gt;Settings!$C$8),1,0)</f>
        <v>0</v>
      </c>
      <c r="AA497" s="39">
        <f t="shared" si="130"/>
        <v>0</v>
      </c>
      <c r="AB497" s="39">
        <f t="shared" si="131"/>
        <v>0</v>
      </c>
      <c r="AC497" s="39" t="str">
        <f t="shared" si="132"/>
        <v/>
      </c>
      <c r="AD497" s="39" t="str">
        <f t="shared" si="133"/>
        <v/>
      </c>
      <c r="AE497" s="39" t="str">
        <f t="shared" si="134"/>
        <v/>
      </c>
      <c r="AF497" s="106" t="str">
        <f t="shared" si="135"/>
        <v/>
      </c>
      <c r="AG497" s="39">
        <f t="shared" si="136"/>
        <v>0</v>
      </c>
      <c r="AH497" s="39" t="str">
        <f t="shared" si="137"/>
        <v/>
      </c>
      <c r="AI497" s="39">
        <f>IF(AND($E497="timed",$N497&gt;=Settings!$C$9),1,0)</f>
        <v>0</v>
      </c>
      <c r="AJ497" s="39" t="str">
        <f>IF(OR($S497="",Settings!$C$16=""),"",IF($S497&lt;=Settings!$C$16,1,2))</f>
        <v/>
      </c>
      <c r="AK497" s="39" t="str">
        <f>IF($C497="","",IFERROR(IF(INDEX(Settings!$C$20:$C$59,MATCH($C497,Settings!$B$20:$B$59,0))="",Settings!$C$10,INDEX(Settings!$C$20:$C$59,MATCH($C497,Settings!$B$20:$B$59,0))),Settings!$C$10))</f>
        <v/>
      </c>
      <c r="AL497" s="108">
        <f t="shared" si="138"/>
        <v>0</v>
      </c>
      <c r="AM497" s="39" t="str">
        <f t="shared" si="139"/>
        <v/>
      </c>
      <c r="AN497" s="39" t="str">
        <f t="shared" si="140"/>
        <v/>
      </c>
      <c r="AO497" s="39" t="str">
        <f t="shared" si="141"/>
        <v/>
      </c>
      <c r="AP497" s="39">
        <f t="shared" si="142"/>
        <v>0</v>
      </c>
      <c r="AQ497" s="39">
        <f t="shared" si="143"/>
        <v>0</v>
      </c>
    </row>
    <row r="498" spans="14:43" x14ac:dyDescent="0.25">
      <c r="N498" s="105">
        <f t="shared" si="126"/>
        <v>0</v>
      </c>
      <c r="O498" s="106" t="str">
        <f>IF($F498="","",IF(ISNUMBER($F498),$F498+Settings!$C$7/24,IFERROR(DATEVALUE(LEFT($F498,10))+TIMEVALUE(MID($F498,12,8))+Settings!$C$7/24,"")))</f>
        <v/>
      </c>
      <c r="P498" s="106" t="str">
        <f>IF($G498="","",IF(ISNUMBER($G498),$G498+Settings!$C$7/24,IFERROR(DATEVALUE(LEFT($G498,10))+TIMEVALUE(MID($G498,12,8))+Settings!$C$7/24,"")))</f>
        <v/>
      </c>
      <c r="Q498" s="39" t="str">
        <f t="shared" si="127"/>
        <v/>
      </c>
      <c r="R498" s="39" t="str">
        <f t="shared" si="128"/>
        <v/>
      </c>
      <c r="S498" s="107" t="str">
        <f t="shared" si="129"/>
        <v/>
      </c>
      <c r="T498" s="39" t="str">
        <f>IF($C498="","",IF(COUNTIF($C$2:$C498,$C498)=1,1,0))</f>
        <v/>
      </c>
      <c r="U498" s="39" t="str">
        <f>IF($T498=1,COUNTIF($T$2:$T498,1),"")</f>
        <v/>
      </c>
      <c r="V498" s="39" t="str">
        <f>IF($B498="","",IF(COUNTIF($B$2:$B498,$B498)=1,1,0))</f>
        <v/>
      </c>
      <c r="W498" s="39" t="str">
        <f>IF($V498=1,COUNTIF($V$2:$V498,1),"")</f>
        <v/>
      </c>
      <c r="X498" s="39" t="str">
        <f>IF($A498="","",IF(COUNTIF($A$2:$A498,$A498)=1,1,0))</f>
        <v/>
      </c>
      <c r="Y498" s="39" t="str">
        <f>IF($X498=1,COUNTIF($X$2:$X498,1),"")</f>
        <v/>
      </c>
      <c r="Z498" s="39">
        <f>IF(AND($E498="timed",$N498&gt;Settings!$C$8),1,0)</f>
        <v>0</v>
      </c>
      <c r="AA498" s="39">
        <f t="shared" si="130"/>
        <v>0</v>
      </c>
      <c r="AB498" s="39">
        <f t="shared" si="131"/>
        <v>0</v>
      </c>
      <c r="AC498" s="39" t="str">
        <f t="shared" si="132"/>
        <v/>
      </c>
      <c r="AD498" s="39" t="str">
        <f t="shared" si="133"/>
        <v/>
      </c>
      <c r="AE498" s="39" t="str">
        <f t="shared" si="134"/>
        <v/>
      </c>
      <c r="AF498" s="106" t="str">
        <f t="shared" si="135"/>
        <v/>
      </c>
      <c r="AG498" s="39">
        <f t="shared" si="136"/>
        <v>0</v>
      </c>
      <c r="AH498" s="39" t="str">
        <f t="shared" si="137"/>
        <v/>
      </c>
      <c r="AI498" s="39">
        <f>IF(AND($E498="timed",$N498&gt;=Settings!$C$9),1,0)</f>
        <v>0</v>
      </c>
      <c r="AJ498" s="39" t="str">
        <f>IF(OR($S498="",Settings!$C$16=""),"",IF($S498&lt;=Settings!$C$16,1,2))</f>
        <v/>
      </c>
      <c r="AK498" s="39" t="str">
        <f>IF($C498="","",IFERROR(IF(INDEX(Settings!$C$20:$C$59,MATCH($C498,Settings!$B$20:$B$59,0))="",Settings!$C$10,INDEX(Settings!$C$20:$C$59,MATCH($C498,Settings!$B$20:$B$59,0))),Settings!$C$10))</f>
        <v/>
      </c>
      <c r="AL498" s="108">
        <f t="shared" si="138"/>
        <v>0</v>
      </c>
      <c r="AM498" s="39" t="str">
        <f t="shared" si="139"/>
        <v/>
      </c>
      <c r="AN498" s="39" t="str">
        <f t="shared" si="140"/>
        <v/>
      </c>
      <c r="AO498" s="39" t="str">
        <f t="shared" si="141"/>
        <v/>
      </c>
      <c r="AP498" s="39">
        <f t="shared" si="142"/>
        <v>0</v>
      </c>
      <c r="AQ498" s="39">
        <f t="shared" si="143"/>
        <v>0</v>
      </c>
    </row>
    <row r="499" spans="14:43" x14ac:dyDescent="0.25">
      <c r="N499" s="105">
        <f t="shared" si="126"/>
        <v>0</v>
      </c>
      <c r="O499" s="106" t="str">
        <f>IF($F499="","",IF(ISNUMBER($F499),$F499+Settings!$C$7/24,IFERROR(DATEVALUE(LEFT($F499,10))+TIMEVALUE(MID($F499,12,8))+Settings!$C$7/24,"")))</f>
        <v/>
      </c>
      <c r="P499" s="106" t="str">
        <f>IF($G499="","",IF(ISNUMBER($G499),$G499+Settings!$C$7/24,IFERROR(DATEVALUE(LEFT($G499,10))+TIMEVALUE(MID($G499,12,8))+Settings!$C$7/24,"")))</f>
        <v/>
      </c>
      <c r="Q499" s="39" t="str">
        <f t="shared" si="127"/>
        <v/>
      </c>
      <c r="R499" s="39" t="str">
        <f t="shared" si="128"/>
        <v/>
      </c>
      <c r="S499" s="107" t="str">
        <f t="shared" si="129"/>
        <v/>
      </c>
      <c r="T499" s="39" t="str">
        <f>IF($C499="","",IF(COUNTIF($C$2:$C499,$C499)=1,1,0))</f>
        <v/>
      </c>
      <c r="U499" s="39" t="str">
        <f>IF($T499=1,COUNTIF($T$2:$T499,1),"")</f>
        <v/>
      </c>
      <c r="V499" s="39" t="str">
        <f>IF($B499="","",IF(COUNTIF($B$2:$B499,$B499)=1,1,0))</f>
        <v/>
      </c>
      <c r="W499" s="39" t="str">
        <f>IF($V499=1,COUNTIF($V$2:$V499,1),"")</f>
        <v/>
      </c>
      <c r="X499" s="39" t="str">
        <f>IF($A499="","",IF(COUNTIF($A$2:$A499,$A499)=1,1,0))</f>
        <v/>
      </c>
      <c r="Y499" s="39" t="str">
        <f>IF($X499=1,COUNTIF($X$2:$X499,1),"")</f>
        <v/>
      </c>
      <c r="Z499" s="39">
        <f>IF(AND($E499="timed",$N499&gt;Settings!$C$8),1,0)</f>
        <v>0</v>
      </c>
      <c r="AA499" s="39">
        <f t="shared" si="130"/>
        <v>0</v>
      </c>
      <c r="AB499" s="39">
        <f t="shared" si="131"/>
        <v>0</v>
      </c>
      <c r="AC499" s="39" t="str">
        <f t="shared" si="132"/>
        <v/>
      </c>
      <c r="AD499" s="39" t="str">
        <f t="shared" si="133"/>
        <v/>
      </c>
      <c r="AE499" s="39" t="str">
        <f t="shared" si="134"/>
        <v/>
      </c>
      <c r="AF499" s="106" t="str">
        <f t="shared" si="135"/>
        <v/>
      </c>
      <c r="AG499" s="39">
        <f t="shared" si="136"/>
        <v>0</v>
      </c>
      <c r="AH499" s="39" t="str">
        <f t="shared" si="137"/>
        <v/>
      </c>
      <c r="AI499" s="39">
        <f>IF(AND($E499="timed",$N499&gt;=Settings!$C$9),1,0)</f>
        <v>0</v>
      </c>
      <c r="AJ499" s="39" t="str">
        <f>IF(OR($S499="",Settings!$C$16=""),"",IF($S499&lt;=Settings!$C$16,1,2))</f>
        <v/>
      </c>
      <c r="AK499" s="39" t="str">
        <f>IF($C499="","",IFERROR(IF(INDEX(Settings!$C$20:$C$59,MATCH($C499,Settings!$B$20:$B$59,0))="",Settings!$C$10,INDEX(Settings!$C$20:$C$59,MATCH($C499,Settings!$B$20:$B$59,0))),Settings!$C$10))</f>
        <v/>
      </c>
      <c r="AL499" s="108">
        <f t="shared" si="138"/>
        <v>0</v>
      </c>
      <c r="AM499" s="39" t="str">
        <f t="shared" si="139"/>
        <v/>
      </c>
      <c r="AN499" s="39" t="str">
        <f t="shared" si="140"/>
        <v/>
      </c>
      <c r="AO499" s="39" t="str">
        <f t="shared" si="141"/>
        <v/>
      </c>
      <c r="AP499" s="39">
        <f t="shared" si="142"/>
        <v>0</v>
      </c>
      <c r="AQ499" s="39">
        <f t="shared" si="143"/>
        <v>0</v>
      </c>
    </row>
    <row r="500" spans="14:43" x14ac:dyDescent="0.25">
      <c r="N500" s="105">
        <f t="shared" si="126"/>
        <v>0</v>
      </c>
      <c r="O500" s="106" t="str">
        <f>IF($F500="","",IF(ISNUMBER($F500),$F500+Settings!$C$7/24,IFERROR(DATEVALUE(LEFT($F500,10))+TIMEVALUE(MID($F500,12,8))+Settings!$C$7/24,"")))</f>
        <v/>
      </c>
      <c r="P500" s="106" t="str">
        <f>IF($G500="","",IF(ISNUMBER($G500),$G500+Settings!$C$7/24,IFERROR(DATEVALUE(LEFT($G500,10))+TIMEVALUE(MID($G500,12,8))+Settings!$C$7/24,"")))</f>
        <v/>
      </c>
      <c r="Q500" s="39" t="str">
        <f t="shared" si="127"/>
        <v/>
      </c>
      <c r="R500" s="39" t="str">
        <f t="shared" si="128"/>
        <v/>
      </c>
      <c r="S500" s="107" t="str">
        <f t="shared" si="129"/>
        <v/>
      </c>
      <c r="T500" s="39" t="str">
        <f>IF($C500="","",IF(COUNTIF($C$2:$C500,$C500)=1,1,0))</f>
        <v/>
      </c>
      <c r="U500" s="39" t="str">
        <f>IF($T500=1,COUNTIF($T$2:$T500,1),"")</f>
        <v/>
      </c>
      <c r="V500" s="39" t="str">
        <f>IF($B500="","",IF(COUNTIF($B$2:$B500,$B500)=1,1,0))</f>
        <v/>
      </c>
      <c r="W500" s="39" t="str">
        <f>IF($V500=1,COUNTIF($V$2:$V500,1),"")</f>
        <v/>
      </c>
      <c r="X500" s="39" t="str">
        <f>IF($A500="","",IF(COUNTIF($A$2:$A500,$A500)=1,1,0))</f>
        <v/>
      </c>
      <c r="Y500" s="39" t="str">
        <f>IF($X500=1,COUNTIF($X$2:$X500,1),"")</f>
        <v/>
      </c>
      <c r="Z500" s="39">
        <f>IF(AND($E500="timed",$N500&gt;Settings!$C$8),1,0)</f>
        <v>0</v>
      </c>
      <c r="AA500" s="39">
        <f t="shared" si="130"/>
        <v>0</v>
      </c>
      <c r="AB500" s="39">
        <f t="shared" si="131"/>
        <v>0</v>
      </c>
      <c r="AC500" s="39" t="str">
        <f t="shared" si="132"/>
        <v/>
      </c>
      <c r="AD500" s="39" t="str">
        <f t="shared" si="133"/>
        <v/>
      </c>
      <c r="AE500" s="39" t="str">
        <f t="shared" si="134"/>
        <v/>
      </c>
      <c r="AF500" s="106" t="str">
        <f t="shared" si="135"/>
        <v/>
      </c>
      <c r="AG500" s="39">
        <f t="shared" si="136"/>
        <v>0</v>
      </c>
      <c r="AH500" s="39" t="str">
        <f t="shared" si="137"/>
        <v/>
      </c>
      <c r="AI500" s="39">
        <f>IF(AND($E500="timed",$N500&gt;=Settings!$C$9),1,0)</f>
        <v>0</v>
      </c>
      <c r="AJ500" s="39" t="str">
        <f>IF(OR($S500="",Settings!$C$16=""),"",IF($S500&lt;=Settings!$C$16,1,2))</f>
        <v/>
      </c>
      <c r="AK500" s="39" t="str">
        <f>IF($C500="","",IFERROR(IF(INDEX(Settings!$C$20:$C$59,MATCH($C500,Settings!$B$20:$B$59,0))="",Settings!$C$10,INDEX(Settings!$C$20:$C$59,MATCH($C500,Settings!$B$20:$B$59,0))),Settings!$C$10))</f>
        <v/>
      </c>
      <c r="AL500" s="108">
        <f t="shared" si="138"/>
        <v>0</v>
      </c>
      <c r="AM500" s="39" t="str">
        <f t="shared" si="139"/>
        <v/>
      </c>
      <c r="AN500" s="39" t="str">
        <f t="shared" si="140"/>
        <v/>
      </c>
      <c r="AO500" s="39" t="str">
        <f t="shared" si="141"/>
        <v/>
      </c>
      <c r="AP500" s="39">
        <f t="shared" si="142"/>
        <v>0</v>
      </c>
      <c r="AQ500" s="39">
        <f t="shared" si="143"/>
        <v>0</v>
      </c>
    </row>
    <row r="501" spans="14:43" x14ac:dyDescent="0.25">
      <c r="N501" s="105">
        <f t="shared" si="126"/>
        <v>0</v>
      </c>
      <c r="O501" s="106" t="str">
        <f>IF($F501="","",IF(ISNUMBER($F501),$F501+Settings!$C$7/24,IFERROR(DATEVALUE(LEFT($F501,10))+TIMEVALUE(MID($F501,12,8))+Settings!$C$7/24,"")))</f>
        <v/>
      </c>
      <c r="P501" s="106" t="str">
        <f>IF($G501="","",IF(ISNUMBER($G501),$G501+Settings!$C$7/24,IFERROR(DATEVALUE(LEFT($G501,10))+TIMEVALUE(MID($G501,12,8))+Settings!$C$7/24,"")))</f>
        <v/>
      </c>
      <c r="Q501" s="39" t="str">
        <f t="shared" si="127"/>
        <v/>
      </c>
      <c r="R501" s="39" t="str">
        <f t="shared" si="128"/>
        <v/>
      </c>
      <c r="S501" s="107" t="str">
        <f t="shared" si="129"/>
        <v/>
      </c>
      <c r="T501" s="39" t="str">
        <f>IF($C501="","",IF(COUNTIF($C$2:$C501,$C501)=1,1,0))</f>
        <v/>
      </c>
      <c r="U501" s="39" t="str">
        <f>IF($T501=1,COUNTIF($T$2:$T501,1),"")</f>
        <v/>
      </c>
      <c r="V501" s="39" t="str">
        <f>IF($B501="","",IF(COUNTIF($B$2:$B501,$B501)=1,1,0))</f>
        <v/>
      </c>
      <c r="W501" s="39" t="str">
        <f>IF($V501=1,COUNTIF($V$2:$V501,1),"")</f>
        <v/>
      </c>
      <c r="X501" s="39" t="str">
        <f>IF($A501="","",IF(COUNTIF($A$2:$A501,$A501)=1,1,0))</f>
        <v/>
      </c>
      <c r="Y501" s="39" t="str">
        <f>IF($X501=1,COUNTIF($X$2:$X501,1),"")</f>
        <v/>
      </c>
      <c r="Z501" s="39">
        <f>IF(AND($E501="timed",$N501&gt;Settings!$C$8),1,0)</f>
        <v>0</v>
      </c>
      <c r="AA501" s="39">
        <f t="shared" si="130"/>
        <v>0</v>
      </c>
      <c r="AB501" s="39">
        <f t="shared" si="131"/>
        <v>0</v>
      </c>
      <c r="AC501" s="39" t="str">
        <f t="shared" si="132"/>
        <v/>
      </c>
      <c r="AD501" s="39" t="str">
        <f t="shared" si="133"/>
        <v/>
      </c>
      <c r="AE501" s="39" t="str">
        <f t="shared" si="134"/>
        <v/>
      </c>
      <c r="AF501" s="106" t="str">
        <f t="shared" si="135"/>
        <v/>
      </c>
      <c r="AG501" s="39">
        <f t="shared" si="136"/>
        <v>0</v>
      </c>
      <c r="AH501" s="39" t="str">
        <f t="shared" si="137"/>
        <v/>
      </c>
      <c r="AI501" s="39">
        <f>IF(AND($E501="timed",$N501&gt;=Settings!$C$9),1,0)</f>
        <v>0</v>
      </c>
      <c r="AJ501" s="39" t="str">
        <f>IF(OR($S501="",Settings!$C$16=""),"",IF($S501&lt;=Settings!$C$16,1,2))</f>
        <v/>
      </c>
      <c r="AK501" s="39" t="str">
        <f>IF($C501="","",IFERROR(IF(INDEX(Settings!$C$20:$C$59,MATCH($C501,Settings!$B$20:$B$59,0))="",Settings!$C$10,INDEX(Settings!$C$20:$C$59,MATCH($C501,Settings!$B$20:$B$59,0))),Settings!$C$10))</f>
        <v/>
      </c>
      <c r="AL501" s="108">
        <f t="shared" si="138"/>
        <v>0</v>
      </c>
      <c r="AM501" s="39" t="str">
        <f t="shared" si="139"/>
        <v/>
      </c>
      <c r="AN501" s="39" t="str">
        <f t="shared" si="140"/>
        <v/>
      </c>
      <c r="AO501" s="39" t="str">
        <f t="shared" si="141"/>
        <v/>
      </c>
      <c r="AP501" s="39">
        <f t="shared" si="142"/>
        <v>0</v>
      </c>
      <c r="AQ501" s="39">
        <f t="shared" si="143"/>
        <v>0</v>
      </c>
    </row>
    <row r="502" spans="14:43" x14ac:dyDescent="0.25">
      <c r="N502" s="105">
        <f t="shared" si="126"/>
        <v>0</v>
      </c>
      <c r="O502" s="106" t="str">
        <f>IF($F502="","",IF(ISNUMBER($F502),$F502+Settings!$C$7/24,IFERROR(DATEVALUE(LEFT($F502,10))+TIMEVALUE(MID($F502,12,8))+Settings!$C$7/24,"")))</f>
        <v/>
      </c>
      <c r="P502" s="106" t="str">
        <f>IF($G502="","",IF(ISNUMBER($G502),$G502+Settings!$C$7/24,IFERROR(DATEVALUE(LEFT($G502,10))+TIMEVALUE(MID($G502,12,8))+Settings!$C$7/24,"")))</f>
        <v/>
      </c>
      <c r="Q502" s="39" t="str">
        <f t="shared" si="127"/>
        <v/>
      </c>
      <c r="R502" s="39" t="str">
        <f t="shared" si="128"/>
        <v/>
      </c>
      <c r="S502" s="107" t="str">
        <f t="shared" si="129"/>
        <v/>
      </c>
      <c r="T502" s="39" t="str">
        <f>IF($C502="","",IF(COUNTIF($C$2:$C502,$C502)=1,1,0))</f>
        <v/>
      </c>
      <c r="U502" s="39" t="str">
        <f>IF($T502=1,COUNTIF($T$2:$T502,1),"")</f>
        <v/>
      </c>
      <c r="V502" s="39" t="str">
        <f>IF($B502="","",IF(COUNTIF($B$2:$B502,$B502)=1,1,0))</f>
        <v/>
      </c>
      <c r="W502" s="39" t="str">
        <f>IF($V502=1,COUNTIF($V$2:$V502,1),"")</f>
        <v/>
      </c>
      <c r="X502" s="39" t="str">
        <f>IF($A502="","",IF(COUNTIF($A$2:$A502,$A502)=1,1,0))</f>
        <v/>
      </c>
      <c r="Y502" s="39" t="str">
        <f>IF($X502=1,COUNTIF($X$2:$X502,1),"")</f>
        <v/>
      </c>
      <c r="Z502" s="39">
        <f>IF(AND($E502="timed",$N502&gt;Settings!$C$8),1,0)</f>
        <v>0</v>
      </c>
      <c r="AA502" s="39">
        <f t="shared" si="130"/>
        <v>0</v>
      </c>
      <c r="AB502" s="39">
        <f t="shared" si="131"/>
        <v>0</v>
      </c>
      <c r="AC502" s="39" t="str">
        <f t="shared" si="132"/>
        <v/>
      </c>
      <c r="AD502" s="39" t="str">
        <f t="shared" si="133"/>
        <v/>
      </c>
      <c r="AE502" s="39" t="str">
        <f t="shared" si="134"/>
        <v/>
      </c>
      <c r="AF502" s="106" t="str">
        <f t="shared" si="135"/>
        <v/>
      </c>
      <c r="AG502" s="39">
        <f t="shared" si="136"/>
        <v>0</v>
      </c>
      <c r="AH502" s="39" t="str">
        <f t="shared" si="137"/>
        <v/>
      </c>
      <c r="AI502" s="39">
        <f>IF(AND($E502="timed",$N502&gt;=Settings!$C$9),1,0)</f>
        <v>0</v>
      </c>
      <c r="AJ502" s="39" t="str">
        <f>IF(OR($S502="",Settings!$C$16=""),"",IF($S502&lt;=Settings!$C$16,1,2))</f>
        <v/>
      </c>
      <c r="AK502" s="39" t="str">
        <f>IF($C502="","",IFERROR(IF(INDEX(Settings!$C$20:$C$59,MATCH($C502,Settings!$B$20:$B$59,0))="",Settings!$C$10,INDEX(Settings!$C$20:$C$59,MATCH($C502,Settings!$B$20:$B$59,0))),Settings!$C$10))</f>
        <v/>
      </c>
      <c r="AL502" s="108">
        <f t="shared" si="138"/>
        <v>0</v>
      </c>
      <c r="AM502" s="39" t="str">
        <f t="shared" si="139"/>
        <v/>
      </c>
      <c r="AN502" s="39" t="str">
        <f t="shared" si="140"/>
        <v/>
      </c>
      <c r="AO502" s="39" t="str">
        <f t="shared" si="141"/>
        <v/>
      </c>
      <c r="AP502" s="39">
        <f t="shared" si="142"/>
        <v>0</v>
      </c>
      <c r="AQ502" s="39">
        <f t="shared" si="143"/>
        <v>0</v>
      </c>
    </row>
    <row r="503" spans="14:43" x14ac:dyDescent="0.25">
      <c r="N503" s="105">
        <f t="shared" si="126"/>
        <v>0</v>
      </c>
      <c r="O503" s="106" t="str">
        <f>IF($F503="","",IF(ISNUMBER($F503),$F503+Settings!$C$7/24,IFERROR(DATEVALUE(LEFT($F503,10))+TIMEVALUE(MID($F503,12,8))+Settings!$C$7/24,"")))</f>
        <v/>
      </c>
      <c r="P503" s="106" t="str">
        <f>IF($G503="","",IF(ISNUMBER($G503),$G503+Settings!$C$7/24,IFERROR(DATEVALUE(LEFT($G503,10))+TIMEVALUE(MID($G503,12,8))+Settings!$C$7/24,"")))</f>
        <v/>
      </c>
      <c r="Q503" s="39" t="str">
        <f t="shared" si="127"/>
        <v/>
      </c>
      <c r="R503" s="39" t="str">
        <f t="shared" si="128"/>
        <v/>
      </c>
      <c r="S503" s="107" t="str">
        <f t="shared" si="129"/>
        <v/>
      </c>
      <c r="T503" s="39" t="str">
        <f>IF($C503="","",IF(COUNTIF($C$2:$C503,$C503)=1,1,0))</f>
        <v/>
      </c>
      <c r="U503" s="39" t="str">
        <f>IF($T503=1,COUNTIF($T$2:$T503,1),"")</f>
        <v/>
      </c>
      <c r="V503" s="39" t="str">
        <f>IF($B503="","",IF(COUNTIF($B$2:$B503,$B503)=1,1,0))</f>
        <v/>
      </c>
      <c r="W503" s="39" t="str">
        <f>IF($V503=1,COUNTIF($V$2:$V503,1),"")</f>
        <v/>
      </c>
      <c r="X503" s="39" t="str">
        <f>IF($A503="","",IF(COUNTIF($A$2:$A503,$A503)=1,1,0))</f>
        <v/>
      </c>
      <c r="Y503" s="39" t="str">
        <f>IF($X503=1,COUNTIF($X$2:$X503,1),"")</f>
        <v/>
      </c>
      <c r="Z503" s="39">
        <f>IF(AND($E503="timed",$N503&gt;Settings!$C$8),1,0)</f>
        <v>0</v>
      </c>
      <c r="AA503" s="39">
        <f t="shared" si="130"/>
        <v>0</v>
      </c>
      <c r="AB503" s="39">
        <f t="shared" si="131"/>
        <v>0</v>
      </c>
      <c r="AC503" s="39" t="str">
        <f t="shared" si="132"/>
        <v/>
      </c>
      <c r="AD503" s="39" t="str">
        <f t="shared" si="133"/>
        <v/>
      </c>
      <c r="AE503" s="39" t="str">
        <f t="shared" si="134"/>
        <v/>
      </c>
      <c r="AF503" s="106" t="str">
        <f t="shared" si="135"/>
        <v/>
      </c>
      <c r="AG503" s="39">
        <f t="shared" si="136"/>
        <v>0</v>
      </c>
      <c r="AH503" s="39" t="str">
        <f t="shared" si="137"/>
        <v/>
      </c>
      <c r="AI503" s="39">
        <f>IF(AND($E503="timed",$N503&gt;=Settings!$C$9),1,0)</f>
        <v>0</v>
      </c>
      <c r="AJ503" s="39" t="str">
        <f>IF(OR($S503="",Settings!$C$16=""),"",IF($S503&lt;=Settings!$C$16,1,2))</f>
        <v/>
      </c>
      <c r="AK503" s="39" t="str">
        <f>IF($C503="","",IFERROR(IF(INDEX(Settings!$C$20:$C$59,MATCH($C503,Settings!$B$20:$B$59,0))="",Settings!$C$10,INDEX(Settings!$C$20:$C$59,MATCH($C503,Settings!$B$20:$B$59,0))),Settings!$C$10))</f>
        <v/>
      </c>
      <c r="AL503" s="108">
        <f t="shared" si="138"/>
        <v>0</v>
      </c>
      <c r="AM503" s="39" t="str">
        <f t="shared" si="139"/>
        <v/>
      </c>
      <c r="AN503" s="39" t="str">
        <f t="shared" si="140"/>
        <v/>
      </c>
      <c r="AO503" s="39" t="str">
        <f t="shared" si="141"/>
        <v/>
      </c>
      <c r="AP503" s="39">
        <f t="shared" si="142"/>
        <v>0</v>
      </c>
      <c r="AQ503" s="39">
        <f t="shared" si="143"/>
        <v>0</v>
      </c>
    </row>
    <row r="504" spans="14:43" x14ac:dyDescent="0.25">
      <c r="N504" s="105">
        <f t="shared" si="126"/>
        <v>0</v>
      </c>
      <c r="O504" s="106" t="str">
        <f>IF($F504="","",IF(ISNUMBER($F504),$F504+Settings!$C$7/24,IFERROR(DATEVALUE(LEFT($F504,10))+TIMEVALUE(MID($F504,12,8))+Settings!$C$7/24,"")))</f>
        <v/>
      </c>
      <c r="P504" s="106" t="str">
        <f>IF($G504="","",IF(ISNUMBER($G504),$G504+Settings!$C$7/24,IFERROR(DATEVALUE(LEFT($G504,10))+TIMEVALUE(MID($G504,12,8))+Settings!$C$7/24,"")))</f>
        <v/>
      </c>
      <c r="Q504" s="39" t="str">
        <f t="shared" si="127"/>
        <v/>
      </c>
      <c r="R504" s="39" t="str">
        <f t="shared" si="128"/>
        <v/>
      </c>
      <c r="S504" s="107" t="str">
        <f t="shared" si="129"/>
        <v/>
      </c>
      <c r="T504" s="39" t="str">
        <f>IF($C504="","",IF(COUNTIF($C$2:$C504,$C504)=1,1,0))</f>
        <v/>
      </c>
      <c r="U504" s="39" t="str">
        <f>IF($T504=1,COUNTIF($T$2:$T504,1),"")</f>
        <v/>
      </c>
      <c r="V504" s="39" t="str">
        <f>IF($B504="","",IF(COUNTIF($B$2:$B504,$B504)=1,1,0))</f>
        <v/>
      </c>
      <c r="W504" s="39" t="str">
        <f>IF($V504=1,COUNTIF($V$2:$V504,1),"")</f>
        <v/>
      </c>
      <c r="X504" s="39" t="str">
        <f>IF($A504="","",IF(COUNTIF($A$2:$A504,$A504)=1,1,0))</f>
        <v/>
      </c>
      <c r="Y504" s="39" t="str">
        <f>IF($X504=1,COUNTIF($X$2:$X504,1),"")</f>
        <v/>
      </c>
      <c r="Z504" s="39">
        <f>IF(AND($E504="timed",$N504&gt;Settings!$C$8),1,0)</f>
        <v>0</v>
      </c>
      <c r="AA504" s="39">
        <f t="shared" si="130"/>
        <v>0</v>
      </c>
      <c r="AB504" s="39">
        <f t="shared" si="131"/>
        <v>0</v>
      </c>
      <c r="AC504" s="39" t="str">
        <f t="shared" si="132"/>
        <v/>
      </c>
      <c r="AD504" s="39" t="str">
        <f t="shared" si="133"/>
        <v/>
      </c>
      <c r="AE504" s="39" t="str">
        <f t="shared" si="134"/>
        <v/>
      </c>
      <c r="AF504" s="106" t="str">
        <f t="shared" si="135"/>
        <v/>
      </c>
      <c r="AG504" s="39">
        <f t="shared" si="136"/>
        <v>0</v>
      </c>
      <c r="AH504" s="39" t="str">
        <f t="shared" si="137"/>
        <v/>
      </c>
      <c r="AI504" s="39">
        <f>IF(AND($E504="timed",$N504&gt;=Settings!$C$9),1,0)</f>
        <v>0</v>
      </c>
      <c r="AJ504" s="39" t="str">
        <f>IF(OR($S504="",Settings!$C$16=""),"",IF($S504&lt;=Settings!$C$16,1,2))</f>
        <v/>
      </c>
      <c r="AK504" s="39" t="str">
        <f>IF($C504="","",IFERROR(IF(INDEX(Settings!$C$20:$C$59,MATCH($C504,Settings!$B$20:$B$59,0))="",Settings!$C$10,INDEX(Settings!$C$20:$C$59,MATCH($C504,Settings!$B$20:$B$59,0))),Settings!$C$10))</f>
        <v/>
      </c>
      <c r="AL504" s="108">
        <f t="shared" si="138"/>
        <v>0</v>
      </c>
      <c r="AM504" s="39" t="str">
        <f t="shared" si="139"/>
        <v/>
      </c>
      <c r="AN504" s="39" t="str">
        <f t="shared" si="140"/>
        <v/>
      </c>
      <c r="AO504" s="39" t="str">
        <f t="shared" si="141"/>
        <v/>
      </c>
      <c r="AP504" s="39">
        <f t="shared" si="142"/>
        <v>0</v>
      </c>
      <c r="AQ504" s="39">
        <f t="shared" si="143"/>
        <v>0</v>
      </c>
    </row>
    <row r="505" spans="14:43" x14ac:dyDescent="0.25">
      <c r="N505" s="105">
        <f t="shared" si="126"/>
        <v>0</v>
      </c>
      <c r="O505" s="106" t="str">
        <f>IF($F505="","",IF(ISNUMBER($F505),$F505+Settings!$C$7/24,IFERROR(DATEVALUE(LEFT($F505,10))+TIMEVALUE(MID($F505,12,8))+Settings!$C$7/24,"")))</f>
        <v/>
      </c>
      <c r="P505" s="106" t="str">
        <f>IF($G505="","",IF(ISNUMBER($G505),$G505+Settings!$C$7/24,IFERROR(DATEVALUE(LEFT($G505,10))+TIMEVALUE(MID($G505,12,8))+Settings!$C$7/24,"")))</f>
        <v/>
      </c>
      <c r="Q505" s="39" t="str">
        <f t="shared" si="127"/>
        <v/>
      </c>
      <c r="R505" s="39" t="str">
        <f t="shared" si="128"/>
        <v/>
      </c>
      <c r="S505" s="107" t="str">
        <f t="shared" si="129"/>
        <v/>
      </c>
      <c r="T505" s="39" t="str">
        <f>IF($C505="","",IF(COUNTIF($C$2:$C505,$C505)=1,1,0))</f>
        <v/>
      </c>
      <c r="U505" s="39" t="str">
        <f>IF($T505=1,COUNTIF($T$2:$T505,1),"")</f>
        <v/>
      </c>
      <c r="V505" s="39" t="str">
        <f>IF($B505="","",IF(COUNTIF($B$2:$B505,$B505)=1,1,0))</f>
        <v/>
      </c>
      <c r="W505" s="39" t="str">
        <f>IF($V505=1,COUNTIF($V$2:$V505,1),"")</f>
        <v/>
      </c>
      <c r="X505" s="39" t="str">
        <f>IF($A505="","",IF(COUNTIF($A$2:$A505,$A505)=1,1,0))</f>
        <v/>
      </c>
      <c r="Y505" s="39" t="str">
        <f>IF($X505=1,COUNTIF($X$2:$X505,1),"")</f>
        <v/>
      </c>
      <c r="Z505" s="39">
        <f>IF(AND($E505="timed",$N505&gt;Settings!$C$8),1,0)</f>
        <v>0</v>
      </c>
      <c r="AA505" s="39">
        <f t="shared" si="130"/>
        <v>0</v>
      </c>
      <c r="AB505" s="39">
        <f t="shared" si="131"/>
        <v>0</v>
      </c>
      <c r="AC505" s="39" t="str">
        <f t="shared" si="132"/>
        <v/>
      </c>
      <c r="AD505" s="39" t="str">
        <f t="shared" si="133"/>
        <v/>
      </c>
      <c r="AE505" s="39" t="str">
        <f t="shared" si="134"/>
        <v/>
      </c>
      <c r="AF505" s="106" t="str">
        <f t="shared" si="135"/>
        <v/>
      </c>
      <c r="AG505" s="39">
        <f t="shared" si="136"/>
        <v>0</v>
      </c>
      <c r="AH505" s="39" t="str">
        <f t="shared" si="137"/>
        <v/>
      </c>
      <c r="AI505" s="39">
        <f>IF(AND($E505="timed",$N505&gt;=Settings!$C$9),1,0)</f>
        <v>0</v>
      </c>
      <c r="AJ505" s="39" t="str">
        <f>IF(OR($S505="",Settings!$C$16=""),"",IF($S505&lt;=Settings!$C$16,1,2))</f>
        <v/>
      </c>
      <c r="AK505" s="39" t="str">
        <f>IF($C505="","",IFERROR(IF(INDEX(Settings!$C$20:$C$59,MATCH($C505,Settings!$B$20:$B$59,0))="",Settings!$C$10,INDEX(Settings!$C$20:$C$59,MATCH($C505,Settings!$B$20:$B$59,0))),Settings!$C$10))</f>
        <v/>
      </c>
      <c r="AL505" s="108">
        <f t="shared" si="138"/>
        <v>0</v>
      </c>
      <c r="AM505" s="39" t="str">
        <f t="shared" si="139"/>
        <v/>
      </c>
      <c r="AN505" s="39" t="str">
        <f t="shared" si="140"/>
        <v/>
      </c>
      <c r="AO505" s="39" t="str">
        <f t="shared" si="141"/>
        <v/>
      </c>
      <c r="AP505" s="39">
        <f t="shared" si="142"/>
        <v>0</v>
      </c>
      <c r="AQ505" s="39">
        <f t="shared" si="143"/>
        <v>0</v>
      </c>
    </row>
    <row r="506" spans="14:43" x14ac:dyDescent="0.25">
      <c r="N506" s="105">
        <f t="shared" si="126"/>
        <v>0</v>
      </c>
      <c r="O506" s="106" t="str">
        <f>IF($F506="","",IF(ISNUMBER($F506),$F506+Settings!$C$7/24,IFERROR(DATEVALUE(LEFT($F506,10))+TIMEVALUE(MID($F506,12,8))+Settings!$C$7/24,"")))</f>
        <v/>
      </c>
      <c r="P506" s="106" t="str">
        <f>IF($G506="","",IF(ISNUMBER($G506),$G506+Settings!$C$7/24,IFERROR(DATEVALUE(LEFT($G506,10))+TIMEVALUE(MID($G506,12,8))+Settings!$C$7/24,"")))</f>
        <v/>
      </c>
      <c r="Q506" s="39" t="str">
        <f t="shared" si="127"/>
        <v/>
      </c>
      <c r="R506" s="39" t="str">
        <f t="shared" si="128"/>
        <v/>
      </c>
      <c r="S506" s="107" t="str">
        <f t="shared" si="129"/>
        <v/>
      </c>
      <c r="T506" s="39" t="str">
        <f>IF($C506="","",IF(COUNTIF($C$2:$C506,$C506)=1,1,0))</f>
        <v/>
      </c>
      <c r="U506" s="39" t="str">
        <f>IF($T506=1,COUNTIF($T$2:$T506,1),"")</f>
        <v/>
      </c>
      <c r="V506" s="39" t="str">
        <f>IF($B506="","",IF(COUNTIF($B$2:$B506,$B506)=1,1,0))</f>
        <v/>
      </c>
      <c r="W506" s="39" t="str">
        <f>IF($V506=1,COUNTIF($V$2:$V506,1),"")</f>
        <v/>
      </c>
      <c r="X506" s="39" t="str">
        <f>IF($A506="","",IF(COUNTIF($A$2:$A506,$A506)=1,1,0))</f>
        <v/>
      </c>
      <c r="Y506" s="39" t="str">
        <f>IF($X506=1,COUNTIF($X$2:$X506,1),"")</f>
        <v/>
      </c>
      <c r="Z506" s="39">
        <f>IF(AND($E506="timed",$N506&gt;Settings!$C$8),1,0)</f>
        <v>0</v>
      </c>
      <c r="AA506" s="39">
        <f t="shared" si="130"/>
        <v>0</v>
      </c>
      <c r="AB506" s="39">
        <f t="shared" si="131"/>
        <v>0</v>
      </c>
      <c r="AC506" s="39" t="str">
        <f t="shared" si="132"/>
        <v/>
      </c>
      <c r="AD506" s="39" t="str">
        <f t="shared" si="133"/>
        <v/>
      </c>
      <c r="AE506" s="39" t="str">
        <f t="shared" si="134"/>
        <v/>
      </c>
      <c r="AF506" s="106" t="str">
        <f t="shared" si="135"/>
        <v/>
      </c>
      <c r="AG506" s="39">
        <f t="shared" si="136"/>
        <v>0</v>
      </c>
      <c r="AH506" s="39" t="str">
        <f t="shared" si="137"/>
        <v/>
      </c>
      <c r="AI506" s="39">
        <f>IF(AND($E506="timed",$N506&gt;=Settings!$C$9),1,0)</f>
        <v>0</v>
      </c>
      <c r="AJ506" s="39" t="str">
        <f>IF(OR($S506="",Settings!$C$16=""),"",IF($S506&lt;=Settings!$C$16,1,2))</f>
        <v/>
      </c>
      <c r="AK506" s="39" t="str">
        <f>IF($C506="","",IFERROR(IF(INDEX(Settings!$C$20:$C$59,MATCH($C506,Settings!$B$20:$B$59,0))="",Settings!$C$10,INDEX(Settings!$C$20:$C$59,MATCH($C506,Settings!$B$20:$B$59,0))),Settings!$C$10))</f>
        <v/>
      </c>
      <c r="AL506" s="108">
        <f t="shared" si="138"/>
        <v>0</v>
      </c>
      <c r="AM506" s="39" t="str">
        <f t="shared" si="139"/>
        <v/>
      </c>
      <c r="AN506" s="39" t="str">
        <f t="shared" si="140"/>
        <v/>
      </c>
      <c r="AO506" s="39" t="str">
        <f t="shared" si="141"/>
        <v/>
      </c>
      <c r="AP506" s="39">
        <f t="shared" si="142"/>
        <v>0</v>
      </c>
      <c r="AQ506" s="39">
        <f t="shared" si="143"/>
        <v>0</v>
      </c>
    </row>
    <row r="507" spans="14:43" x14ac:dyDescent="0.25">
      <c r="N507" s="105">
        <f t="shared" si="126"/>
        <v>0</v>
      </c>
      <c r="O507" s="106" t="str">
        <f>IF($F507="","",IF(ISNUMBER($F507),$F507+Settings!$C$7/24,IFERROR(DATEVALUE(LEFT($F507,10))+TIMEVALUE(MID($F507,12,8))+Settings!$C$7/24,"")))</f>
        <v/>
      </c>
      <c r="P507" s="106" t="str">
        <f>IF($G507="","",IF(ISNUMBER($G507),$G507+Settings!$C$7/24,IFERROR(DATEVALUE(LEFT($G507,10))+TIMEVALUE(MID($G507,12,8))+Settings!$C$7/24,"")))</f>
        <v/>
      </c>
      <c r="Q507" s="39" t="str">
        <f t="shared" si="127"/>
        <v/>
      </c>
      <c r="R507" s="39" t="str">
        <f t="shared" si="128"/>
        <v/>
      </c>
      <c r="S507" s="107" t="str">
        <f t="shared" si="129"/>
        <v/>
      </c>
      <c r="T507" s="39" t="str">
        <f>IF($C507="","",IF(COUNTIF($C$2:$C507,$C507)=1,1,0))</f>
        <v/>
      </c>
      <c r="U507" s="39" t="str">
        <f>IF($T507=1,COUNTIF($T$2:$T507,1),"")</f>
        <v/>
      </c>
      <c r="V507" s="39" t="str">
        <f>IF($B507="","",IF(COUNTIF($B$2:$B507,$B507)=1,1,0))</f>
        <v/>
      </c>
      <c r="W507" s="39" t="str">
        <f>IF($V507=1,COUNTIF($V$2:$V507,1),"")</f>
        <v/>
      </c>
      <c r="X507" s="39" t="str">
        <f>IF($A507="","",IF(COUNTIF($A$2:$A507,$A507)=1,1,0))</f>
        <v/>
      </c>
      <c r="Y507" s="39" t="str">
        <f>IF($X507=1,COUNTIF($X$2:$X507,1),"")</f>
        <v/>
      </c>
      <c r="Z507" s="39">
        <f>IF(AND($E507="timed",$N507&gt;Settings!$C$8),1,0)</f>
        <v>0</v>
      </c>
      <c r="AA507" s="39">
        <f t="shared" si="130"/>
        <v>0</v>
      </c>
      <c r="AB507" s="39">
        <f t="shared" si="131"/>
        <v>0</v>
      </c>
      <c r="AC507" s="39" t="str">
        <f t="shared" si="132"/>
        <v/>
      </c>
      <c r="AD507" s="39" t="str">
        <f t="shared" si="133"/>
        <v/>
      </c>
      <c r="AE507" s="39" t="str">
        <f t="shared" si="134"/>
        <v/>
      </c>
      <c r="AF507" s="106" t="str">
        <f t="shared" si="135"/>
        <v/>
      </c>
      <c r="AG507" s="39">
        <f t="shared" si="136"/>
        <v>0</v>
      </c>
      <c r="AH507" s="39" t="str">
        <f t="shared" si="137"/>
        <v/>
      </c>
      <c r="AI507" s="39">
        <f>IF(AND($E507="timed",$N507&gt;=Settings!$C$9),1,0)</f>
        <v>0</v>
      </c>
      <c r="AJ507" s="39" t="str">
        <f>IF(OR($S507="",Settings!$C$16=""),"",IF($S507&lt;=Settings!$C$16,1,2))</f>
        <v/>
      </c>
      <c r="AK507" s="39" t="str">
        <f>IF($C507="","",IFERROR(IF(INDEX(Settings!$C$20:$C$59,MATCH($C507,Settings!$B$20:$B$59,0))="",Settings!$C$10,INDEX(Settings!$C$20:$C$59,MATCH($C507,Settings!$B$20:$B$59,0))),Settings!$C$10))</f>
        <v/>
      </c>
      <c r="AL507" s="108">
        <f t="shared" si="138"/>
        <v>0</v>
      </c>
      <c r="AM507" s="39" t="str">
        <f t="shared" si="139"/>
        <v/>
      </c>
      <c r="AN507" s="39" t="str">
        <f t="shared" si="140"/>
        <v/>
      </c>
      <c r="AO507" s="39" t="str">
        <f t="shared" si="141"/>
        <v/>
      </c>
      <c r="AP507" s="39">
        <f t="shared" si="142"/>
        <v>0</v>
      </c>
      <c r="AQ507" s="39">
        <f t="shared" si="143"/>
        <v>0</v>
      </c>
    </row>
    <row r="508" spans="14:43" x14ac:dyDescent="0.25">
      <c r="N508" s="105">
        <f t="shared" si="126"/>
        <v>0</v>
      </c>
      <c r="O508" s="106" t="str">
        <f>IF($F508="","",IF(ISNUMBER($F508),$F508+Settings!$C$7/24,IFERROR(DATEVALUE(LEFT($F508,10))+TIMEVALUE(MID($F508,12,8))+Settings!$C$7/24,"")))</f>
        <v/>
      </c>
      <c r="P508" s="106" t="str">
        <f>IF($G508="","",IF(ISNUMBER($G508),$G508+Settings!$C$7/24,IFERROR(DATEVALUE(LEFT($G508,10))+TIMEVALUE(MID($G508,12,8))+Settings!$C$7/24,"")))</f>
        <v/>
      </c>
      <c r="Q508" s="39" t="str">
        <f t="shared" si="127"/>
        <v/>
      </c>
      <c r="R508" s="39" t="str">
        <f t="shared" si="128"/>
        <v/>
      </c>
      <c r="S508" s="107" t="str">
        <f t="shared" si="129"/>
        <v/>
      </c>
      <c r="T508" s="39" t="str">
        <f>IF($C508="","",IF(COUNTIF($C$2:$C508,$C508)=1,1,0))</f>
        <v/>
      </c>
      <c r="U508" s="39" t="str">
        <f>IF($T508=1,COUNTIF($T$2:$T508,1),"")</f>
        <v/>
      </c>
      <c r="V508" s="39" t="str">
        <f>IF($B508="","",IF(COUNTIF($B$2:$B508,$B508)=1,1,0))</f>
        <v/>
      </c>
      <c r="W508" s="39" t="str">
        <f>IF($V508=1,COUNTIF($V$2:$V508,1),"")</f>
        <v/>
      </c>
      <c r="X508" s="39" t="str">
        <f>IF($A508="","",IF(COUNTIF($A$2:$A508,$A508)=1,1,0))</f>
        <v/>
      </c>
      <c r="Y508" s="39" t="str">
        <f>IF($X508=1,COUNTIF($X$2:$X508,1),"")</f>
        <v/>
      </c>
      <c r="Z508" s="39">
        <f>IF(AND($E508="timed",$N508&gt;Settings!$C$8),1,0)</f>
        <v>0</v>
      </c>
      <c r="AA508" s="39">
        <f t="shared" si="130"/>
        <v>0</v>
      </c>
      <c r="AB508" s="39">
        <f t="shared" si="131"/>
        <v>0</v>
      </c>
      <c r="AC508" s="39" t="str">
        <f t="shared" si="132"/>
        <v/>
      </c>
      <c r="AD508" s="39" t="str">
        <f t="shared" si="133"/>
        <v/>
      </c>
      <c r="AE508" s="39" t="str">
        <f t="shared" si="134"/>
        <v/>
      </c>
      <c r="AF508" s="106" t="str">
        <f t="shared" si="135"/>
        <v/>
      </c>
      <c r="AG508" s="39">
        <f t="shared" si="136"/>
        <v>0</v>
      </c>
      <c r="AH508" s="39" t="str">
        <f t="shared" si="137"/>
        <v/>
      </c>
      <c r="AI508" s="39">
        <f>IF(AND($E508="timed",$N508&gt;=Settings!$C$9),1,0)</f>
        <v>0</v>
      </c>
      <c r="AJ508" s="39" t="str">
        <f>IF(OR($S508="",Settings!$C$16=""),"",IF($S508&lt;=Settings!$C$16,1,2))</f>
        <v/>
      </c>
      <c r="AK508" s="39" t="str">
        <f>IF($C508="","",IFERROR(IF(INDEX(Settings!$C$20:$C$59,MATCH($C508,Settings!$B$20:$B$59,0))="",Settings!$C$10,INDEX(Settings!$C$20:$C$59,MATCH($C508,Settings!$B$20:$B$59,0))),Settings!$C$10))</f>
        <v/>
      </c>
      <c r="AL508" s="108">
        <f t="shared" si="138"/>
        <v>0</v>
      </c>
      <c r="AM508" s="39" t="str">
        <f t="shared" si="139"/>
        <v/>
      </c>
      <c r="AN508" s="39" t="str">
        <f t="shared" si="140"/>
        <v/>
      </c>
      <c r="AO508" s="39" t="str">
        <f t="shared" si="141"/>
        <v/>
      </c>
      <c r="AP508" s="39">
        <f t="shared" si="142"/>
        <v>0</v>
      </c>
      <c r="AQ508" s="39">
        <f t="shared" si="143"/>
        <v>0</v>
      </c>
    </row>
    <row r="509" spans="14:43" x14ac:dyDescent="0.25">
      <c r="N509" s="105">
        <f t="shared" si="126"/>
        <v>0</v>
      </c>
      <c r="O509" s="106" t="str">
        <f>IF($F509="","",IF(ISNUMBER($F509),$F509+Settings!$C$7/24,IFERROR(DATEVALUE(LEFT($F509,10))+TIMEVALUE(MID($F509,12,8))+Settings!$C$7/24,"")))</f>
        <v/>
      </c>
      <c r="P509" s="106" t="str">
        <f>IF($G509="","",IF(ISNUMBER($G509),$G509+Settings!$C$7/24,IFERROR(DATEVALUE(LEFT($G509,10))+TIMEVALUE(MID($G509,12,8))+Settings!$C$7/24,"")))</f>
        <v/>
      </c>
      <c r="Q509" s="39" t="str">
        <f t="shared" si="127"/>
        <v/>
      </c>
      <c r="R509" s="39" t="str">
        <f t="shared" si="128"/>
        <v/>
      </c>
      <c r="S509" s="107" t="str">
        <f t="shared" si="129"/>
        <v/>
      </c>
      <c r="T509" s="39" t="str">
        <f>IF($C509="","",IF(COUNTIF($C$2:$C509,$C509)=1,1,0))</f>
        <v/>
      </c>
      <c r="U509" s="39" t="str">
        <f>IF($T509=1,COUNTIF($T$2:$T509,1),"")</f>
        <v/>
      </c>
      <c r="V509" s="39" t="str">
        <f>IF($B509="","",IF(COUNTIF($B$2:$B509,$B509)=1,1,0))</f>
        <v/>
      </c>
      <c r="W509" s="39" t="str">
        <f>IF($V509=1,COUNTIF($V$2:$V509,1),"")</f>
        <v/>
      </c>
      <c r="X509" s="39" t="str">
        <f>IF($A509="","",IF(COUNTIF($A$2:$A509,$A509)=1,1,0))</f>
        <v/>
      </c>
      <c r="Y509" s="39" t="str">
        <f>IF($X509=1,COUNTIF($X$2:$X509,1),"")</f>
        <v/>
      </c>
      <c r="Z509" s="39">
        <f>IF(AND($E509="timed",$N509&gt;Settings!$C$8),1,0)</f>
        <v>0</v>
      </c>
      <c r="AA509" s="39">
        <f t="shared" si="130"/>
        <v>0</v>
      </c>
      <c r="AB509" s="39">
        <f t="shared" si="131"/>
        <v>0</v>
      </c>
      <c r="AC509" s="39" t="str">
        <f t="shared" si="132"/>
        <v/>
      </c>
      <c r="AD509" s="39" t="str">
        <f t="shared" si="133"/>
        <v/>
      </c>
      <c r="AE509" s="39" t="str">
        <f t="shared" si="134"/>
        <v/>
      </c>
      <c r="AF509" s="106" t="str">
        <f t="shared" si="135"/>
        <v/>
      </c>
      <c r="AG509" s="39">
        <f t="shared" si="136"/>
        <v>0</v>
      </c>
      <c r="AH509" s="39" t="str">
        <f t="shared" si="137"/>
        <v/>
      </c>
      <c r="AI509" s="39">
        <f>IF(AND($E509="timed",$N509&gt;=Settings!$C$9),1,0)</f>
        <v>0</v>
      </c>
      <c r="AJ509" s="39" t="str">
        <f>IF(OR($S509="",Settings!$C$16=""),"",IF($S509&lt;=Settings!$C$16,1,2))</f>
        <v/>
      </c>
      <c r="AK509" s="39" t="str">
        <f>IF($C509="","",IFERROR(IF(INDEX(Settings!$C$20:$C$59,MATCH($C509,Settings!$B$20:$B$59,0))="",Settings!$C$10,INDEX(Settings!$C$20:$C$59,MATCH($C509,Settings!$B$20:$B$59,0))),Settings!$C$10))</f>
        <v/>
      </c>
      <c r="AL509" s="108">
        <f t="shared" si="138"/>
        <v>0</v>
      </c>
      <c r="AM509" s="39" t="str">
        <f t="shared" si="139"/>
        <v/>
      </c>
      <c r="AN509" s="39" t="str">
        <f t="shared" si="140"/>
        <v/>
      </c>
      <c r="AO509" s="39" t="str">
        <f t="shared" si="141"/>
        <v/>
      </c>
      <c r="AP509" s="39">
        <f t="shared" si="142"/>
        <v>0</v>
      </c>
      <c r="AQ509" s="39">
        <f t="shared" si="143"/>
        <v>0</v>
      </c>
    </row>
    <row r="510" spans="14:43" x14ac:dyDescent="0.25">
      <c r="N510" s="105">
        <f t="shared" si="126"/>
        <v>0</v>
      </c>
      <c r="O510" s="106" t="str">
        <f>IF($F510="","",IF(ISNUMBER($F510),$F510+Settings!$C$7/24,IFERROR(DATEVALUE(LEFT($F510,10))+TIMEVALUE(MID($F510,12,8))+Settings!$C$7/24,"")))</f>
        <v/>
      </c>
      <c r="P510" s="106" t="str">
        <f>IF($G510="","",IF(ISNUMBER($G510),$G510+Settings!$C$7/24,IFERROR(DATEVALUE(LEFT($G510,10))+TIMEVALUE(MID($G510,12,8))+Settings!$C$7/24,"")))</f>
        <v/>
      </c>
      <c r="Q510" s="39" t="str">
        <f t="shared" si="127"/>
        <v/>
      </c>
      <c r="R510" s="39" t="str">
        <f t="shared" si="128"/>
        <v/>
      </c>
      <c r="S510" s="107" t="str">
        <f t="shared" si="129"/>
        <v/>
      </c>
      <c r="T510" s="39" t="str">
        <f>IF($C510="","",IF(COUNTIF($C$2:$C510,$C510)=1,1,0))</f>
        <v/>
      </c>
      <c r="U510" s="39" t="str">
        <f>IF($T510=1,COUNTIF($T$2:$T510,1),"")</f>
        <v/>
      </c>
      <c r="V510" s="39" t="str">
        <f>IF($B510="","",IF(COUNTIF($B$2:$B510,$B510)=1,1,0))</f>
        <v/>
      </c>
      <c r="W510" s="39" t="str">
        <f>IF($V510=1,COUNTIF($V$2:$V510,1),"")</f>
        <v/>
      </c>
      <c r="X510" s="39" t="str">
        <f>IF($A510="","",IF(COUNTIF($A$2:$A510,$A510)=1,1,0))</f>
        <v/>
      </c>
      <c r="Y510" s="39" t="str">
        <f>IF($X510=1,COUNTIF($X$2:$X510,1),"")</f>
        <v/>
      </c>
      <c r="Z510" s="39">
        <f>IF(AND($E510="timed",$N510&gt;Settings!$C$8),1,0)</f>
        <v>0</v>
      </c>
      <c r="AA510" s="39">
        <f t="shared" si="130"/>
        <v>0</v>
      </c>
      <c r="AB510" s="39">
        <f t="shared" si="131"/>
        <v>0</v>
      </c>
      <c r="AC510" s="39" t="str">
        <f t="shared" si="132"/>
        <v/>
      </c>
      <c r="AD510" s="39" t="str">
        <f t="shared" si="133"/>
        <v/>
      </c>
      <c r="AE510" s="39" t="str">
        <f t="shared" si="134"/>
        <v/>
      </c>
      <c r="AF510" s="106" t="str">
        <f t="shared" si="135"/>
        <v/>
      </c>
      <c r="AG510" s="39">
        <f t="shared" si="136"/>
        <v>0</v>
      </c>
      <c r="AH510" s="39" t="str">
        <f t="shared" si="137"/>
        <v/>
      </c>
      <c r="AI510" s="39">
        <f>IF(AND($E510="timed",$N510&gt;=Settings!$C$9),1,0)</f>
        <v>0</v>
      </c>
      <c r="AJ510" s="39" t="str">
        <f>IF(OR($S510="",Settings!$C$16=""),"",IF($S510&lt;=Settings!$C$16,1,2))</f>
        <v/>
      </c>
      <c r="AK510" s="39" t="str">
        <f>IF($C510="","",IFERROR(IF(INDEX(Settings!$C$20:$C$59,MATCH($C510,Settings!$B$20:$B$59,0))="",Settings!$C$10,INDEX(Settings!$C$20:$C$59,MATCH($C510,Settings!$B$20:$B$59,0))),Settings!$C$10))</f>
        <v/>
      </c>
      <c r="AL510" s="108">
        <f t="shared" si="138"/>
        <v>0</v>
      </c>
      <c r="AM510" s="39" t="str">
        <f t="shared" si="139"/>
        <v/>
      </c>
      <c r="AN510" s="39" t="str">
        <f t="shared" si="140"/>
        <v/>
      </c>
      <c r="AO510" s="39" t="str">
        <f t="shared" si="141"/>
        <v/>
      </c>
      <c r="AP510" s="39">
        <f t="shared" si="142"/>
        <v>0</v>
      </c>
      <c r="AQ510" s="39">
        <f t="shared" si="143"/>
        <v>0</v>
      </c>
    </row>
    <row r="511" spans="14:43" x14ac:dyDescent="0.25">
      <c r="N511" s="105">
        <f t="shared" si="126"/>
        <v>0</v>
      </c>
      <c r="O511" s="106" t="str">
        <f>IF($F511="","",IF(ISNUMBER($F511),$F511+Settings!$C$7/24,IFERROR(DATEVALUE(LEFT($F511,10))+TIMEVALUE(MID($F511,12,8))+Settings!$C$7/24,"")))</f>
        <v/>
      </c>
      <c r="P511" s="106" t="str">
        <f>IF($G511="","",IF(ISNUMBER($G511),$G511+Settings!$C$7/24,IFERROR(DATEVALUE(LEFT($G511,10))+TIMEVALUE(MID($G511,12,8))+Settings!$C$7/24,"")))</f>
        <v/>
      </c>
      <c r="Q511" s="39" t="str">
        <f t="shared" si="127"/>
        <v/>
      </c>
      <c r="R511" s="39" t="str">
        <f t="shared" si="128"/>
        <v/>
      </c>
      <c r="S511" s="107" t="str">
        <f t="shared" si="129"/>
        <v/>
      </c>
      <c r="T511" s="39" t="str">
        <f>IF($C511="","",IF(COUNTIF($C$2:$C511,$C511)=1,1,0))</f>
        <v/>
      </c>
      <c r="U511" s="39" t="str">
        <f>IF($T511=1,COUNTIF($T$2:$T511,1),"")</f>
        <v/>
      </c>
      <c r="V511" s="39" t="str">
        <f>IF($B511="","",IF(COUNTIF($B$2:$B511,$B511)=1,1,0))</f>
        <v/>
      </c>
      <c r="W511" s="39" t="str">
        <f>IF($V511=1,COUNTIF($V$2:$V511,1),"")</f>
        <v/>
      </c>
      <c r="X511" s="39" t="str">
        <f>IF($A511="","",IF(COUNTIF($A$2:$A511,$A511)=1,1,0))</f>
        <v/>
      </c>
      <c r="Y511" s="39" t="str">
        <f>IF($X511=1,COUNTIF($X$2:$X511,1),"")</f>
        <v/>
      </c>
      <c r="Z511" s="39">
        <f>IF(AND($E511="timed",$N511&gt;Settings!$C$8),1,0)</f>
        <v>0</v>
      </c>
      <c r="AA511" s="39">
        <f t="shared" si="130"/>
        <v>0</v>
      </c>
      <c r="AB511" s="39">
        <f t="shared" si="131"/>
        <v>0</v>
      </c>
      <c r="AC511" s="39" t="str">
        <f t="shared" si="132"/>
        <v/>
      </c>
      <c r="AD511" s="39" t="str">
        <f t="shared" si="133"/>
        <v/>
      </c>
      <c r="AE511" s="39" t="str">
        <f t="shared" si="134"/>
        <v/>
      </c>
      <c r="AF511" s="106" t="str">
        <f t="shared" si="135"/>
        <v/>
      </c>
      <c r="AG511" s="39">
        <f t="shared" si="136"/>
        <v>0</v>
      </c>
      <c r="AH511" s="39" t="str">
        <f t="shared" si="137"/>
        <v/>
      </c>
      <c r="AI511" s="39">
        <f>IF(AND($E511="timed",$N511&gt;=Settings!$C$9),1,0)</f>
        <v>0</v>
      </c>
      <c r="AJ511" s="39" t="str">
        <f>IF(OR($S511="",Settings!$C$16=""),"",IF($S511&lt;=Settings!$C$16,1,2))</f>
        <v/>
      </c>
      <c r="AK511" s="39" t="str">
        <f>IF($C511="","",IFERROR(IF(INDEX(Settings!$C$20:$C$59,MATCH($C511,Settings!$B$20:$B$59,0))="",Settings!$C$10,INDEX(Settings!$C$20:$C$59,MATCH($C511,Settings!$B$20:$B$59,0))),Settings!$C$10))</f>
        <v/>
      </c>
      <c r="AL511" s="108">
        <f t="shared" si="138"/>
        <v>0</v>
      </c>
      <c r="AM511" s="39" t="str">
        <f t="shared" si="139"/>
        <v/>
      </c>
      <c r="AN511" s="39" t="str">
        <f t="shared" si="140"/>
        <v/>
      </c>
      <c r="AO511" s="39" t="str">
        <f t="shared" si="141"/>
        <v/>
      </c>
      <c r="AP511" s="39">
        <f t="shared" si="142"/>
        <v>0</v>
      </c>
      <c r="AQ511" s="39">
        <f t="shared" si="143"/>
        <v>0</v>
      </c>
    </row>
    <row r="512" spans="14:43" x14ac:dyDescent="0.25">
      <c r="N512" s="105">
        <f t="shared" si="126"/>
        <v>0</v>
      </c>
      <c r="O512" s="106" t="str">
        <f>IF($F512="","",IF(ISNUMBER($F512),$F512+Settings!$C$7/24,IFERROR(DATEVALUE(LEFT($F512,10))+TIMEVALUE(MID($F512,12,8))+Settings!$C$7/24,"")))</f>
        <v/>
      </c>
      <c r="P512" s="106" t="str">
        <f>IF($G512="","",IF(ISNUMBER($G512),$G512+Settings!$C$7/24,IFERROR(DATEVALUE(LEFT($G512,10))+TIMEVALUE(MID($G512,12,8))+Settings!$C$7/24,"")))</f>
        <v/>
      </c>
      <c r="Q512" s="39" t="str">
        <f t="shared" si="127"/>
        <v/>
      </c>
      <c r="R512" s="39" t="str">
        <f t="shared" si="128"/>
        <v/>
      </c>
      <c r="S512" s="107" t="str">
        <f t="shared" si="129"/>
        <v/>
      </c>
      <c r="T512" s="39" t="str">
        <f>IF($C512="","",IF(COUNTIF($C$2:$C512,$C512)=1,1,0))</f>
        <v/>
      </c>
      <c r="U512" s="39" t="str">
        <f>IF($T512=1,COUNTIF($T$2:$T512,1),"")</f>
        <v/>
      </c>
      <c r="V512" s="39" t="str">
        <f>IF($B512="","",IF(COUNTIF($B$2:$B512,$B512)=1,1,0))</f>
        <v/>
      </c>
      <c r="W512" s="39" t="str">
        <f>IF($V512=1,COUNTIF($V$2:$V512,1),"")</f>
        <v/>
      </c>
      <c r="X512" s="39" t="str">
        <f>IF($A512="","",IF(COUNTIF($A$2:$A512,$A512)=1,1,0))</f>
        <v/>
      </c>
      <c r="Y512" s="39" t="str">
        <f>IF($X512=1,COUNTIF($X$2:$X512,1),"")</f>
        <v/>
      </c>
      <c r="Z512" s="39">
        <f>IF(AND($E512="timed",$N512&gt;Settings!$C$8),1,0)</f>
        <v>0</v>
      </c>
      <c r="AA512" s="39">
        <f t="shared" si="130"/>
        <v>0</v>
      </c>
      <c r="AB512" s="39">
        <f t="shared" si="131"/>
        <v>0</v>
      </c>
      <c r="AC512" s="39" t="str">
        <f t="shared" si="132"/>
        <v/>
      </c>
      <c r="AD512" s="39" t="str">
        <f t="shared" si="133"/>
        <v/>
      </c>
      <c r="AE512" s="39" t="str">
        <f t="shared" si="134"/>
        <v/>
      </c>
      <c r="AF512" s="106" t="str">
        <f t="shared" si="135"/>
        <v/>
      </c>
      <c r="AG512" s="39">
        <f t="shared" si="136"/>
        <v>0</v>
      </c>
      <c r="AH512" s="39" t="str">
        <f t="shared" si="137"/>
        <v/>
      </c>
      <c r="AI512" s="39">
        <f>IF(AND($E512="timed",$N512&gt;=Settings!$C$9),1,0)</f>
        <v>0</v>
      </c>
      <c r="AJ512" s="39" t="str">
        <f>IF(OR($S512="",Settings!$C$16=""),"",IF($S512&lt;=Settings!$C$16,1,2))</f>
        <v/>
      </c>
      <c r="AK512" s="39" t="str">
        <f>IF($C512="","",IFERROR(IF(INDEX(Settings!$C$20:$C$59,MATCH($C512,Settings!$B$20:$B$59,0))="",Settings!$C$10,INDEX(Settings!$C$20:$C$59,MATCH($C512,Settings!$B$20:$B$59,0))),Settings!$C$10))</f>
        <v/>
      </c>
      <c r="AL512" s="108">
        <f t="shared" si="138"/>
        <v>0</v>
      </c>
      <c r="AM512" s="39" t="str">
        <f t="shared" si="139"/>
        <v/>
      </c>
      <c r="AN512" s="39" t="str">
        <f t="shared" si="140"/>
        <v/>
      </c>
      <c r="AO512" s="39" t="str">
        <f t="shared" si="141"/>
        <v/>
      </c>
      <c r="AP512" s="39">
        <f t="shared" si="142"/>
        <v>0</v>
      </c>
      <c r="AQ512" s="39">
        <f t="shared" si="143"/>
        <v>0</v>
      </c>
    </row>
    <row r="513" spans="14:43" x14ac:dyDescent="0.25">
      <c r="N513" s="105">
        <f t="shared" si="126"/>
        <v>0</v>
      </c>
      <c r="O513" s="106" t="str">
        <f>IF($F513="","",IF(ISNUMBER($F513),$F513+Settings!$C$7/24,IFERROR(DATEVALUE(LEFT($F513,10))+TIMEVALUE(MID($F513,12,8))+Settings!$C$7/24,"")))</f>
        <v/>
      </c>
      <c r="P513" s="106" t="str">
        <f>IF($G513="","",IF(ISNUMBER($G513),$G513+Settings!$C$7/24,IFERROR(DATEVALUE(LEFT($G513,10))+TIMEVALUE(MID($G513,12,8))+Settings!$C$7/24,"")))</f>
        <v/>
      </c>
      <c r="Q513" s="39" t="str">
        <f t="shared" si="127"/>
        <v/>
      </c>
      <c r="R513" s="39" t="str">
        <f t="shared" si="128"/>
        <v/>
      </c>
      <c r="S513" s="107" t="str">
        <f t="shared" si="129"/>
        <v/>
      </c>
      <c r="T513" s="39" t="str">
        <f>IF($C513="","",IF(COUNTIF($C$2:$C513,$C513)=1,1,0))</f>
        <v/>
      </c>
      <c r="U513" s="39" t="str">
        <f>IF($T513=1,COUNTIF($T$2:$T513,1),"")</f>
        <v/>
      </c>
      <c r="V513" s="39" t="str">
        <f>IF($B513="","",IF(COUNTIF($B$2:$B513,$B513)=1,1,0))</f>
        <v/>
      </c>
      <c r="W513" s="39" t="str">
        <f>IF($V513=1,COUNTIF($V$2:$V513,1),"")</f>
        <v/>
      </c>
      <c r="X513" s="39" t="str">
        <f>IF($A513="","",IF(COUNTIF($A$2:$A513,$A513)=1,1,0))</f>
        <v/>
      </c>
      <c r="Y513" s="39" t="str">
        <f>IF($X513=1,COUNTIF($X$2:$X513,1),"")</f>
        <v/>
      </c>
      <c r="Z513" s="39">
        <f>IF(AND($E513="timed",$N513&gt;Settings!$C$8),1,0)</f>
        <v>0</v>
      </c>
      <c r="AA513" s="39">
        <f t="shared" si="130"/>
        <v>0</v>
      </c>
      <c r="AB513" s="39">
        <f t="shared" si="131"/>
        <v>0</v>
      </c>
      <c r="AC513" s="39" t="str">
        <f t="shared" si="132"/>
        <v/>
      </c>
      <c r="AD513" s="39" t="str">
        <f t="shared" si="133"/>
        <v/>
      </c>
      <c r="AE513" s="39" t="str">
        <f t="shared" si="134"/>
        <v/>
      </c>
      <c r="AF513" s="106" t="str">
        <f t="shared" si="135"/>
        <v/>
      </c>
      <c r="AG513" s="39">
        <f t="shared" si="136"/>
        <v>0</v>
      </c>
      <c r="AH513" s="39" t="str">
        <f t="shared" si="137"/>
        <v/>
      </c>
      <c r="AI513" s="39">
        <f>IF(AND($E513="timed",$N513&gt;=Settings!$C$9),1,0)</f>
        <v>0</v>
      </c>
      <c r="AJ513" s="39" t="str">
        <f>IF(OR($S513="",Settings!$C$16=""),"",IF($S513&lt;=Settings!$C$16,1,2))</f>
        <v/>
      </c>
      <c r="AK513" s="39" t="str">
        <f>IF($C513="","",IFERROR(IF(INDEX(Settings!$C$20:$C$59,MATCH($C513,Settings!$B$20:$B$59,0))="",Settings!$C$10,INDEX(Settings!$C$20:$C$59,MATCH($C513,Settings!$B$20:$B$59,0))),Settings!$C$10))</f>
        <v/>
      </c>
      <c r="AL513" s="108">
        <f t="shared" si="138"/>
        <v>0</v>
      </c>
      <c r="AM513" s="39" t="str">
        <f t="shared" si="139"/>
        <v/>
      </c>
      <c r="AN513" s="39" t="str">
        <f t="shared" si="140"/>
        <v/>
      </c>
      <c r="AO513" s="39" t="str">
        <f t="shared" si="141"/>
        <v/>
      </c>
      <c r="AP513" s="39">
        <f t="shared" si="142"/>
        <v>0</v>
      </c>
      <c r="AQ513" s="39">
        <f t="shared" si="143"/>
        <v>0</v>
      </c>
    </row>
    <row r="514" spans="14:43" x14ac:dyDescent="0.25">
      <c r="N514" s="105">
        <f t="shared" ref="N514:N577" si="144">IF($E514&lt;&gt;"timed",0,IF(ISNUMBER($H514),$H514,IFERROR(VALUE($H514),0)))</f>
        <v>0</v>
      </c>
      <c r="O514" s="106" t="str">
        <f>IF($F514="","",IF(ISNUMBER($F514),$F514+Settings!$C$7/24,IFERROR(DATEVALUE(LEFT($F514,10))+TIMEVALUE(MID($F514,12,8))+Settings!$C$7/24,"")))</f>
        <v/>
      </c>
      <c r="P514" s="106" t="str">
        <f>IF($G514="","",IF(ISNUMBER($G514),$G514+Settings!$C$7/24,IFERROR(DATEVALUE(LEFT($G514,10))+TIMEVALUE(MID($G514,12,8))+Settings!$C$7/24,"")))</f>
        <v/>
      </c>
      <c r="Q514" s="39" t="str">
        <f t="shared" ref="Q514:Q577" si="145">IF($O514="","",HOUR($O514))</f>
        <v/>
      </c>
      <c r="R514" s="39" t="str">
        <f t="shared" ref="R514:R577" si="146">IF($O514="","",WEEKDAY($O514,2))</f>
        <v/>
      </c>
      <c r="S514" s="107" t="str">
        <f t="shared" ref="S514:S577" si="147">IF($A514="","",IF(ISNUMBER($A514),INT($A514),IFERROR(DATEVALUE($A514),"")))</f>
        <v/>
      </c>
      <c r="T514" s="39" t="str">
        <f>IF($C514="","",IF(COUNTIF($C$2:$C514,$C514)=1,1,0))</f>
        <v/>
      </c>
      <c r="U514" s="39" t="str">
        <f>IF($T514=1,COUNTIF($T$2:$T514,1),"")</f>
        <v/>
      </c>
      <c r="V514" s="39" t="str">
        <f>IF($B514="","",IF(COUNTIF($B$2:$B514,$B514)=1,1,0))</f>
        <v/>
      </c>
      <c r="W514" s="39" t="str">
        <f>IF($V514=1,COUNTIF($V$2:$V514,1),"")</f>
        <v/>
      </c>
      <c r="X514" s="39" t="str">
        <f>IF($A514="","",IF(COUNTIF($A$2:$A514,$A514)=1,1,0))</f>
        <v/>
      </c>
      <c r="Y514" s="39" t="str">
        <f>IF($X514=1,COUNTIF($X$2:$X514,1),"")</f>
        <v/>
      </c>
      <c r="Z514" s="39">
        <f>IF(AND($E514="timed",$N514&gt;Settings!$C$8),1,0)</f>
        <v>0</v>
      </c>
      <c r="AA514" s="39">
        <f t="shared" ref="AA514:AA577" si="148">IF(AND($E514="timed",$G514=""),1,0)</f>
        <v>0</v>
      </c>
      <c r="AB514" s="39">
        <f t="shared" ref="AB514:AB577" si="149">IF($E514&lt;&gt;"timed",0,IF(ISNUMBER($I514),$I514,IFERROR(VALUE($I514),0)))</f>
        <v>0</v>
      </c>
      <c r="AC514" s="39" t="str">
        <f t="shared" ref="AC514:AC577" si="150">IF(OR($E514&lt;&gt;"timed",$O514=""),"",ROUND($O514*86400,0)*10000+ROW())</f>
        <v/>
      </c>
      <c r="AD514" s="39" t="str">
        <f t="shared" ref="AD514:AD577" si="151">IF($AC514="","",COUNTIF($AC$2:$AC$1201,"&lt;"&amp;$AC514)+1)</f>
        <v/>
      </c>
      <c r="AE514" s="39" t="str">
        <f t="shared" ref="AE514:AE577" si="152">IF($AD514="","",IFERROR(IF(INDEX($S$2:$S$1201,MATCH($AD514-1,$AD$2:$AD$1201,0))=$S514,INDEX($C$2:$C$1201,MATCH($AD514-1,$AD$2:$AD$1201,0)),""),""))</f>
        <v/>
      </c>
      <c r="AF514" s="106" t="str">
        <f t="shared" ref="AF514:AF577" si="153">IF($AD514="","",IFERROR(IF(INDEX($S$2:$S$1201,MATCH($AD514-1,$AD$2:$AD$1201,0))=$S514,INDEX($P$2:$P$1201,MATCH($AD514-1,$AD$2:$AD$1201,0)),""),""))</f>
        <v/>
      </c>
      <c r="AG514" s="39">
        <f t="shared" ref="AG514:AG577" si="154">IF(OR($E514&lt;&gt;"timed",$AE514=""),0,IF($AE514=$C514,0,1))</f>
        <v>0</v>
      </c>
      <c r="AH514" s="39" t="str">
        <f t="shared" ref="AH514:AH577" si="155">IF(OR($AF514="",$O514=""),"",MAX(0,ROUND(($O514-$AF514)*1440,0)))</f>
        <v/>
      </c>
      <c r="AI514" s="39">
        <f>IF(AND($E514="timed",$N514&gt;=Settings!$C$9),1,0)</f>
        <v>0</v>
      </c>
      <c r="AJ514" s="39" t="str">
        <f>IF(OR($S514="",Settings!$C$16=""),"",IF($S514&lt;=Settings!$C$16,1,2))</f>
        <v/>
      </c>
      <c r="AK514" s="39" t="str">
        <f>IF($C514="","",IFERROR(IF(INDEX(Settings!$C$20:$C$59,MATCH($C514,Settings!$B$20:$B$59,0))="",Settings!$C$10,INDEX(Settings!$C$20:$C$59,MATCH($C514,Settings!$B$20:$B$59,0))),Settings!$C$10))</f>
        <v/>
      </c>
      <c r="AL514" s="108">
        <f t="shared" ref="AL514:AL577" si="156">IF(OR($N514=0,$AK514=""),0,ROUND($N514/60*$AK514,2))</f>
        <v>0</v>
      </c>
      <c r="AM514" s="39" t="str">
        <f t="shared" ref="AM514:AM577" si="157">IF($AD514="","",IFERROR(INDEX($S$2:$S$1201,MATCH($AD514-1,$AD$2:$AD$1201,0)),""))</f>
        <v/>
      </c>
      <c r="AN514" s="39" t="str">
        <f t="shared" ref="AN514:AN577" si="158">IF($Z514=1,$N514+ROW()/1000000,"")</f>
        <v/>
      </c>
      <c r="AO514" s="39" t="str">
        <f t="shared" ref="AO514:AO577" si="159">IF(OR($E514&lt;&gt;"timed",$P514=""),"",ROUND($P514*86400,0)*10000+ROW())</f>
        <v/>
      </c>
      <c r="AP514" s="39">
        <f t="shared" ref="AP514:AP577" si="160">IF($AC514="",0,IF(COUNTIFS($S$2:$S$1201,$S514,$AC$2:$AC$1201,"&lt;"&amp;$AC514)=0,1,0))</f>
        <v>0</v>
      </c>
      <c r="AQ514" s="39">
        <f t="shared" ref="AQ514:AQ577" si="161">IF($AO514="",0,IF(COUNTIFS($S$2:$S$1201,$S514,$AO$2:$AO$1201,"&gt;"&amp;$AO514)=0,1,0))</f>
        <v>0</v>
      </c>
    </row>
    <row r="515" spans="14:43" x14ac:dyDescent="0.25">
      <c r="N515" s="105">
        <f t="shared" si="144"/>
        <v>0</v>
      </c>
      <c r="O515" s="106" t="str">
        <f>IF($F515="","",IF(ISNUMBER($F515),$F515+Settings!$C$7/24,IFERROR(DATEVALUE(LEFT($F515,10))+TIMEVALUE(MID($F515,12,8))+Settings!$C$7/24,"")))</f>
        <v/>
      </c>
      <c r="P515" s="106" t="str">
        <f>IF($G515="","",IF(ISNUMBER($G515),$G515+Settings!$C$7/24,IFERROR(DATEVALUE(LEFT($G515,10))+TIMEVALUE(MID($G515,12,8))+Settings!$C$7/24,"")))</f>
        <v/>
      </c>
      <c r="Q515" s="39" t="str">
        <f t="shared" si="145"/>
        <v/>
      </c>
      <c r="R515" s="39" t="str">
        <f t="shared" si="146"/>
        <v/>
      </c>
      <c r="S515" s="107" t="str">
        <f t="shared" si="147"/>
        <v/>
      </c>
      <c r="T515" s="39" t="str">
        <f>IF($C515="","",IF(COUNTIF($C$2:$C515,$C515)=1,1,0))</f>
        <v/>
      </c>
      <c r="U515" s="39" t="str">
        <f>IF($T515=1,COUNTIF($T$2:$T515,1),"")</f>
        <v/>
      </c>
      <c r="V515" s="39" t="str">
        <f>IF($B515="","",IF(COUNTIF($B$2:$B515,$B515)=1,1,0))</f>
        <v/>
      </c>
      <c r="W515" s="39" t="str">
        <f>IF($V515=1,COUNTIF($V$2:$V515,1),"")</f>
        <v/>
      </c>
      <c r="X515" s="39" t="str">
        <f>IF($A515="","",IF(COUNTIF($A$2:$A515,$A515)=1,1,0))</f>
        <v/>
      </c>
      <c r="Y515" s="39" t="str">
        <f>IF($X515=1,COUNTIF($X$2:$X515,1),"")</f>
        <v/>
      </c>
      <c r="Z515" s="39">
        <f>IF(AND($E515="timed",$N515&gt;Settings!$C$8),1,0)</f>
        <v>0</v>
      </c>
      <c r="AA515" s="39">
        <f t="shared" si="148"/>
        <v>0</v>
      </c>
      <c r="AB515" s="39">
        <f t="shared" si="149"/>
        <v>0</v>
      </c>
      <c r="AC515" s="39" t="str">
        <f t="shared" si="150"/>
        <v/>
      </c>
      <c r="AD515" s="39" t="str">
        <f t="shared" si="151"/>
        <v/>
      </c>
      <c r="AE515" s="39" t="str">
        <f t="shared" si="152"/>
        <v/>
      </c>
      <c r="AF515" s="106" t="str">
        <f t="shared" si="153"/>
        <v/>
      </c>
      <c r="AG515" s="39">
        <f t="shared" si="154"/>
        <v>0</v>
      </c>
      <c r="AH515" s="39" t="str">
        <f t="shared" si="155"/>
        <v/>
      </c>
      <c r="AI515" s="39">
        <f>IF(AND($E515="timed",$N515&gt;=Settings!$C$9),1,0)</f>
        <v>0</v>
      </c>
      <c r="AJ515" s="39" t="str">
        <f>IF(OR($S515="",Settings!$C$16=""),"",IF($S515&lt;=Settings!$C$16,1,2))</f>
        <v/>
      </c>
      <c r="AK515" s="39" t="str">
        <f>IF($C515="","",IFERROR(IF(INDEX(Settings!$C$20:$C$59,MATCH($C515,Settings!$B$20:$B$59,0))="",Settings!$C$10,INDEX(Settings!$C$20:$C$59,MATCH($C515,Settings!$B$20:$B$59,0))),Settings!$C$10))</f>
        <v/>
      </c>
      <c r="AL515" s="108">
        <f t="shared" si="156"/>
        <v>0</v>
      </c>
      <c r="AM515" s="39" t="str">
        <f t="shared" si="157"/>
        <v/>
      </c>
      <c r="AN515" s="39" t="str">
        <f t="shared" si="158"/>
        <v/>
      </c>
      <c r="AO515" s="39" t="str">
        <f t="shared" si="159"/>
        <v/>
      </c>
      <c r="AP515" s="39">
        <f t="shared" si="160"/>
        <v>0</v>
      </c>
      <c r="AQ515" s="39">
        <f t="shared" si="161"/>
        <v>0</v>
      </c>
    </row>
    <row r="516" spans="14:43" x14ac:dyDescent="0.25">
      <c r="N516" s="105">
        <f t="shared" si="144"/>
        <v>0</v>
      </c>
      <c r="O516" s="106" t="str">
        <f>IF($F516="","",IF(ISNUMBER($F516),$F516+Settings!$C$7/24,IFERROR(DATEVALUE(LEFT($F516,10))+TIMEVALUE(MID($F516,12,8))+Settings!$C$7/24,"")))</f>
        <v/>
      </c>
      <c r="P516" s="106" t="str">
        <f>IF($G516="","",IF(ISNUMBER($G516),$G516+Settings!$C$7/24,IFERROR(DATEVALUE(LEFT($G516,10))+TIMEVALUE(MID($G516,12,8))+Settings!$C$7/24,"")))</f>
        <v/>
      </c>
      <c r="Q516" s="39" t="str">
        <f t="shared" si="145"/>
        <v/>
      </c>
      <c r="R516" s="39" t="str">
        <f t="shared" si="146"/>
        <v/>
      </c>
      <c r="S516" s="107" t="str">
        <f t="shared" si="147"/>
        <v/>
      </c>
      <c r="T516" s="39" t="str">
        <f>IF($C516="","",IF(COUNTIF($C$2:$C516,$C516)=1,1,0))</f>
        <v/>
      </c>
      <c r="U516" s="39" t="str">
        <f>IF($T516=1,COUNTIF($T$2:$T516,1),"")</f>
        <v/>
      </c>
      <c r="V516" s="39" t="str">
        <f>IF($B516="","",IF(COUNTIF($B$2:$B516,$B516)=1,1,0))</f>
        <v/>
      </c>
      <c r="W516" s="39" t="str">
        <f>IF($V516=1,COUNTIF($V$2:$V516,1),"")</f>
        <v/>
      </c>
      <c r="X516" s="39" t="str">
        <f>IF($A516="","",IF(COUNTIF($A$2:$A516,$A516)=1,1,0))</f>
        <v/>
      </c>
      <c r="Y516" s="39" t="str">
        <f>IF($X516=1,COUNTIF($X$2:$X516,1),"")</f>
        <v/>
      </c>
      <c r="Z516" s="39">
        <f>IF(AND($E516="timed",$N516&gt;Settings!$C$8),1,0)</f>
        <v>0</v>
      </c>
      <c r="AA516" s="39">
        <f t="shared" si="148"/>
        <v>0</v>
      </c>
      <c r="AB516" s="39">
        <f t="shared" si="149"/>
        <v>0</v>
      </c>
      <c r="AC516" s="39" t="str">
        <f t="shared" si="150"/>
        <v/>
      </c>
      <c r="AD516" s="39" t="str">
        <f t="shared" si="151"/>
        <v/>
      </c>
      <c r="AE516" s="39" t="str">
        <f t="shared" si="152"/>
        <v/>
      </c>
      <c r="AF516" s="106" t="str">
        <f t="shared" si="153"/>
        <v/>
      </c>
      <c r="AG516" s="39">
        <f t="shared" si="154"/>
        <v>0</v>
      </c>
      <c r="AH516" s="39" t="str">
        <f t="shared" si="155"/>
        <v/>
      </c>
      <c r="AI516" s="39">
        <f>IF(AND($E516="timed",$N516&gt;=Settings!$C$9),1,0)</f>
        <v>0</v>
      </c>
      <c r="AJ516" s="39" t="str">
        <f>IF(OR($S516="",Settings!$C$16=""),"",IF($S516&lt;=Settings!$C$16,1,2))</f>
        <v/>
      </c>
      <c r="AK516" s="39" t="str">
        <f>IF($C516="","",IFERROR(IF(INDEX(Settings!$C$20:$C$59,MATCH($C516,Settings!$B$20:$B$59,0))="",Settings!$C$10,INDEX(Settings!$C$20:$C$59,MATCH($C516,Settings!$B$20:$B$59,0))),Settings!$C$10))</f>
        <v/>
      </c>
      <c r="AL516" s="108">
        <f t="shared" si="156"/>
        <v>0</v>
      </c>
      <c r="AM516" s="39" t="str">
        <f t="shared" si="157"/>
        <v/>
      </c>
      <c r="AN516" s="39" t="str">
        <f t="shared" si="158"/>
        <v/>
      </c>
      <c r="AO516" s="39" t="str">
        <f t="shared" si="159"/>
        <v/>
      </c>
      <c r="AP516" s="39">
        <f t="shared" si="160"/>
        <v>0</v>
      </c>
      <c r="AQ516" s="39">
        <f t="shared" si="161"/>
        <v>0</v>
      </c>
    </row>
    <row r="517" spans="14:43" x14ac:dyDescent="0.25">
      <c r="N517" s="105">
        <f t="shared" si="144"/>
        <v>0</v>
      </c>
      <c r="O517" s="106" t="str">
        <f>IF($F517="","",IF(ISNUMBER($F517),$F517+Settings!$C$7/24,IFERROR(DATEVALUE(LEFT($F517,10))+TIMEVALUE(MID($F517,12,8))+Settings!$C$7/24,"")))</f>
        <v/>
      </c>
      <c r="P517" s="106" t="str">
        <f>IF($G517="","",IF(ISNUMBER($G517),$G517+Settings!$C$7/24,IFERROR(DATEVALUE(LEFT($G517,10))+TIMEVALUE(MID($G517,12,8))+Settings!$C$7/24,"")))</f>
        <v/>
      </c>
      <c r="Q517" s="39" t="str">
        <f t="shared" si="145"/>
        <v/>
      </c>
      <c r="R517" s="39" t="str">
        <f t="shared" si="146"/>
        <v/>
      </c>
      <c r="S517" s="107" t="str">
        <f t="shared" si="147"/>
        <v/>
      </c>
      <c r="T517" s="39" t="str">
        <f>IF($C517="","",IF(COUNTIF($C$2:$C517,$C517)=1,1,0))</f>
        <v/>
      </c>
      <c r="U517" s="39" t="str">
        <f>IF($T517=1,COUNTIF($T$2:$T517,1),"")</f>
        <v/>
      </c>
      <c r="V517" s="39" t="str">
        <f>IF($B517="","",IF(COUNTIF($B$2:$B517,$B517)=1,1,0))</f>
        <v/>
      </c>
      <c r="W517" s="39" t="str">
        <f>IF($V517=1,COUNTIF($V$2:$V517,1),"")</f>
        <v/>
      </c>
      <c r="X517" s="39" t="str">
        <f>IF($A517="","",IF(COUNTIF($A$2:$A517,$A517)=1,1,0))</f>
        <v/>
      </c>
      <c r="Y517" s="39" t="str">
        <f>IF($X517=1,COUNTIF($X$2:$X517,1),"")</f>
        <v/>
      </c>
      <c r="Z517" s="39">
        <f>IF(AND($E517="timed",$N517&gt;Settings!$C$8),1,0)</f>
        <v>0</v>
      </c>
      <c r="AA517" s="39">
        <f t="shared" si="148"/>
        <v>0</v>
      </c>
      <c r="AB517" s="39">
        <f t="shared" si="149"/>
        <v>0</v>
      </c>
      <c r="AC517" s="39" t="str">
        <f t="shared" si="150"/>
        <v/>
      </c>
      <c r="AD517" s="39" t="str">
        <f t="shared" si="151"/>
        <v/>
      </c>
      <c r="AE517" s="39" t="str">
        <f t="shared" si="152"/>
        <v/>
      </c>
      <c r="AF517" s="106" t="str">
        <f t="shared" si="153"/>
        <v/>
      </c>
      <c r="AG517" s="39">
        <f t="shared" si="154"/>
        <v>0</v>
      </c>
      <c r="AH517" s="39" t="str">
        <f t="shared" si="155"/>
        <v/>
      </c>
      <c r="AI517" s="39">
        <f>IF(AND($E517="timed",$N517&gt;=Settings!$C$9),1,0)</f>
        <v>0</v>
      </c>
      <c r="AJ517" s="39" t="str">
        <f>IF(OR($S517="",Settings!$C$16=""),"",IF($S517&lt;=Settings!$C$16,1,2))</f>
        <v/>
      </c>
      <c r="AK517" s="39" t="str">
        <f>IF($C517="","",IFERROR(IF(INDEX(Settings!$C$20:$C$59,MATCH($C517,Settings!$B$20:$B$59,0))="",Settings!$C$10,INDEX(Settings!$C$20:$C$59,MATCH($C517,Settings!$B$20:$B$59,0))),Settings!$C$10))</f>
        <v/>
      </c>
      <c r="AL517" s="108">
        <f t="shared" si="156"/>
        <v>0</v>
      </c>
      <c r="AM517" s="39" t="str">
        <f t="shared" si="157"/>
        <v/>
      </c>
      <c r="AN517" s="39" t="str">
        <f t="shared" si="158"/>
        <v/>
      </c>
      <c r="AO517" s="39" t="str">
        <f t="shared" si="159"/>
        <v/>
      </c>
      <c r="AP517" s="39">
        <f t="shared" si="160"/>
        <v>0</v>
      </c>
      <c r="AQ517" s="39">
        <f t="shared" si="161"/>
        <v>0</v>
      </c>
    </row>
    <row r="518" spans="14:43" x14ac:dyDescent="0.25">
      <c r="N518" s="105">
        <f t="shared" si="144"/>
        <v>0</v>
      </c>
      <c r="O518" s="106" t="str">
        <f>IF($F518="","",IF(ISNUMBER($F518),$F518+Settings!$C$7/24,IFERROR(DATEVALUE(LEFT($F518,10))+TIMEVALUE(MID($F518,12,8))+Settings!$C$7/24,"")))</f>
        <v/>
      </c>
      <c r="P518" s="106" t="str">
        <f>IF($G518="","",IF(ISNUMBER($G518),$G518+Settings!$C$7/24,IFERROR(DATEVALUE(LEFT($G518,10))+TIMEVALUE(MID($G518,12,8))+Settings!$C$7/24,"")))</f>
        <v/>
      </c>
      <c r="Q518" s="39" t="str">
        <f t="shared" si="145"/>
        <v/>
      </c>
      <c r="R518" s="39" t="str">
        <f t="shared" si="146"/>
        <v/>
      </c>
      <c r="S518" s="107" t="str">
        <f t="shared" si="147"/>
        <v/>
      </c>
      <c r="T518" s="39" t="str">
        <f>IF($C518="","",IF(COUNTIF($C$2:$C518,$C518)=1,1,0))</f>
        <v/>
      </c>
      <c r="U518" s="39" t="str">
        <f>IF($T518=1,COUNTIF($T$2:$T518,1),"")</f>
        <v/>
      </c>
      <c r="V518" s="39" t="str">
        <f>IF($B518="","",IF(COUNTIF($B$2:$B518,$B518)=1,1,0))</f>
        <v/>
      </c>
      <c r="W518" s="39" t="str">
        <f>IF($V518=1,COUNTIF($V$2:$V518,1),"")</f>
        <v/>
      </c>
      <c r="X518" s="39" t="str">
        <f>IF($A518="","",IF(COUNTIF($A$2:$A518,$A518)=1,1,0))</f>
        <v/>
      </c>
      <c r="Y518" s="39" t="str">
        <f>IF($X518=1,COUNTIF($X$2:$X518,1),"")</f>
        <v/>
      </c>
      <c r="Z518" s="39">
        <f>IF(AND($E518="timed",$N518&gt;Settings!$C$8),1,0)</f>
        <v>0</v>
      </c>
      <c r="AA518" s="39">
        <f t="shared" si="148"/>
        <v>0</v>
      </c>
      <c r="AB518" s="39">
        <f t="shared" si="149"/>
        <v>0</v>
      </c>
      <c r="AC518" s="39" t="str">
        <f t="shared" si="150"/>
        <v/>
      </c>
      <c r="AD518" s="39" t="str">
        <f t="shared" si="151"/>
        <v/>
      </c>
      <c r="AE518" s="39" t="str">
        <f t="shared" si="152"/>
        <v/>
      </c>
      <c r="AF518" s="106" t="str">
        <f t="shared" si="153"/>
        <v/>
      </c>
      <c r="AG518" s="39">
        <f t="shared" si="154"/>
        <v>0</v>
      </c>
      <c r="AH518" s="39" t="str">
        <f t="shared" si="155"/>
        <v/>
      </c>
      <c r="AI518" s="39">
        <f>IF(AND($E518="timed",$N518&gt;=Settings!$C$9),1,0)</f>
        <v>0</v>
      </c>
      <c r="AJ518" s="39" t="str">
        <f>IF(OR($S518="",Settings!$C$16=""),"",IF($S518&lt;=Settings!$C$16,1,2))</f>
        <v/>
      </c>
      <c r="AK518" s="39" t="str">
        <f>IF($C518="","",IFERROR(IF(INDEX(Settings!$C$20:$C$59,MATCH($C518,Settings!$B$20:$B$59,0))="",Settings!$C$10,INDEX(Settings!$C$20:$C$59,MATCH($C518,Settings!$B$20:$B$59,0))),Settings!$C$10))</f>
        <v/>
      </c>
      <c r="AL518" s="108">
        <f t="shared" si="156"/>
        <v>0</v>
      </c>
      <c r="AM518" s="39" t="str">
        <f t="shared" si="157"/>
        <v/>
      </c>
      <c r="AN518" s="39" t="str">
        <f t="shared" si="158"/>
        <v/>
      </c>
      <c r="AO518" s="39" t="str">
        <f t="shared" si="159"/>
        <v/>
      </c>
      <c r="AP518" s="39">
        <f t="shared" si="160"/>
        <v>0</v>
      </c>
      <c r="AQ518" s="39">
        <f t="shared" si="161"/>
        <v>0</v>
      </c>
    </row>
    <row r="519" spans="14:43" x14ac:dyDescent="0.25">
      <c r="N519" s="105">
        <f t="shared" si="144"/>
        <v>0</v>
      </c>
      <c r="O519" s="106" t="str">
        <f>IF($F519="","",IF(ISNUMBER($F519),$F519+Settings!$C$7/24,IFERROR(DATEVALUE(LEFT($F519,10))+TIMEVALUE(MID($F519,12,8))+Settings!$C$7/24,"")))</f>
        <v/>
      </c>
      <c r="P519" s="106" t="str">
        <f>IF($G519="","",IF(ISNUMBER($G519),$G519+Settings!$C$7/24,IFERROR(DATEVALUE(LEFT($G519,10))+TIMEVALUE(MID($G519,12,8))+Settings!$C$7/24,"")))</f>
        <v/>
      </c>
      <c r="Q519" s="39" t="str">
        <f t="shared" si="145"/>
        <v/>
      </c>
      <c r="R519" s="39" t="str">
        <f t="shared" si="146"/>
        <v/>
      </c>
      <c r="S519" s="107" t="str">
        <f t="shared" si="147"/>
        <v/>
      </c>
      <c r="T519" s="39" t="str">
        <f>IF($C519="","",IF(COUNTIF($C$2:$C519,$C519)=1,1,0))</f>
        <v/>
      </c>
      <c r="U519" s="39" t="str">
        <f>IF($T519=1,COUNTIF($T$2:$T519,1),"")</f>
        <v/>
      </c>
      <c r="V519" s="39" t="str">
        <f>IF($B519="","",IF(COUNTIF($B$2:$B519,$B519)=1,1,0))</f>
        <v/>
      </c>
      <c r="W519" s="39" t="str">
        <f>IF($V519=1,COUNTIF($V$2:$V519,1),"")</f>
        <v/>
      </c>
      <c r="X519" s="39" t="str">
        <f>IF($A519="","",IF(COUNTIF($A$2:$A519,$A519)=1,1,0))</f>
        <v/>
      </c>
      <c r="Y519" s="39" t="str">
        <f>IF($X519=1,COUNTIF($X$2:$X519,1),"")</f>
        <v/>
      </c>
      <c r="Z519" s="39">
        <f>IF(AND($E519="timed",$N519&gt;Settings!$C$8),1,0)</f>
        <v>0</v>
      </c>
      <c r="AA519" s="39">
        <f t="shared" si="148"/>
        <v>0</v>
      </c>
      <c r="AB519" s="39">
        <f t="shared" si="149"/>
        <v>0</v>
      </c>
      <c r="AC519" s="39" t="str">
        <f t="shared" si="150"/>
        <v/>
      </c>
      <c r="AD519" s="39" t="str">
        <f t="shared" si="151"/>
        <v/>
      </c>
      <c r="AE519" s="39" t="str">
        <f t="shared" si="152"/>
        <v/>
      </c>
      <c r="AF519" s="106" t="str">
        <f t="shared" si="153"/>
        <v/>
      </c>
      <c r="AG519" s="39">
        <f t="shared" si="154"/>
        <v>0</v>
      </c>
      <c r="AH519" s="39" t="str">
        <f t="shared" si="155"/>
        <v/>
      </c>
      <c r="AI519" s="39">
        <f>IF(AND($E519="timed",$N519&gt;=Settings!$C$9),1,0)</f>
        <v>0</v>
      </c>
      <c r="AJ519" s="39" t="str">
        <f>IF(OR($S519="",Settings!$C$16=""),"",IF($S519&lt;=Settings!$C$16,1,2))</f>
        <v/>
      </c>
      <c r="AK519" s="39" t="str">
        <f>IF($C519="","",IFERROR(IF(INDEX(Settings!$C$20:$C$59,MATCH($C519,Settings!$B$20:$B$59,0))="",Settings!$C$10,INDEX(Settings!$C$20:$C$59,MATCH($C519,Settings!$B$20:$B$59,0))),Settings!$C$10))</f>
        <v/>
      </c>
      <c r="AL519" s="108">
        <f t="shared" si="156"/>
        <v>0</v>
      </c>
      <c r="AM519" s="39" t="str">
        <f t="shared" si="157"/>
        <v/>
      </c>
      <c r="AN519" s="39" t="str">
        <f t="shared" si="158"/>
        <v/>
      </c>
      <c r="AO519" s="39" t="str">
        <f t="shared" si="159"/>
        <v/>
      </c>
      <c r="AP519" s="39">
        <f t="shared" si="160"/>
        <v>0</v>
      </c>
      <c r="AQ519" s="39">
        <f t="shared" si="161"/>
        <v>0</v>
      </c>
    </row>
    <row r="520" spans="14:43" x14ac:dyDescent="0.25">
      <c r="N520" s="105">
        <f t="shared" si="144"/>
        <v>0</v>
      </c>
      <c r="O520" s="106" t="str">
        <f>IF($F520="","",IF(ISNUMBER($F520),$F520+Settings!$C$7/24,IFERROR(DATEVALUE(LEFT($F520,10))+TIMEVALUE(MID($F520,12,8))+Settings!$C$7/24,"")))</f>
        <v/>
      </c>
      <c r="P520" s="106" t="str">
        <f>IF($G520="","",IF(ISNUMBER($G520),$G520+Settings!$C$7/24,IFERROR(DATEVALUE(LEFT($G520,10))+TIMEVALUE(MID($G520,12,8))+Settings!$C$7/24,"")))</f>
        <v/>
      </c>
      <c r="Q520" s="39" t="str">
        <f t="shared" si="145"/>
        <v/>
      </c>
      <c r="R520" s="39" t="str">
        <f t="shared" si="146"/>
        <v/>
      </c>
      <c r="S520" s="107" t="str">
        <f t="shared" si="147"/>
        <v/>
      </c>
      <c r="T520" s="39" t="str">
        <f>IF($C520="","",IF(COUNTIF($C$2:$C520,$C520)=1,1,0))</f>
        <v/>
      </c>
      <c r="U520" s="39" t="str">
        <f>IF($T520=1,COUNTIF($T$2:$T520,1),"")</f>
        <v/>
      </c>
      <c r="V520" s="39" t="str">
        <f>IF($B520="","",IF(COUNTIF($B$2:$B520,$B520)=1,1,0))</f>
        <v/>
      </c>
      <c r="W520" s="39" t="str">
        <f>IF($V520=1,COUNTIF($V$2:$V520,1),"")</f>
        <v/>
      </c>
      <c r="X520" s="39" t="str">
        <f>IF($A520="","",IF(COUNTIF($A$2:$A520,$A520)=1,1,0))</f>
        <v/>
      </c>
      <c r="Y520" s="39" t="str">
        <f>IF($X520=1,COUNTIF($X$2:$X520,1),"")</f>
        <v/>
      </c>
      <c r="Z520" s="39">
        <f>IF(AND($E520="timed",$N520&gt;Settings!$C$8),1,0)</f>
        <v>0</v>
      </c>
      <c r="AA520" s="39">
        <f t="shared" si="148"/>
        <v>0</v>
      </c>
      <c r="AB520" s="39">
        <f t="shared" si="149"/>
        <v>0</v>
      </c>
      <c r="AC520" s="39" t="str">
        <f t="shared" si="150"/>
        <v/>
      </c>
      <c r="AD520" s="39" t="str">
        <f t="shared" si="151"/>
        <v/>
      </c>
      <c r="AE520" s="39" t="str">
        <f t="shared" si="152"/>
        <v/>
      </c>
      <c r="AF520" s="106" t="str">
        <f t="shared" si="153"/>
        <v/>
      </c>
      <c r="AG520" s="39">
        <f t="shared" si="154"/>
        <v>0</v>
      </c>
      <c r="AH520" s="39" t="str">
        <f t="shared" si="155"/>
        <v/>
      </c>
      <c r="AI520" s="39">
        <f>IF(AND($E520="timed",$N520&gt;=Settings!$C$9),1,0)</f>
        <v>0</v>
      </c>
      <c r="AJ520" s="39" t="str">
        <f>IF(OR($S520="",Settings!$C$16=""),"",IF($S520&lt;=Settings!$C$16,1,2))</f>
        <v/>
      </c>
      <c r="AK520" s="39" t="str">
        <f>IF($C520="","",IFERROR(IF(INDEX(Settings!$C$20:$C$59,MATCH($C520,Settings!$B$20:$B$59,0))="",Settings!$C$10,INDEX(Settings!$C$20:$C$59,MATCH($C520,Settings!$B$20:$B$59,0))),Settings!$C$10))</f>
        <v/>
      </c>
      <c r="AL520" s="108">
        <f t="shared" si="156"/>
        <v>0</v>
      </c>
      <c r="AM520" s="39" t="str">
        <f t="shared" si="157"/>
        <v/>
      </c>
      <c r="AN520" s="39" t="str">
        <f t="shared" si="158"/>
        <v/>
      </c>
      <c r="AO520" s="39" t="str">
        <f t="shared" si="159"/>
        <v/>
      </c>
      <c r="AP520" s="39">
        <f t="shared" si="160"/>
        <v>0</v>
      </c>
      <c r="AQ520" s="39">
        <f t="shared" si="161"/>
        <v>0</v>
      </c>
    </row>
    <row r="521" spans="14:43" x14ac:dyDescent="0.25">
      <c r="N521" s="105">
        <f t="shared" si="144"/>
        <v>0</v>
      </c>
      <c r="O521" s="106" t="str">
        <f>IF($F521="","",IF(ISNUMBER($F521),$F521+Settings!$C$7/24,IFERROR(DATEVALUE(LEFT($F521,10))+TIMEVALUE(MID($F521,12,8))+Settings!$C$7/24,"")))</f>
        <v/>
      </c>
      <c r="P521" s="106" t="str">
        <f>IF($G521="","",IF(ISNUMBER($G521),$G521+Settings!$C$7/24,IFERROR(DATEVALUE(LEFT($G521,10))+TIMEVALUE(MID($G521,12,8))+Settings!$C$7/24,"")))</f>
        <v/>
      </c>
      <c r="Q521" s="39" t="str">
        <f t="shared" si="145"/>
        <v/>
      </c>
      <c r="R521" s="39" t="str">
        <f t="shared" si="146"/>
        <v/>
      </c>
      <c r="S521" s="107" t="str">
        <f t="shared" si="147"/>
        <v/>
      </c>
      <c r="T521" s="39" t="str">
        <f>IF($C521="","",IF(COUNTIF($C$2:$C521,$C521)=1,1,0))</f>
        <v/>
      </c>
      <c r="U521" s="39" t="str">
        <f>IF($T521=1,COUNTIF($T$2:$T521,1),"")</f>
        <v/>
      </c>
      <c r="V521" s="39" t="str">
        <f>IF($B521="","",IF(COUNTIF($B$2:$B521,$B521)=1,1,0))</f>
        <v/>
      </c>
      <c r="W521" s="39" t="str">
        <f>IF($V521=1,COUNTIF($V$2:$V521,1),"")</f>
        <v/>
      </c>
      <c r="X521" s="39" t="str">
        <f>IF($A521="","",IF(COUNTIF($A$2:$A521,$A521)=1,1,0))</f>
        <v/>
      </c>
      <c r="Y521" s="39" t="str">
        <f>IF($X521=1,COUNTIF($X$2:$X521,1),"")</f>
        <v/>
      </c>
      <c r="Z521" s="39">
        <f>IF(AND($E521="timed",$N521&gt;Settings!$C$8),1,0)</f>
        <v>0</v>
      </c>
      <c r="AA521" s="39">
        <f t="shared" si="148"/>
        <v>0</v>
      </c>
      <c r="AB521" s="39">
        <f t="shared" si="149"/>
        <v>0</v>
      </c>
      <c r="AC521" s="39" t="str">
        <f t="shared" si="150"/>
        <v/>
      </c>
      <c r="AD521" s="39" t="str">
        <f t="shared" si="151"/>
        <v/>
      </c>
      <c r="AE521" s="39" t="str">
        <f t="shared" si="152"/>
        <v/>
      </c>
      <c r="AF521" s="106" t="str">
        <f t="shared" si="153"/>
        <v/>
      </c>
      <c r="AG521" s="39">
        <f t="shared" si="154"/>
        <v>0</v>
      </c>
      <c r="AH521" s="39" t="str">
        <f t="shared" si="155"/>
        <v/>
      </c>
      <c r="AI521" s="39">
        <f>IF(AND($E521="timed",$N521&gt;=Settings!$C$9),1,0)</f>
        <v>0</v>
      </c>
      <c r="AJ521" s="39" t="str">
        <f>IF(OR($S521="",Settings!$C$16=""),"",IF($S521&lt;=Settings!$C$16,1,2))</f>
        <v/>
      </c>
      <c r="AK521" s="39" t="str">
        <f>IF($C521="","",IFERROR(IF(INDEX(Settings!$C$20:$C$59,MATCH($C521,Settings!$B$20:$B$59,0))="",Settings!$C$10,INDEX(Settings!$C$20:$C$59,MATCH($C521,Settings!$B$20:$B$59,0))),Settings!$C$10))</f>
        <v/>
      </c>
      <c r="AL521" s="108">
        <f t="shared" si="156"/>
        <v>0</v>
      </c>
      <c r="AM521" s="39" t="str">
        <f t="shared" si="157"/>
        <v/>
      </c>
      <c r="AN521" s="39" t="str">
        <f t="shared" si="158"/>
        <v/>
      </c>
      <c r="AO521" s="39" t="str">
        <f t="shared" si="159"/>
        <v/>
      </c>
      <c r="AP521" s="39">
        <f t="shared" si="160"/>
        <v>0</v>
      </c>
      <c r="AQ521" s="39">
        <f t="shared" si="161"/>
        <v>0</v>
      </c>
    </row>
    <row r="522" spans="14:43" x14ac:dyDescent="0.25">
      <c r="N522" s="105">
        <f t="shared" si="144"/>
        <v>0</v>
      </c>
      <c r="O522" s="106" t="str">
        <f>IF($F522="","",IF(ISNUMBER($F522),$F522+Settings!$C$7/24,IFERROR(DATEVALUE(LEFT($F522,10))+TIMEVALUE(MID($F522,12,8))+Settings!$C$7/24,"")))</f>
        <v/>
      </c>
      <c r="P522" s="106" t="str">
        <f>IF($G522="","",IF(ISNUMBER($G522),$G522+Settings!$C$7/24,IFERROR(DATEVALUE(LEFT($G522,10))+TIMEVALUE(MID($G522,12,8))+Settings!$C$7/24,"")))</f>
        <v/>
      </c>
      <c r="Q522" s="39" t="str">
        <f t="shared" si="145"/>
        <v/>
      </c>
      <c r="R522" s="39" t="str">
        <f t="shared" si="146"/>
        <v/>
      </c>
      <c r="S522" s="107" t="str">
        <f t="shared" si="147"/>
        <v/>
      </c>
      <c r="T522" s="39" t="str">
        <f>IF($C522="","",IF(COUNTIF($C$2:$C522,$C522)=1,1,0))</f>
        <v/>
      </c>
      <c r="U522" s="39" t="str">
        <f>IF($T522=1,COUNTIF($T$2:$T522,1),"")</f>
        <v/>
      </c>
      <c r="V522" s="39" t="str">
        <f>IF($B522="","",IF(COUNTIF($B$2:$B522,$B522)=1,1,0))</f>
        <v/>
      </c>
      <c r="W522" s="39" t="str">
        <f>IF($V522=1,COUNTIF($V$2:$V522,1),"")</f>
        <v/>
      </c>
      <c r="X522" s="39" t="str">
        <f>IF($A522="","",IF(COUNTIF($A$2:$A522,$A522)=1,1,0))</f>
        <v/>
      </c>
      <c r="Y522" s="39" t="str">
        <f>IF($X522=1,COUNTIF($X$2:$X522,1),"")</f>
        <v/>
      </c>
      <c r="Z522" s="39">
        <f>IF(AND($E522="timed",$N522&gt;Settings!$C$8),1,0)</f>
        <v>0</v>
      </c>
      <c r="AA522" s="39">
        <f t="shared" si="148"/>
        <v>0</v>
      </c>
      <c r="AB522" s="39">
        <f t="shared" si="149"/>
        <v>0</v>
      </c>
      <c r="AC522" s="39" t="str">
        <f t="shared" si="150"/>
        <v/>
      </c>
      <c r="AD522" s="39" t="str">
        <f t="shared" si="151"/>
        <v/>
      </c>
      <c r="AE522" s="39" t="str">
        <f t="shared" si="152"/>
        <v/>
      </c>
      <c r="AF522" s="106" t="str">
        <f t="shared" si="153"/>
        <v/>
      </c>
      <c r="AG522" s="39">
        <f t="shared" si="154"/>
        <v>0</v>
      </c>
      <c r="AH522" s="39" t="str">
        <f t="shared" si="155"/>
        <v/>
      </c>
      <c r="AI522" s="39">
        <f>IF(AND($E522="timed",$N522&gt;=Settings!$C$9),1,0)</f>
        <v>0</v>
      </c>
      <c r="AJ522" s="39" t="str">
        <f>IF(OR($S522="",Settings!$C$16=""),"",IF($S522&lt;=Settings!$C$16,1,2))</f>
        <v/>
      </c>
      <c r="AK522" s="39" t="str">
        <f>IF($C522="","",IFERROR(IF(INDEX(Settings!$C$20:$C$59,MATCH($C522,Settings!$B$20:$B$59,0))="",Settings!$C$10,INDEX(Settings!$C$20:$C$59,MATCH($C522,Settings!$B$20:$B$59,0))),Settings!$C$10))</f>
        <v/>
      </c>
      <c r="AL522" s="108">
        <f t="shared" si="156"/>
        <v>0</v>
      </c>
      <c r="AM522" s="39" t="str">
        <f t="shared" si="157"/>
        <v/>
      </c>
      <c r="AN522" s="39" t="str">
        <f t="shared" si="158"/>
        <v/>
      </c>
      <c r="AO522" s="39" t="str">
        <f t="shared" si="159"/>
        <v/>
      </c>
      <c r="AP522" s="39">
        <f t="shared" si="160"/>
        <v>0</v>
      </c>
      <c r="AQ522" s="39">
        <f t="shared" si="161"/>
        <v>0</v>
      </c>
    </row>
    <row r="523" spans="14:43" x14ac:dyDescent="0.25">
      <c r="N523" s="105">
        <f t="shared" si="144"/>
        <v>0</v>
      </c>
      <c r="O523" s="106" t="str">
        <f>IF($F523="","",IF(ISNUMBER($F523),$F523+Settings!$C$7/24,IFERROR(DATEVALUE(LEFT($F523,10))+TIMEVALUE(MID($F523,12,8))+Settings!$C$7/24,"")))</f>
        <v/>
      </c>
      <c r="P523" s="106" t="str">
        <f>IF($G523="","",IF(ISNUMBER($G523),$G523+Settings!$C$7/24,IFERROR(DATEVALUE(LEFT($G523,10))+TIMEVALUE(MID($G523,12,8))+Settings!$C$7/24,"")))</f>
        <v/>
      </c>
      <c r="Q523" s="39" t="str">
        <f t="shared" si="145"/>
        <v/>
      </c>
      <c r="R523" s="39" t="str">
        <f t="shared" si="146"/>
        <v/>
      </c>
      <c r="S523" s="107" t="str">
        <f t="shared" si="147"/>
        <v/>
      </c>
      <c r="T523" s="39" t="str">
        <f>IF($C523="","",IF(COUNTIF($C$2:$C523,$C523)=1,1,0))</f>
        <v/>
      </c>
      <c r="U523" s="39" t="str">
        <f>IF($T523=1,COUNTIF($T$2:$T523,1),"")</f>
        <v/>
      </c>
      <c r="V523" s="39" t="str">
        <f>IF($B523="","",IF(COUNTIF($B$2:$B523,$B523)=1,1,0))</f>
        <v/>
      </c>
      <c r="W523" s="39" t="str">
        <f>IF($V523=1,COUNTIF($V$2:$V523,1),"")</f>
        <v/>
      </c>
      <c r="X523" s="39" t="str">
        <f>IF($A523="","",IF(COUNTIF($A$2:$A523,$A523)=1,1,0))</f>
        <v/>
      </c>
      <c r="Y523" s="39" t="str">
        <f>IF($X523=1,COUNTIF($X$2:$X523,1),"")</f>
        <v/>
      </c>
      <c r="Z523" s="39">
        <f>IF(AND($E523="timed",$N523&gt;Settings!$C$8),1,0)</f>
        <v>0</v>
      </c>
      <c r="AA523" s="39">
        <f t="shared" si="148"/>
        <v>0</v>
      </c>
      <c r="AB523" s="39">
        <f t="shared" si="149"/>
        <v>0</v>
      </c>
      <c r="AC523" s="39" t="str">
        <f t="shared" si="150"/>
        <v/>
      </c>
      <c r="AD523" s="39" t="str">
        <f t="shared" si="151"/>
        <v/>
      </c>
      <c r="AE523" s="39" t="str">
        <f t="shared" si="152"/>
        <v/>
      </c>
      <c r="AF523" s="106" t="str">
        <f t="shared" si="153"/>
        <v/>
      </c>
      <c r="AG523" s="39">
        <f t="shared" si="154"/>
        <v>0</v>
      </c>
      <c r="AH523" s="39" t="str">
        <f t="shared" si="155"/>
        <v/>
      </c>
      <c r="AI523" s="39">
        <f>IF(AND($E523="timed",$N523&gt;=Settings!$C$9),1,0)</f>
        <v>0</v>
      </c>
      <c r="AJ523" s="39" t="str">
        <f>IF(OR($S523="",Settings!$C$16=""),"",IF($S523&lt;=Settings!$C$16,1,2))</f>
        <v/>
      </c>
      <c r="AK523" s="39" t="str">
        <f>IF($C523="","",IFERROR(IF(INDEX(Settings!$C$20:$C$59,MATCH($C523,Settings!$B$20:$B$59,0))="",Settings!$C$10,INDEX(Settings!$C$20:$C$59,MATCH($C523,Settings!$B$20:$B$59,0))),Settings!$C$10))</f>
        <v/>
      </c>
      <c r="AL523" s="108">
        <f t="shared" si="156"/>
        <v>0</v>
      </c>
      <c r="AM523" s="39" t="str">
        <f t="shared" si="157"/>
        <v/>
      </c>
      <c r="AN523" s="39" t="str">
        <f t="shared" si="158"/>
        <v/>
      </c>
      <c r="AO523" s="39" t="str">
        <f t="shared" si="159"/>
        <v/>
      </c>
      <c r="AP523" s="39">
        <f t="shared" si="160"/>
        <v>0</v>
      </c>
      <c r="AQ523" s="39">
        <f t="shared" si="161"/>
        <v>0</v>
      </c>
    </row>
    <row r="524" spans="14:43" x14ac:dyDescent="0.25">
      <c r="N524" s="105">
        <f t="shared" si="144"/>
        <v>0</v>
      </c>
      <c r="O524" s="106" t="str">
        <f>IF($F524="","",IF(ISNUMBER($F524),$F524+Settings!$C$7/24,IFERROR(DATEVALUE(LEFT($F524,10))+TIMEVALUE(MID($F524,12,8))+Settings!$C$7/24,"")))</f>
        <v/>
      </c>
      <c r="P524" s="106" t="str">
        <f>IF($G524="","",IF(ISNUMBER($G524),$G524+Settings!$C$7/24,IFERROR(DATEVALUE(LEFT($G524,10))+TIMEVALUE(MID($G524,12,8))+Settings!$C$7/24,"")))</f>
        <v/>
      </c>
      <c r="Q524" s="39" t="str">
        <f t="shared" si="145"/>
        <v/>
      </c>
      <c r="R524" s="39" t="str">
        <f t="shared" si="146"/>
        <v/>
      </c>
      <c r="S524" s="107" t="str">
        <f t="shared" si="147"/>
        <v/>
      </c>
      <c r="T524" s="39" t="str">
        <f>IF($C524="","",IF(COUNTIF($C$2:$C524,$C524)=1,1,0))</f>
        <v/>
      </c>
      <c r="U524" s="39" t="str">
        <f>IF($T524=1,COUNTIF($T$2:$T524,1),"")</f>
        <v/>
      </c>
      <c r="V524" s="39" t="str">
        <f>IF($B524="","",IF(COUNTIF($B$2:$B524,$B524)=1,1,0))</f>
        <v/>
      </c>
      <c r="W524" s="39" t="str">
        <f>IF($V524=1,COUNTIF($V$2:$V524,1),"")</f>
        <v/>
      </c>
      <c r="X524" s="39" t="str">
        <f>IF($A524="","",IF(COUNTIF($A$2:$A524,$A524)=1,1,0))</f>
        <v/>
      </c>
      <c r="Y524" s="39" t="str">
        <f>IF($X524=1,COUNTIF($X$2:$X524,1),"")</f>
        <v/>
      </c>
      <c r="Z524" s="39">
        <f>IF(AND($E524="timed",$N524&gt;Settings!$C$8),1,0)</f>
        <v>0</v>
      </c>
      <c r="AA524" s="39">
        <f t="shared" si="148"/>
        <v>0</v>
      </c>
      <c r="AB524" s="39">
        <f t="shared" si="149"/>
        <v>0</v>
      </c>
      <c r="AC524" s="39" t="str">
        <f t="shared" si="150"/>
        <v/>
      </c>
      <c r="AD524" s="39" t="str">
        <f t="shared" si="151"/>
        <v/>
      </c>
      <c r="AE524" s="39" t="str">
        <f t="shared" si="152"/>
        <v/>
      </c>
      <c r="AF524" s="106" t="str">
        <f t="shared" si="153"/>
        <v/>
      </c>
      <c r="AG524" s="39">
        <f t="shared" si="154"/>
        <v>0</v>
      </c>
      <c r="AH524" s="39" t="str">
        <f t="shared" si="155"/>
        <v/>
      </c>
      <c r="AI524" s="39">
        <f>IF(AND($E524="timed",$N524&gt;=Settings!$C$9),1,0)</f>
        <v>0</v>
      </c>
      <c r="AJ524" s="39" t="str">
        <f>IF(OR($S524="",Settings!$C$16=""),"",IF($S524&lt;=Settings!$C$16,1,2))</f>
        <v/>
      </c>
      <c r="AK524" s="39" t="str">
        <f>IF($C524="","",IFERROR(IF(INDEX(Settings!$C$20:$C$59,MATCH($C524,Settings!$B$20:$B$59,0))="",Settings!$C$10,INDEX(Settings!$C$20:$C$59,MATCH($C524,Settings!$B$20:$B$59,0))),Settings!$C$10))</f>
        <v/>
      </c>
      <c r="AL524" s="108">
        <f t="shared" si="156"/>
        <v>0</v>
      </c>
      <c r="AM524" s="39" t="str">
        <f t="shared" si="157"/>
        <v/>
      </c>
      <c r="AN524" s="39" t="str">
        <f t="shared" si="158"/>
        <v/>
      </c>
      <c r="AO524" s="39" t="str">
        <f t="shared" si="159"/>
        <v/>
      </c>
      <c r="AP524" s="39">
        <f t="shared" si="160"/>
        <v>0</v>
      </c>
      <c r="AQ524" s="39">
        <f t="shared" si="161"/>
        <v>0</v>
      </c>
    </row>
    <row r="525" spans="14:43" x14ac:dyDescent="0.25">
      <c r="N525" s="105">
        <f t="shared" si="144"/>
        <v>0</v>
      </c>
      <c r="O525" s="106" t="str">
        <f>IF($F525="","",IF(ISNUMBER($F525),$F525+Settings!$C$7/24,IFERROR(DATEVALUE(LEFT($F525,10))+TIMEVALUE(MID($F525,12,8))+Settings!$C$7/24,"")))</f>
        <v/>
      </c>
      <c r="P525" s="106" t="str">
        <f>IF($G525="","",IF(ISNUMBER($G525),$G525+Settings!$C$7/24,IFERROR(DATEVALUE(LEFT($G525,10))+TIMEVALUE(MID($G525,12,8))+Settings!$C$7/24,"")))</f>
        <v/>
      </c>
      <c r="Q525" s="39" t="str">
        <f t="shared" si="145"/>
        <v/>
      </c>
      <c r="R525" s="39" t="str">
        <f t="shared" si="146"/>
        <v/>
      </c>
      <c r="S525" s="107" t="str">
        <f t="shared" si="147"/>
        <v/>
      </c>
      <c r="T525" s="39" t="str">
        <f>IF($C525="","",IF(COUNTIF($C$2:$C525,$C525)=1,1,0))</f>
        <v/>
      </c>
      <c r="U525" s="39" t="str">
        <f>IF($T525=1,COUNTIF($T$2:$T525,1),"")</f>
        <v/>
      </c>
      <c r="V525" s="39" t="str">
        <f>IF($B525="","",IF(COUNTIF($B$2:$B525,$B525)=1,1,0))</f>
        <v/>
      </c>
      <c r="W525" s="39" t="str">
        <f>IF($V525=1,COUNTIF($V$2:$V525,1),"")</f>
        <v/>
      </c>
      <c r="X525" s="39" t="str">
        <f>IF($A525="","",IF(COUNTIF($A$2:$A525,$A525)=1,1,0))</f>
        <v/>
      </c>
      <c r="Y525" s="39" t="str">
        <f>IF($X525=1,COUNTIF($X$2:$X525,1),"")</f>
        <v/>
      </c>
      <c r="Z525" s="39">
        <f>IF(AND($E525="timed",$N525&gt;Settings!$C$8),1,0)</f>
        <v>0</v>
      </c>
      <c r="AA525" s="39">
        <f t="shared" si="148"/>
        <v>0</v>
      </c>
      <c r="AB525" s="39">
        <f t="shared" si="149"/>
        <v>0</v>
      </c>
      <c r="AC525" s="39" t="str">
        <f t="shared" si="150"/>
        <v/>
      </c>
      <c r="AD525" s="39" t="str">
        <f t="shared" si="151"/>
        <v/>
      </c>
      <c r="AE525" s="39" t="str">
        <f t="shared" si="152"/>
        <v/>
      </c>
      <c r="AF525" s="106" t="str">
        <f t="shared" si="153"/>
        <v/>
      </c>
      <c r="AG525" s="39">
        <f t="shared" si="154"/>
        <v>0</v>
      </c>
      <c r="AH525" s="39" t="str">
        <f t="shared" si="155"/>
        <v/>
      </c>
      <c r="AI525" s="39">
        <f>IF(AND($E525="timed",$N525&gt;=Settings!$C$9),1,0)</f>
        <v>0</v>
      </c>
      <c r="AJ525" s="39" t="str">
        <f>IF(OR($S525="",Settings!$C$16=""),"",IF($S525&lt;=Settings!$C$16,1,2))</f>
        <v/>
      </c>
      <c r="AK525" s="39" t="str">
        <f>IF($C525="","",IFERROR(IF(INDEX(Settings!$C$20:$C$59,MATCH($C525,Settings!$B$20:$B$59,0))="",Settings!$C$10,INDEX(Settings!$C$20:$C$59,MATCH($C525,Settings!$B$20:$B$59,0))),Settings!$C$10))</f>
        <v/>
      </c>
      <c r="AL525" s="108">
        <f t="shared" si="156"/>
        <v>0</v>
      </c>
      <c r="AM525" s="39" t="str">
        <f t="shared" si="157"/>
        <v/>
      </c>
      <c r="AN525" s="39" t="str">
        <f t="shared" si="158"/>
        <v/>
      </c>
      <c r="AO525" s="39" t="str">
        <f t="shared" si="159"/>
        <v/>
      </c>
      <c r="AP525" s="39">
        <f t="shared" si="160"/>
        <v>0</v>
      </c>
      <c r="AQ525" s="39">
        <f t="shared" si="161"/>
        <v>0</v>
      </c>
    </row>
    <row r="526" spans="14:43" x14ac:dyDescent="0.25">
      <c r="N526" s="105">
        <f t="shared" si="144"/>
        <v>0</v>
      </c>
      <c r="O526" s="106" t="str">
        <f>IF($F526="","",IF(ISNUMBER($F526),$F526+Settings!$C$7/24,IFERROR(DATEVALUE(LEFT($F526,10))+TIMEVALUE(MID($F526,12,8))+Settings!$C$7/24,"")))</f>
        <v/>
      </c>
      <c r="P526" s="106" t="str">
        <f>IF($G526="","",IF(ISNUMBER($G526),$G526+Settings!$C$7/24,IFERROR(DATEVALUE(LEFT($G526,10))+TIMEVALUE(MID($G526,12,8))+Settings!$C$7/24,"")))</f>
        <v/>
      </c>
      <c r="Q526" s="39" t="str">
        <f t="shared" si="145"/>
        <v/>
      </c>
      <c r="R526" s="39" t="str">
        <f t="shared" si="146"/>
        <v/>
      </c>
      <c r="S526" s="107" t="str">
        <f t="shared" si="147"/>
        <v/>
      </c>
      <c r="T526" s="39" t="str">
        <f>IF($C526="","",IF(COUNTIF($C$2:$C526,$C526)=1,1,0))</f>
        <v/>
      </c>
      <c r="U526" s="39" t="str">
        <f>IF($T526=1,COUNTIF($T$2:$T526,1),"")</f>
        <v/>
      </c>
      <c r="V526" s="39" t="str">
        <f>IF($B526="","",IF(COUNTIF($B$2:$B526,$B526)=1,1,0))</f>
        <v/>
      </c>
      <c r="W526" s="39" t="str">
        <f>IF($V526=1,COUNTIF($V$2:$V526,1),"")</f>
        <v/>
      </c>
      <c r="X526" s="39" t="str">
        <f>IF($A526="","",IF(COUNTIF($A$2:$A526,$A526)=1,1,0))</f>
        <v/>
      </c>
      <c r="Y526" s="39" t="str">
        <f>IF($X526=1,COUNTIF($X$2:$X526,1),"")</f>
        <v/>
      </c>
      <c r="Z526" s="39">
        <f>IF(AND($E526="timed",$N526&gt;Settings!$C$8),1,0)</f>
        <v>0</v>
      </c>
      <c r="AA526" s="39">
        <f t="shared" si="148"/>
        <v>0</v>
      </c>
      <c r="AB526" s="39">
        <f t="shared" si="149"/>
        <v>0</v>
      </c>
      <c r="AC526" s="39" t="str">
        <f t="shared" si="150"/>
        <v/>
      </c>
      <c r="AD526" s="39" t="str">
        <f t="shared" si="151"/>
        <v/>
      </c>
      <c r="AE526" s="39" t="str">
        <f t="shared" si="152"/>
        <v/>
      </c>
      <c r="AF526" s="106" t="str">
        <f t="shared" si="153"/>
        <v/>
      </c>
      <c r="AG526" s="39">
        <f t="shared" si="154"/>
        <v>0</v>
      </c>
      <c r="AH526" s="39" t="str">
        <f t="shared" si="155"/>
        <v/>
      </c>
      <c r="AI526" s="39">
        <f>IF(AND($E526="timed",$N526&gt;=Settings!$C$9),1,0)</f>
        <v>0</v>
      </c>
      <c r="AJ526" s="39" t="str">
        <f>IF(OR($S526="",Settings!$C$16=""),"",IF($S526&lt;=Settings!$C$16,1,2))</f>
        <v/>
      </c>
      <c r="AK526" s="39" t="str">
        <f>IF($C526="","",IFERROR(IF(INDEX(Settings!$C$20:$C$59,MATCH($C526,Settings!$B$20:$B$59,0))="",Settings!$C$10,INDEX(Settings!$C$20:$C$59,MATCH($C526,Settings!$B$20:$B$59,0))),Settings!$C$10))</f>
        <v/>
      </c>
      <c r="AL526" s="108">
        <f t="shared" si="156"/>
        <v>0</v>
      </c>
      <c r="AM526" s="39" t="str">
        <f t="shared" si="157"/>
        <v/>
      </c>
      <c r="AN526" s="39" t="str">
        <f t="shared" si="158"/>
        <v/>
      </c>
      <c r="AO526" s="39" t="str">
        <f t="shared" si="159"/>
        <v/>
      </c>
      <c r="AP526" s="39">
        <f t="shared" si="160"/>
        <v>0</v>
      </c>
      <c r="AQ526" s="39">
        <f t="shared" si="161"/>
        <v>0</v>
      </c>
    </row>
    <row r="527" spans="14:43" x14ac:dyDescent="0.25">
      <c r="N527" s="105">
        <f t="shared" si="144"/>
        <v>0</v>
      </c>
      <c r="O527" s="106" t="str">
        <f>IF($F527="","",IF(ISNUMBER($F527),$F527+Settings!$C$7/24,IFERROR(DATEVALUE(LEFT($F527,10))+TIMEVALUE(MID($F527,12,8))+Settings!$C$7/24,"")))</f>
        <v/>
      </c>
      <c r="P527" s="106" t="str">
        <f>IF($G527="","",IF(ISNUMBER($G527),$G527+Settings!$C$7/24,IFERROR(DATEVALUE(LEFT($G527,10))+TIMEVALUE(MID($G527,12,8))+Settings!$C$7/24,"")))</f>
        <v/>
      </c>
      <c r="Q527" s="39" t="str">
        <f t="shared" si="145"/>
        <v/>
      </c>
      <c r="R527" s="39" t="str">
        <f t="shared" si="146"/>
        <v/>
      </c>
      <c r="S527" s="107" t="str">
        <f t="shared" si="147"/>
        <v/>
      </c>
      <c r="T527" s="39" t="str">
        <f>IF($C527="","",IF(COUNTIF($C$2:$C527,$C527)=1,1,0))</f>
        <v/>
      </c>
      <c r="U527" s="39" t="str">
        <f>IF($T527=1,COUNTIF($T$2:$T527,1),"")</f>
        <v/>
      </c>
      <c r="V527" s="39" t="str">
        <f>IF($B527="","",IF(COUNTIF($B$2:$B527,$B527)=1,1,0))</f>
        <v/>
      </c>
      <c r="W527" s="39" t="str">
        <f>IF($V527=1,COUNTIF($V$2:$V527,1),"")</f>
        <v/>
      </c>
      <c r="X527" s="39" t="str">
        <f>IF($A527="","",IF(COUNTIF($A$2:$A527,$A527)=1,1,0))</f>
        <v/>
      </c>
      <c r="Y527" s="39" t="str">
        <f>IF($X527=1,COUNTIF($X$2:$X527,1),"")</f>
        <v/>
      </c>
      <c r="Z527" s="39">
        <f>IF(AND($E527="timed",$N527&gt;Settings!$C$8),1,0)</f>
        <v>0</v>
      </c>
      <c r="AA527" s="39">
        <f t="shared" si="148"/>
        <v>0</v>
      </c>
      <c r="AB527" s="39">
        <f t="shared" si="149"/>
        <v>0</v>
      </c>
      <c r="AC527" s="39" t="str">
        <f t="shared" si="150"/>
        <v/>
      </c>
      <c r="AD527" s="39" t="str">
        <f t="shared" si="151"/>
        <v/>
      </c>
      <c r="AE527" s="39" t="str">
        <f t="shared" si="152"/>
        <v/>
      </c>
      <c r="AF527" s="106" t="str">
        <f t="shared" si="153"/>
        <v/>
      </c>
      <c r="AG527" s="39">
        <f t="shared" si="154"/>
        <v>0</v>
      </c>
      <c r="AH527" s="39" t="str">
        <f t="shared" si="155"/>
        <v/>
      </c>
      <c r="AI527" s="39">
        <f>IF(AND($E527="timed",$N527&gt;=Settings!$C$9),1,0)</f>
        <v>0</v>
      </c>
      <c r="AJ527" s="39" t="str">
        <f>IF(OR($S527="",Settings!$C$16=""),"",IF($S527&lt;=Settings!$C$16,1,2))</f>
        <v/>
      </c>
      <c r="AK527" s="39" t="str">
        <f>IF($C527="","",IFERROR(IF(INDEX(Settings!$C$20:$C$59,MATCH($C527,Settings!$B$20:$B$59,0))="",Settings!$C$10,INDEX(Settings!$C$20:$C$59,MATCH($C527,Settings!$B$20:$B$59,0))),Settings!$C$10))</f>
        <v/>
      </c>
      <c r="AL527" s="108">
        <f t="shared" si="156"/>
        <v>0</v>
      </c>
      <c r="AM527" s="39" t="str">
        <f t="shared" si="157"/>
        <v/>
      </c>
      <c r="AN527" s="39" t="str">
        <f t="shared" si="158"/>
        <v/>
      </c>
      <c r="AO527" s="39" t="str">
        <f t="shared" si="159"/>
        <v/>
      </c>
      <c r="AP527" s="39">
        <f t="shared" si="160"/>
        <v>0</v>
      </c>
      <c r="AQ527" s="39">
        <f t="shared" si="161"/>
        <v>0</v>
      </c>
    </row>
    <row r="528" spans="14:43" x14ac:dyDescent="0.25">
      <c r="N528" s="105">
        <f t="shared" si="144"/>
        <v>0</v>
      </c>
      <c r="O528" s="106" t="str">
        <f>IF($F528="","",IF(ISNUMBER($F528),$F528+Settings!$C$7/24,IFERROR(DATEVALUE(LEFT($F528,10))+TIMEVALUE(MID($F528,12,8))+Settings!$C$7/24,"")))</f>
        <v/>
      </c>
      <c r="P528" s="106" t="str">
        <f>IF($G528="","",IF(ISNUMBER($G528),$G528+Settings!$C$7/24,IFERROR(DATEVALUE(LEFT($G528,10))+TIMEVALUE(MID($G528,12,8))+Settings!$C$7/24,"")))</f>
        <v/>
      </c>
      <c r="Q528" s="39" t="str">
        <f t="shared" si="145"/>
        <v/>
      </c>
      <c r="R528" s="39" t="str">
        <f t="shared" si="146"/>
        <v/>
      </c>
      <c r="S528" s="107" t="str">
        <f t="shared" si="147"/>
        <v/>
      </c>
      <c r="T528" s="39" t="str">
        <f>IF($C528="","",IF(COUNTIF($C$2:$C528,$C528)=1,1,0))</f>
        <v/>
      </c>
      <c r="U528" s="39" t="str">
        <f>IF($T528=1,COUNTIF($T$2:$T528,1),"")</f>
        <v/>
      </c>
      <c r="V528" s="39" t="str">
        <f>IF($B528="","",IF(COUNTIF($B$2:$B528,$B528)=1,1,0))</f>
        <v/>
      </c>
      <c r="W528" s="39" t="str">
        <f>IF($V528=1,COUNTIF($V$2:$V528,1),"")</f>
        <v/>
      </c>
      <c r="X528" s="39" t="str">
        <f>IF($A528="","",IF(COUNTIF($A$2:$A528,$A528)=1,1,0))</f>
        <v/>
      </c>
      <c r="Y528" s="39" t="str">
        <f>IF($X528=1,COUNTIF($X$2:$X528,1),"")</f>
        <v/>
      </c>
      <c r="Z528" s="39">
        <f>IF(AND($E528="timed",$N528&gt;Settings!$C$8),1,0)</f>
        <v>0</v>
      </c>
      <c r="AA528" s="39">
        <f t="shared" si="148"/>
        <v>0</v>
      </c>
      <c r="AB528" s="39">
        <f t="shared" si="149"/>
        <v>0</v>
      </c>
      <c r="AC528" s="39" t="str">
        <f t="shared" si="150"/>
        <v/>
      </c>
      <c r="AD528" s="39" t="str">
        <f t="shared" si="151"/>
        <v/>
      </c>
      <c r="AE528" s="39" t="str">
        <f t="shared" si="152"/>
        <v/>
      </c>
      <c r="AF528" s="106" t="str">
        <f t="shared" si="153"/>
        <v/>
      </c>
      <c r="AG528" s="39">
        <f t="shared" si="154"/>
        <v>0</v>
      </c>
      <c r="AH528" s="39" t="str">
        <f t="shared" si="155"/>
        <v/>
      </c>
      <c r="AI528" s="39">
        <f>IF(AND($E528="timed",$N528&gt;=Settings!$C$9),1,0)</f>
        <v>0</v>
      </c>
      <c r="AJ528" s="39" t="str">
        <f>IF(OR($S528="",Settings!$C$16=""),"",IF($S528&lt;=Settings!$C$16,1,2))</f>
        <v/>
      </c>
      <c r="AK528" s="39" t="str">
        <f>IF($C528="","",IFERROR(IF(INDEX(Settings!$C$20:$C$59,MATCH($C528,Settings!$B$20:$B$59,0))="",Settings!$C$10,INDEX(Settings!$C$20:$C$59,MATCH($C528,Settings!$B$20:$B$59,0))),Settings!$C$10))</f>
        <v/>
      </c>
      <c r="AL528" s="108">
        <f t="shared" si="156"/>
        <v>0</v>
      </c>
      <c r="AM528" s="39" t="str">
        <f t="shared" si="157"/>
        <v/>
      </c>
      <c r="AN528" s="39" t="str">
        <f t="shared" si="158"/>
        <v/>
      </c>
      <c r="AO528" s="39" t="str">
        <f t="shared" si="159"/>
        <v/>
      </c>
      <c r="AP528" s="39">
        <f t="shared" si="160"/>
        <v>0</v>
      </c>
      <c r="AQ528" s="39">
        <f t="shared" si="161"/>
        <v>0</v>
      </c>
    </row>
    <row r="529" spans="14:43" x14ac:dyDescent="0.25">
      <c r="N529" s="105">
        <f t="shared" si="144"/>
        <v>0</v>
      </c>
      <c r="O529" s="106" t="str">
        <f>IF($F529="","",IF(ISNUMBER($F529),$F529+Settings!$C$7/24,IFERROR(DATEVALUE(LEFT($F529,10))+TIMEVALUE(MID($F529,12,8))+Settings!$C$7/24,"")))</f>
        <v/>
      </c>
      <c r="P529" s="106" t="str">
        <f>IF($G529="","",IF(ISNUMBER($G529),$G529+Settings!$C$7/24,IFERROR(DATEVALUE(LEFT($G529,10))+TIMEVALUE(MID($G529,12,8))+Settings!$C$7/24,"")))</f>
        <v/>
      </c>
      <c r="Q529" s="39" t="str">
        <f t="shared" si="145"/>
        <v/>
      </c>
      <c r="R529" s="39" t="str">
        <f t="shared" si="146"/>
        <v/>
      </c>
      <c r="S529" s="107" t="str">
        <f t="shared" si="147"/>
        <v/>
      </c>
      <c r="T529" s="39" t="str">
        <f>IF($C529="","",IF(COUNTIF($C$2:$C529,$C529)=1,1,0))</f>
        <v/>
      </c>
      <c r="U529" s="39" t="str">
        <f>IF($T529=1,COUNTIF($T$2:$T529,1),"")</f>
        <v/>
      </c>
      <c r="V529" s="39" t="str">
        <f>IF($B529="","",IF(COUNTIF($B$2:$B529,$B529)=1,1,0))</f>
        <v/>
      </c>
      <c r="W529" s="39" t="str">
        <f>IF($V529=1,COUNTIF($V$2:$V529,1),"")</f>
        <v/>
      </c>
      <c r="X529" s="39" t="str">
        <f>IF($A529="","",IF(COUNTIF($A$2:$A529,$A529)=1,1,0))</f>
        <v/>
      </c>
      <c r="Y529" s="39" t="str">
        <f>IF($X529=1,COUNTIF($X$2:$X529,1),"")</f>
        <v/>
      </c>
      <c r="Z529" s="39">
        <f>IF(AND($E529="timed",$N529&gt;Settings!$C$8),1,0)</f>
        <v>0</v>
      </c>
      <c r="AA529" s="39">
        <f t="shared" si="148"/>
        <v>0</v>
      </c>
      <c r="AB529" s="39">
        <f t="shared" si="149"/>
        <v>0</v>
      </c>
      <c r="AC529" s="39" t="str">
        <f t="shared" si="150"/>
        <v/>
      </c>
      <c r="AD529" s="39" t="str">
        <f t="shared" si="151"/>
        <v/>
      </c>
      <c r="AE529" s="39" t="str">
        <f t="shared" si="152"/>
        <v/>
      </c>
      <c r="AF529" s="106" t="str">
        <f t="shared" si="153"/>
        <v/>
      </c>
      <c r="AG529" s="39">
        <f t="shared" si="154"/>
        <v>0</v>
      </c>
      <c r="AH529" s="39" t="str">
        <f t="shared" si="155"/>
        <v/>
      </c>
      <c r="AI529" s="39">
        <f>IF(AND($E529="timed",$N529&gt;=Settings!$C$9),1,0)</f>
        <v>0</v>
      </c>
      <c r="AJ529" s="39" t="str">
        <f>IF(OR($S529="",Settings!$C$16=""),"",IF($S529&lt;=Settings!$C$16,1,2))</f>
        <v/>
      </c>
      <c r="AK529" s="39" t="str">
        <f>IF($C529="","",IFERROR(IF(INDEX(Settings!$C$20:$C$59,MATCH($C529,Settings!$B$20:$B$59,0))="",Settings!$C$10,INDEX(Settings!$C$20:$C$59,MATCH($C529,Settings!$B$20:$B$59,0))),Settings!$C$10))</f>
        <v/>
      </c>
      <c r="AL529" s="108">
        <f t="shared" si="156"/>
        <v>0</v>
      </c>
      <c r="AM529" s="39" t="str">
        <f t="shared" si="157"/>
        <v/>
      </c>
      <c r="AN529" s="39" t="str">
        <f t="shared" si="158"/>
        <v/>
      </c>
      <c r="AO529" s="39" t="str">
        <f t="shared" si="159"/>
        <v/>
      </c>
      <c r="AP529" s="39">
        <f t="shared" si="160"/>
        <v>0</v>
      </c>
      <c r="AQ529" s="39">
        <f t="shared" si="161"/>
        <v>0</v>
      </c>
    </row>
    <row r="530" spans="14:43" x14ac:dyDescent="0.25">
      <c r="N530" s="105">
        <f t="shared" si="144"/>
        <v>0</v>
      </c>
      <c r="O530" s="106" t="str">
        <f>IF($F530="","",IF(ISNUMBER($F530),$F530+Settings!$C$7/24,IFERROR(DATEVALUE(LEFT($F530,10))+TIMEVALUE(MID($F530,12,8))+Settings!$C$7/24,"")))</f>
        <v/>
      </c>
      <c r="P530" s="106" t="str">
        <f>IF($G530="","",IF(ISNUMBER($G530),$G530+Settings!$C$7/24,IFERROR(DATEVALUE(LEFT($G530,10))+TIMEVALUE(MID($G530,12,8))+Settings!$C$7/24,"")))</f>
        <v/>
      </c>
      <c r="Q530" s="39" t="str">
        <f t="shared" si="145"/>
        <v/>
      </c>
      <c r="R530" s="39" t="str">
        <f t="shared" si="146"/>
        <v/>
      </c>
      <c r="S530" s="107" t="str">
        <f t="shared" si="147"/>
        <v/>
      </c>
      <c r="T530" s="39" t="str">
        <f>IF($C530="","",IF(COUNTIF($C$2:$C530,$C530)=1,1,0))</f>
        <v/>
      </c>
      <c r="U530" s="39" t="str">
        <f>IF($T530=1,COUNTIF($T$2:$T530,1),"")</f>
        <v/>
      </c>
      <c r="V530" s="39" t="str">
        <f>IF($B530="","",IF(COUNTIF($B$2:$B530,$B530)=1,1,0))</f>
        <v/>
      </c>
      <c r="W530" s="39" t="str">
        <f>IF($V530=1,COUNTIF($V$2:$V530,1),"")</f>
        <v/>
      </c>
      <c r="X530" s="39" t="str">
        <f>IF($A530="","",IF(COUNTIF($A$2:$A530,$A530)=1,1,0))</f>
        <v/>
      </c>
      <c r="Y530" s="39" t="str">
        <f>IF($X530=1,COUNTIF($X$2:$X530,1),"")</f>
        <v/>
      </c>
      <c r="Z530" s="39">
        <f>IF(AND($E530="timed",$N530&gt;Settings!$C$8),1,0)</f>
        <v>0</v>
      </c>
      <c r="AA530" s="39">
        <f t="shared" si="148"/>
        <v>0</v>
      </c>
      <c r="AB530" s="39">
        <f t="shared" si="149"/>
        <v>0</v>
      </c>
      <c r="AC530" s="39" t="str">
        <f t="shared" si="150"/>
        <v/>
      </c>
      <c r="AD530" s="39" t="str">
        <f t="shared" si="151"/>
        <v/>
      </c>
      <c r="AE530" s="39" t="str">
        <f t="shared" si="152"/>
        <v/>
      </c>
      <c r="AF530" s="106" t="str">
        <f t="shared" si="153"/>
        <v/>
      </c>
      <c r="AG530" s="39">
        <f t="shared" si="154"/>
        <v>0</v>
      </c>
      <c r="AH530" s="39" t="str">
        <f t="shared" si="155"/>
        <v/>
      </c>
      <c r="AI530" s="39">
        <f>IF(AND($E530="timed",$N530&gt;=Settings!$C$9),1,0)</f>
        <v>0</v>
      </c>
      <c r="AJ530" s="39" t="str">
        <f>IF(OR($S530="",Settings!$C$16=""),"",IF($S530&lt;=Settings!$C$16,1,2))</f>
        <v/>
      </c>
      <c r="AK530" s="39" t="str">
        <f>IF($C530="","",IFERROR(IF(INDEX(Settings!$C$20:$C$59,MATCH($C530,Settings!$B$20:$B$59,0))="",Settings!$C$10,INDEX(Settings!$C$20:$C$59,MATCH($C530,Settings!$B$20:$B$59,0))),Settings!$C$10))</f>
        <v/>
      </c>
      <c r="AL530" s="108">
        <f t="shared" si="156"/>
        <v>0</v>
      </c>
      <c r="AM530" s="39" t="str">
        <f t="shared" si="157"/>
        <v/>
      </c>
      <c r="AN530" s="39" t="str">
        <f t="shared" si="158"/>
        <v/>
      </c>
      <c r="AO530" s="39" t="str">
        <f t="shared" si="159"/>
        <v/>
      </c>
      <c r="AP530" s="39">
        <f t="shared" si="160"/>
        <v>0</v>
      </c>
      <c r="AQ530" s="39">
        <f t="shared" si="161"/>
        <v>0</v>
      </c>
    </row>
    <row r="531" spans="14:43" x14ac:dyDescent="0.25">
      <c r="N531" s="105">
        <f t="shared" si="144"/>
        <v>0</v>
      </c>
      <c r="O531" s="106" t="str">
        <f>IF($F531="","",IF(ISNUMBER($F531),$F531+Settings!$C$7/24,IFERROR(DATEVALUE(LEFT($F531,10))+TIMEVALUE(MID($F531,12,8))+Settings!$C$7/24,"")))</f>
        <v/>
      </c>
      <c r="P531" s="106" t="str">
        <f>IF($G531="","",IF(ISNUMBER($G531),$G531+Settings!$C$7/24,IFERROR(DATEVALUE(LEFT($G531,10))+TIMEVALUE(MID($G531,12,8))+Settings!$C$7/24,"")))</f>
        <v/>
      </c>
      <c r="Q531" s="39" t="str">
        <f t="shared" si="145"/>
        <v/>
      </c>
      <c r="R531" s="39" t="str">
        <f t="shared" si="146"/>
        <v/>
      </c>
      <c r="S531" s="107" t="str">
        <f t="shared" si="147"/>
        <v/>
      </c>
      <c r="T531" s="39" t="str">
        <f>IF($C531="","",IF(COUNTIF($C$2:$C531,$C531)=1,1,0))</f>
        <v/>
      </c>
      <c r="U531" s="39" t="str">
        <f>IF($T531=1,COUNTIF($T$2:$T531,1),"")</f>
        <v/>
      </c>
      <c r="V531" s="39" t="str">
        <f>IF($B531="","",IF(COUNTIF($B$2:$B531,$B531)=1,1,0))</f>
        <v/>
      </c>
      <c r="W531" s="39" t="str">
        <f>IF($V531=1,COUNTIF($V$2:$V531,1),"")</f>
        <v/>
      </c>
      <c r="X531" s="39" t="str">
        <f>IF($A531="","",IF(COUNTIF($A$2:$A531,$A531)=1,1,0))</f>
        <v/>
      </c>
      <c r="Y531" s="39" t="str">
        <f>IF($X531=1,COUNTIF($X$2:$X531,1),"")</f>
        <v/>
      </c>
      <c r="Z531" s="39">
        <f>IF(AND($E531="timed",$N531&gt;Settings!$C$8),1,0)</f>
        <v>0</v>
      </c>
      <c r="AA531" s="39">
        <f t="shared" si="148"/>
        <v>0</v>
      </c>
      <c r="AB531" s="39">
        <f t="shared" si="149"/>
        <v>0</v>
      </c>
      <c r="AC531" s="39" t="str">
        <f t="shared" si="150"/>
        <v/>
      </c>
      <c r="AD531" s="39" t="str">
        <f t="shared" si="151"/>
        <v/>
      </c>
      <c r="AE531" s="39" t="str">
        <f t="shared" si="152"/>
        <v/>
      </c>
      <c r="AF531" s="106" t="str">
        <f t="shared" si="153"/>
        <v/>
      </c>
      <c r="AG531" s="39">
        <f t="shared" si="154"/>
        <v>0</v>
      </c>
      <c r="AH531" s="39" t="str">
        <f t="shared" si="155"/>
        <v/>
      </c>
      <c r="AI531" s="39">
        <f>IF(AND($E531="timed",$N531&gt;=Settings!$C$9),1,0)</f>
        <v>0</v>
      </c>
      <c r="AJ531" s="39" t="str">
        <f>IF(OR($S531="",Settings!$C$16=""),"",IF($S531&lt;=Settings!$C$16,1,2))</f>
        <v/>
      </c>
      <c r="AK531" s="39" t="str">
        <f>IF($C531="","",IFERROR(IF(INDEX(Settings!$C$20:$C$59,MATCH($C531,Settings!$B$20:$B$59,0))="",Settings!$C$10,INDEX(Settings!$C$20:$C$59,MATCH($C531,Settings!$B$20:$B$59,0))),Settings!$C$10))</f>
        <v/>
      </c>
      <c r="AL531" s="108">
        <f t="shared" si="156"/>
        <v>0</v>
      </c>
      <c r="AM531" s="39" t="str">
        <f t="shared" si="157"/>
        <v/>
      </c>
      <c r="AN531" s="39" t="str">
        <f t="shared" si="158"/>
        <v/>
      </c>
      <c r="AO531" s="39" t="str">
        <f t="shared" si="159"/>
        <v/>
      </c>
      <c r="AP531" s="39">
        <f t="shared" si="160"/>
        <v>0</v>
      </c>
      <c r="AQ531" s="39">
        <f t="shared" si="161"/>
        <v>0</v>
      </c>
    </row>
    <row r="532" spans="14:43" x14ac:dyDescent="0.25">
      <c r="N532" s="105">
        <f t="shared" si="144"/>
        <v>0</v>
      </c>
      <c r="O532" s="106" t="str">
        <f>IF($F532="","",IF(ISNUMBER($F532),$F532+Settings!$C$7/24,IFERROR(DATEVALUE(LEFT($F532,10))+TIMEVALUE(MID($F532,12,8))+Settings!$C$7/24,"")))</f>
        <v/>
      </c>
      <c r="P532" s="106" t="str">
        <f>IF($G532="","",IF(ISNUMBER($G532),$G532+Settings!$C$7/24,IFERROR(DATEVALUE(LEFT($G532,10))+TIMEVALUE(MID($G532,12,8))+Settings!$C$7/24,"")))</f>
        <v/>
      </c>
      <c r="Q532" s="39" t="str">
        <f t="shared" si="145"/>
        <v/>
      </c>
      <c r="R532" s="39" t="str">
        <f t="shared" si="146"/>
        <v/>
      </c>
      <c r="S532" s="107" t="str">
        <f t="shared" si="147"/>
        <v/>
      </c>
      <c r="T532" s="39" t="str">
        <f>IF($C532="","",IF(COUNTIF($C$2:$C532,$C532)=1,1,0))</f>
        <v/>
      </c>
      <c r="U532" s="39" t="str">
        <f>IF($T532=1,COUNTIF($T$2:$T532,1),"")</f>
        <v/>
      </c>
      <c r="V532" s="39" t="str">
        <f>IF($B532="","",IF(COUNTIF($B$2:$B532,$B532)=1,1,0))</f>
        <v/>
      </c>
      <c r="W532" s="39" t="str">
        <f>IF($V532=1,COUNTIF($V$2:$V532,1),"")</f>
        <v/>
      </c>
      <c r="X532" s="39" t="str">
        <f>IF($A532="","",IF(COUNTIF($A$2:$A532,$A532)=1,1,0))</f>
        <v/>
      </c>
      <c r="Y532" s="39" t="str">
        <f>IF($X532=1,COUNTIF($X$2:$X532,1),"")</f>
        <v/>
      </c>
      <c r="Z532" s="39">
        <f>IF(AND($E532="timed",$N532&gt;Settings!$C$8),1,0)</f>
        <v>0</v>
      </c>
      <c r="AA532" s="39">
        <f t="shared" si="148"/>
        <v>0</v>
      </c>
      <c r="AB532" s="39">
        <f t="shared" si="149"/>
        <v>0</v>
      </c>
      <c r="AC532" s="39" t="str">
        <f t="shared" si="150"/>
        <v/>
      </c>
      <c r="AD532" s="39" t="str">
        <f t="shared" si="151"/>
        <v/>
      </c>
      <c r="AE532" s="39" t="str">
        <f t="shared" si="152"/>
        <v/>
      </c>
      <c r="AF532" s="106" t="str">
        <f t="shared" si="153"/>
        <v/>
      </c>
      <c r="AG532" s="39">
        <f t="shared" si="154"/>
        <v>0</v>
      </c>
      <c r="AH532" s="39" t="str">
        <f t="shared" si="155"/>
        <v/>
      </c>
      <c r="AI532" s="39">
        <f>IF(AND($E532="timed",$N532&gt;=Settings!$C$9),1,0)</f>
        <v>0</v>
      </c>
      <c r="AJ532" s="39" t="str">
        <f>IF(OR($S532="",Settings!$C$16=""),"",IF($S532&lt;=Settings!$C$16,1,2))</f>
        <v/>
      </c>
      <c r="AK532" s="39" t="str">
        <f>IF($C532="","",IFERROR(IF(INDEX(Settings!$C$20:$C$59,MATCH($C532,Settings!$B$20:$B$59,0))="",Settings!$C$10,INDEX(Settings!$C$20:$C$59,MATCH($C532,Settings!$B$20:$B$59,0))),Settings!$C$10))</f>
        <v/>
      </c>
      <c r="AL532" s="108">
        <f t="shared" si="156"/>
        <v>0</v>
      </c>
      <c r="AM532" s="39" t="str">
        <f t="shared" si="157"/>
        <v/>
      </c>
      <c r="AN532" s="39" t="str">
        <f t="shared" si="158"/>
        <v/>
      </c>
      <c r="AO532" s="39" t="str">
        <f t="shared" si="159"/>
        <v/>
      </c>
      <c r="AP532" s="39">
        <f t="shared" si="160"/>
        <v>0</v>
      </c>
      <c r="AQ532" s="39">
        <f t="shared" si="161"/>
        <v>0</v>
      </c>
    </row>
    <row r="533" spans="14:43" x14ac:dyDescent="0.25">
      <c r="N533" s="105">
        <f t="shared" si="144"/>
        <v>0</v>
      </c>
      <c r="O533" s="106" t="str">
        <f>IF($F533="","",IF(ISNUMBER($F533),$F533+Settings!$C$7/24,IFERROR(DATEVALUE(LEFT($F533,10))+TIMEVALUE(MID($F533,12,8))+Settings!$C$7/24,"")))</f>
        <v/>
      </c>
      <c r="P533" s="106" t="str">
        <f>IF($G533="","",IF(ISNUMBER($G533),$G533+Settings!$C$7/24,IFERROR(DATEVALUE(LEFT($G533,10))+TIMEVALUE(MID($G533,12,8))+Settings!$C$7/24,"")))</f>
        <v/>
      </c>
      <c r="Q533" s="39" t="str">
        <f t="shared" si="145"/>
        <v/>
      </c>
      <c r="R533" s="39" t="str">
        <f t="shared" si="146"/>
        <v/>
      </c>
      <c r="S533" s="107" t="str">
        <f t="shared" si="147"/>
        <v/>
      </c>
      <c r="T533" s="39" t="str">
        <f>IF($C533="","",IF(COUNTIF($C$2:$C533,$C533)=1,1,0))</f>
        <v/>
      </c>
      <c r="U533" s="39" t="str">
        <f>IF($T533=1,COUNTIF($T$2:$T533,1),"")</f>
        <v/>
      </c>
      <c r="V533" s="39" t="str">
        <f>IF($B533="","",IF(COUNTIF($B$2:$B533,$B533)=1,1,0))</f>
        <v/>
      </c>
      <c r="W533" s="39" t="str">
        <f>IF($V533=1,COUNTIF($V$2:$V533,1),"")</f>
        <v/>
      </c>
      <c r="X533" s="39" t="str">
        <f>IF($A533="","",IF(COUNTIF($A$2:$A533,$A533)=1,1,0))</f>
        <v/>
      </c>
      <c r="Y533" s="39" t="str">
        <f>IF($X533=1,COUNTIF($X$2:$X533,1),"")</f>
        <v/>
      </c>
      <c r="Z533" s="39">
        <f>IF(AND($E533="timed",$N533&gt;Settings!$C$8),1,0)</f>
        <v>0</v>
      </c>
      <c r="AA533" s="39">
        <f t="shared" si="148"/>
        <v>0</v>
      </c>
      <c r="AB533" s="39">
        <f t="shared" si="149"/>
        <v>0</v>
      </c>
      <c r="AC533" s="39" t="str">
        <f t="shared" si="150"/>
        <v/>
      </c>
      <c r="AD533" s="39" t="str">
        <f t="shared" si="151"/>
        <v/>
      </c>
      <c r="AE533" s="39" t="str">
        <f t="shared" si="152"/>
        <v/>
      </c>
      <c r="AF533" s="106" t="str">
        <f t="shared" si="153"/>
        <v/>
      </c>
      <c r="AG533" s="39">
        <f t="shared" si="154"/>
        <v>0</v>
      </c>
      <c r="AH533" s="39" t="str">
        <f t="shared" si="155"/>
        <v/>
      </c>
      <c r="AI533" s="39">
        <f>IF(AND($E533="timed",$N533&gt;=Settings!$C$9),1,0)</f>
        <v>0</v>
      </c>
      <c r="AJ533" s="39" t="str">
        <f>IF(OR($S533="",Settings!$C$16=""),"",IF($S533&lt;=Settings!$C$16,1,2))</f>
        <v/>
      </c>
      <c r="AK533" s="39" t="str">
        <f>IF($C533="","",IFERROR(IF(INDEX(Settings!$C$20:$C$59,MATCH($C533,Settings!$B$20:$B$59,0))="",Settings!$C$10,INDEX(Settings!$C$20:$C$59,MATCH($C533,Settings!$B$20:$B$59,0))),Settings!$C$10))</f>
        <v/>
      </c>
      <c r="AL533" s="108">
        <f t="shared" si="156"/>
        <v>0</v>
      </c>
      <c r="AM533" s="39" t="str">
        <f t="shared" si="157"/>
        <v/>
      </c>
      <c r="AN533" s="39" t="str">
        <f t="shared" si="158"/>
        <v/>
      </c>
      <c r="AO533" s="39" t="str">
        <f t="shared" si="159"/>
        <v/>
      </c>
      <c r="AP533" s="39">
        <f t="shared" si="160"/>
        <v>0</v>
      </c>
      <c r="AQ533" s="39">
        <f t="shared" si="161"/>
        <v>0</v>
      </c>
    </row>
    <row r="534" spans="14:43" x14ac:dyDescent="0.25">
      <c r="N534" s="105">
        <f t="shared" si="144"/>
        <v>0</v>
      </c>
      <c r="O534" s="106" t="str">
        <f>IF($F534="","",IF(ISNUMBER($F534),$F534+Settings!$C$7/24,IFERROR(DATEVALUE(LEFT($F534,10))+TIMEVALUE(MID($F534,12,8))+Settings!$C$7/24,"")))</f>
        <v/>
      </c>
      <c r="P534" s="106" t="str">
        <f>IF($G534="","",IF(ISNUMBER($G534),$G534+Settings!$C$7/24,IFERROR(DATEVALUE(LEFT($G534,10))+TIMEVALUE(MID($G534,12,8))+Settings!$C$7/24,"")))</f>
        <v/>
      </c>
      <c r="Q534" s="39" t="str">
        <f t="shared" si="145"/>
        <v/>
      </c>
      <c r="R534" s="39" t="str">
        <f t="shared" si="146"/>
        <v/>
      </c>
      <c r="S534" s="107" t="str">
        <f t="shared" si="147"/>
        <v/>
      </c>
      <c r="T534" s="39" t="str">
        <f>IF($C534="","",IF(COUNTIF($C$2:$C534,$C534)=1,1,0))</f>
        <v/>
      </c>
      <c r="U534" s="39" t="str">
        <f>IF($T534=1,COUNTIF($T$2:$T534,1),"")</f>
        <v/>
      </c>
      <c r="V534" s="39" t="str">
        <f>IF($B534="","",IF(COUNTIF($B$2:$B534,$B534)=1,1,0))</f>
        <v/>
      </c>
      <c r="W534" s="39" t="str">
        <f>IF($V534=1,COUNTIF($V$2:$V534,1),"")</f>
        <v/>
      </c>
      <c r="X534" s="39" t="str">
        <f>IF($A534="","",IF(COUNTIF($A$2:$A534,$A534)=1,1,0))</f>
        <v/>
      </c>
      <c r="Y534" s="39" t="str">
        <f>IF($X534=1,COUNTIF($X$2:$X534,1),"")</f>
        <v/>
      </c>
      <c r="Z534" s="39">
        <f>IF(AND($E534="timed",$N534&gt;Settings!$C$8),1,0)</f>
        <v>0</v>
      </c>
      <c r="AA534" s="39">
        <f t="shared" si="148"/>
        <v>0</v>
      </c>
      <c r="AB534" s="39">
        <f t="shared" si="149"/>
        <v>0</v>
      </c>
      <c r="AC534" s="39" t="str">
        <f t="shared" si="150"/>
        <v/>
      </c>
      <c r="AD534" s="39" t="str">
        <f t="shared" si="151"/>
        <v/>
      </c>
      <c r="AE534" s="39" t="str">
        <f t="shared" si="152"/>
        <v/>
      </c>
      <c r="AF534" s="106" t="str">
        <f t="shared" si="153"/>
        <v/>
      </c>
      <c r="AG534" s="39">
        <f t="shared" si="154"/>
        <v>0</v>
      </c>
      <c r="AH534" s="39" t="str">
        <f t="shared" si="155"/>
        <v/>
      </c>
      <c r="AI534" s="39">
        <f>IF(AND($E534="timed",$N534&gt;=Settings!$C$9),1,0)</f>
        <v>0</v>
      </c>
      <c r="AJ534" s="39" t="str">
        <f>IF(OR($S534="",Settings!$C$16=""),"",IF($S534&lt;=Settings!$C$16,1,2))</f>
        <v/>
      </c>
      <c r="AK534" s="39" t="str">
        <f>IF($C534="","",IFERROR(IF(INDEX(Settings!$C$20:$C$59,MATCH($C534,Settings!$B$20:$B$59,0))="",Settings!$C$10,INDEX(Settings!$C$20:$C$59,MATCH($C534,Settings!$B$20:$B$59,0))),Settings!$C$10))</f>
        <v/>
      </c>
      <c r="AL534" s="108">
        <f t="shared" si="156"/>
        <v>0</v>
      </c>
      <c r="AM534" s="39" t="str">
        <f t="shared" si="157"/>
        <v/>
      </c>
      <c r="AN534" s="39" t="str">
        <f t="shared" si="158"/>
        <v/>
      </c>
      <c r="AO534" s="39" t="str">
        <f t="shared" si="159"/>
        <v/>
      </c>
      <c r="AP534" s="39">
        <f t="shared" si="160"/>
        <v>0</v>
      </c>
      <c r="AQ534" s="39">
        <f t="shared" si="161"/>
        <v>0</v>
      </c>
    </row>
    <row r="535" spans="14:43" x14ac:dyDescent="0.25">
      <c r="N535" s="105">
        <f t="shared" si="144"/>
        <v>0</v>
      </c>
      <c r="O535" s="106" t="str">
        <f>IF($F535="","",IF(ISNUMBER($F535),$F535+Settings!$C$7/24,IFERROR(DATEVALUE(LEFT($F535,10))+TIMEVALUE(MID($F535,12,8))+Settings!$C$7/24,"")))</f>
        <v/>
      </c>
      <c r="P535" s="106" t="str">
        <f>IF($G535="","",IF(ISNUMBER($G535),$G535+Settings!$C$7/24,IFERROR(DATEVALUE(LEFT($G535,10))+TIMEVALUE(MID($G535,12,8))+Settings!$C$7/24,"")))</f>
        <v/>
      </c>
      <c r="Q535" s="39" t="str">
        <f t="shared" si="145"/>
        <v/>
      </c>
      <c r="R535" s="39" t="str">
        <f t="shared" si="146"/>
        <v/>
      </c>
      <c r="S535" s="107" t="str">
        <f t="shared" si="147"/>
        <v/>
      </c>
      <c r="T535" s="39" t="str">
        <f>IF($C535="","",IF(COUNTIF($C$2:$C535,$C535)=1,1,0))</f>
        <v/>
      </c>
      <c r="U535" s="39" t="str">
        <f>IF($T535=1,COUNTIF($T$2:$T535,1),"")</f>
        <v/>
      </c>
      <c r="V535" s="39" t="str">
        <f>IF($B535="","",IF(COUNTIF($B$2:$B535,$B535)=1,1,0))</f>
        <v/>
      </c>
      <c r="W535" s="39" t="str">
        <f>IF($V535=1,COUNTIF($V$2:$V535,1),"")</f>
        <v/>
      </c>
      <c r="X535" s="39" t="str">
        <f>IF($A535="","",IF(COUNTIF($A$2:$A535,$A535)=1,1,0))</f>
        <v/>
      </c>
      <c r="Y535" s="39" t="str">
        <f>IF($X535=1,COUNTIF($X$2:$X535,1),"")</f>
        <v/>
      </c>
      <c r="Z535" s="39">
        <f>IF(AND($E535="timed",$N535&gt;Settings!$C$8),1,0)</f>
        <v>0</v>
      </c>
      <c r="AA535" s="39">
        <f t="shared" si="148"/>
        <v>0</v>
      </c>
      <c r="AB535" s="39">
        <f t="shared" si="149"/>
        <v>0</v>
      </c>
      <c r="AC535" s="39" t="str">
        <f t="shared" si="150"/>
        <v/>
      </c>
      <c r="AD535" s="39" t="str">
        <f t="shared" si="151"/>
        <v/>
      </c>
      <c r="AE535" s="39" t="str">
        <f t="shared" si="152"/>
        <v/>
      </c>
      <c r="AF535" s="106" t="str">
        <f t="shared" si="153"/>
        <v/>
      </c>
      <c r="AG535" s="39">
        <f t="shared" si="154"/>
        <v>0</v>
      </c>
      <c r="AH535" s="39" t="str">
        <f t="shared" si="155"/>
        <v/>
      </c>
      <c r="AI535" s="39">
        <f>IF(AND($E535="timed",$N535&gt;=Settings!$C$9),1,0)</f>
        <v>0</v>
      </c>
      <c r="AJ535" s="39" t="str">
        <f>IF(OR($S535="",Settings!$C$16=""),"",IF($S535&lt;=Settings!$C$16,1,2))</f>
        <v/>
      </c>
      <c r="AK535" s="39" t="str">
        <f>IF($C535="","",IFERROR(IF(INDEX(Settings!$C$20:$C$59,MATCH($C535,Settings!$B$20:$B$59,0))="",Settings!$C$10,INDEX(Settings!$C$20:$C$59,MATCH($C535,Settings!$B$20:$B$59,0))),Settings!$C$10))</f>
        <v/>
      </c>
      <c r="AL535" s="108">
        <f t="shared" si="156"/>
        <v>0</v>
      </c>
      <c r="AM535" s="39" t="str">
        <f t="shared" si="157"/>
        <v/>
      </c>
      <c r="AN535" s="39" t="str">
        <f t="shared" si="158"/>
        <v/>
      </c>
      <c r="AO535" s="39" t="str">
        <f t="shared" si="159"/>
        <v/>
      </c>
      <c r="AP535" s="39">
        <f t="shared" si="160"/>
        <v>0</v>
      </c>
      <c r="AQ535" s="39">
        <f t="shared" si="161"/>
        <v>0</v>
      </c>
    </row>
    <row r="536" spans="14:43" x14ac:dyDescent="0.25">
      <c r="N536" s="105">
        <f t="shared" si="144"/>
        <v>0</v>
      </c>
      <c r="O536" s="106" t="str">
        <f>IF($F536="","",IF(ISNUMBER($F536),$F536+Settings!$C$7/24,IFERROR(DATEVALUE(LEFT($F536,10))+TIMEVALUE(MID($F536,12,8))+Settings!$C$7/24,"")))</f>
        <v/>
      </c>
      <c r="P536" s="106" t="str">
        <f>IF($G536="","",IF(ISNUMBER($G536),$G536+Settings!$C$7/24,IFERROR(DATEVALUE(LEFT($G536,10))+TIMEVALUE(MID($G536,12,8))+Settings!$C$7/24,"")))</f>
        <v/>
      </c>
      <c r="Q536" s="39" t="str">
        <f t="shared" si="145"/>
        <v/>
      </c>
      <c r="R536" s="39" t="str">
        <f t="shared" si="146"/>
        <v/>
      </c>
      <c r="S536" s="107" t="str">
        <f t="shared" si="147"/>
        <v/>
      </c>
      <c r="T536" s="39" t="str">
        <f>IF($C536="","",IF(COUNTIF($C$2:$C536,$C536)=1,1,0))</f>
        <v/>
      </c>
      <c r="U536" s="39" t="str">
        <f>IF($T536=1,COUNTIF($T$2:$T536,1),"")</f>
        <v/>
      </c>
      <c r="V536" s="39" t="str">
        <f>IF($B536="","",IF(COUNTIF($B$2:$B536,$B536)=1,1,0))</f>
        <v/>
      </c>
      <c r="W536" s="39" t="str">
        <f>IF($V536=1,COUNTIF($V$2:$V536,1),"")</f>
        <v/>
      </c>
      <c r="X536" s="39" t="str">
        <f>IF($A536="","",IF(COUNTIF($A$2:$A536,$A536)=1,1,0))</f>
        <v/>
      </c>
      <c r="Y536" s="39" t="str">
        <f>IF($X536=1,COUNTIF($X$2:$X536,1),"")</f>
        <v/>
      </c>
      <c r="Z536" s="39">
        <f>IF(AND($E536="timed",$N536&gt;Settings!$C$8),1,0)</f>
        <v>0</v>
      </c>
      <c r="AA536" s="39">
        <f t="shared" si="148"/>
        <v>0</v>
      </c>
      <c r="AB536" s="39">
        <f t="shared" si="149"/>
        <v>0</v>
      </c>
      <c r="AC536" s="39" t="str">
        <f t="shared" si="150"/>
        <v/>
      </c>
      <c r="AD536" s="39" t="str">
        <f t="shared" si="151"/>
        <v/>
      </c>
      <c r="AE536" s="39" t="str">
        <f t="shared" si="152"/>
        <v/>
      </c>
      <c r="AF536" s="106" t="str">
        <f t="shared" si="153"/>
        <v/>
      </c>
      <c r="AG536" s="39">
        <f t="shared" si="154"/>
        <v>0</v>
      </c>
      <c r="AH536" s="39" t="str">
        <f t="shared" si="155"/>
        <v/>
      </c>
      <c r="AI536" s="39">
        <f>IF(AND($E536="timed",$N536&gt;=Settings!$C$9),1,0)</f>
        <v>0</v>
      </c>
      <c r="AJ536" s="39" t="str">
        <f>IF(OR($S536="",Settings!$C$16=""),"",IF($S536&lt;=Settings!$C$16,1,2))</f>
        <v/>
      </c>
      <c r="AK536" s="39" t="str">
        <f>IF($C536="","",IFERROR(IF(INDEX(Settings!$C$20:$C$59,MATCH($C536,Settings!$B$20:$B$59,0))="",Settings!$C$10,INDEX(Settings!$C$20:$C$59,MATCH($C536,Settings!$B$20:$B$59,0))),Settings!$C$10))</f>
        <v/>
      </c>
      <c r="AL536" s="108">
        <f t="shared" si="156"/>
        <v>0</v>
      </c>
      <c r="AM536" s="39" t="str">
        <f t="shared" si="157"/>
        <v/>
      </c>
      <c r="AN536" s="39" t="str">
        <f t="shared" si="158"/>
        <v/>
      </c>
      <c r="AO536" s="39" t="str">
        <f t="shared" si="159"/>
        <v/>
      </c>
      <c r="AP536" s="39">
        <f t="shared" si="160"/>
        <v>0</v>
      </c>
      <c r="AQ536" s="39">
        <f t="shared" si="161"/>
        <v>0</v>
      </c>
    </row>
    <row r="537" spans="14:43" x14ac:dyDescent="0.25">
      <c r="N537" s="105">
        <f t="shared" si="144"/>
        <v>0</v>
      </c>
      <c r="O537" s="106" t="str">
        <f>IF($F537="","",IF(ISNUMBER($F537),$F537+Settings!$C$7/24,IFERROR(DATEVALUE(LEFT($F537,10))+TIMEVALUE(MID($F537,12,8))+Settings!$C$7/24,"")))</f>
        <v/>
      </c>
      <c r="P537" s="106" t="str">
        <f>IF($G537="","",IF(ISNUMBER($G537),$G537+Settings!$C$7/24,IFERROR(DATEVALUE(LEFT($G537,10))+TIMEVALUE(MID($G537,12,8))+Settings!$C$7/24,"")))</f>
        <v/>
      </c>
      <c r="Q537" s="39" t="str">
        <f t="shared" si="145"/>
        <v/>
      </c>
      <c r="R537" s="39" t="str">
        <f t="shared" si="146"/>
        <v/>
      </c>
      <c r="S537" s="107" t="str">
        <f t="shared" si="147"/>
        <v/>
      </c>
      <c r="T537" s="39" t="str">
        <f>IF($C537="","",IF(COUNTIF($C$2:$C537,$C537)=1,1,0))</f>
        <v/>
      </c>
      <c r="U537" s="39" t="str">
        <f>IF($T537=1,COUNTIF($T$2:$T537,1),"")</f>
        <v/>
      </c>
      <c r="V537" s="39" t="str">
        <f>IF($B537="","",IF(COUNTIF($B$2:$B537,$B537)=1,1,0))</f>
        <v/>
      </c>
      <c r="W537" s="39" t="str">
        <f>IF($V537=1,COUNTIF($V$2:$V537,1),"")</f>
        <v/>
      </c>
      <c r="X537" s="39" t="str">
        <f>IF($A537="","",IF(COUNTIF($A$2:$A537,$A537)=1,1,0))</f>
        <v/>
      </c>
      <c r="Y537" s="39" t="str">
        <f>IF($X537=1,COUNTIF($X$2:$X537,1),"")</f>
        <v/>
      </c>
      <c r="Z537" s="39">
        <f>IF(AND($E537="timed",$N537&gt;Settings!$C$8),1,0)</f>
        <v>0</v>
      </c>
      <c r="AA537" s="39">
        <f t="shared" si="148"/>
        <v>0</v>
      </c>
      <c r="AB537" s="39">
        <f t="shared" si="149"/>
        <v>0</v>
      </c>
      <c r="AC537" s="39" t="str">
        <f t="shared" si="150"/>
        <v/>
      </c>
      <c r="AD537" s="39" t="str">
        <f t="shared" si="151"/>
        <v/>
      </c>
      <c r="AE537" s="39" t="str">
        <f t="shared" si="152"/>
        <v/>
      </c>
      <c r="AF537" s="106" t="str">
        <f t="shared" si="153"/>
        <v/>
      </c>
      <c r="AG537" s="39">
        <f t="shared" si="154"/>
        <v>0</v>
      </c>
      <c r="AH537" s="39" t="str">
        <f t="shared" si="155"/>
        <v/>
      </c>
      <c r="AI537" s="39">
        <f>IF(AND($E537="timed",$N537&gt;=Settings!$C$9),1,0)</f>
        <v>0</v>
      </c>
      <c r="AJ537" s="39" t="str">
        <f>IF(OR($S537="",Settings!$C$16=""),"",IF($S537&lt;=Settings!$C$16,1,2))</f>
        <v/>
      </c>
      <c r="AK537" s="39" t="str">
        <f>IF($C537="","",IFERROR(IF(INDEX(Settings!$C$20:$C$59,MATCH($C537,Settings!$B$20:$B$59,0))="",Settings!$C$10,INDEX(Settings!$C$20:$C$59,MATCH($C537,Settings!$B$20:$B$59,0))),Settings!$C$10))</f>
        <v/>
      </c>
      <c r="AL537" s="108">
        <f t="shared" si="156"/>
        <v>0</v>
      </c>
      <c r="AM537" s="39" t="str">
        <f t="shared" si="157"/>
        <v/>
      </c>
      <c r="AN537" s="39" t="str">
        <f t="shared" si="158"/>
        <v/>
      </c>
      <c r="AO537" s="39" t="str">
        <f t="shared" si="159"/>
        <v/>
      </c>
      <c r="AP537" s="39">
        <f t="shared" si="160"/>
        <v>0</v>
      </c>
      <c r="AQ537" s="39">
        <f t="shared" si="161"/>
        <v>0</v>
      </c>
    </row>
    <row r="538" spans="14:43" x14ac:dyDescent="0.25">
      <c r="N538" s="105">
        <f t="shared" si="144"/>
        <v>0</v>
      </c>
      <c r="O538" s="106" t="str">
        <f>IF($F538="","",IF(ISNUMBER($F538),$F538+Settings!$C$7/24,IFERROR(DATEVALUE(LEFT($F538,10))+TIMEVALUE(MID($F538,12,8))+Settings!$C$7/24,"")))</f>
        <v/>
      </c>
      <c r="P538" s="106" t="str">
        <f>IF($G538="","",IF(ISNUMBER($G538),$G538+Settings!$C$7/24,IFERROR(DATEVALUE(LEFT($G538,10))+TIMEVALUE(MID($G538,12,8))+Settings!$C$7/24,"")))</f>
        <v/>
      </c>
      <c r="Q538" s="39" t="str">
        <f t="shared" si="145"/>
        <v/>
      </c>
      <c r="R538" s="39" t="str">
        <f t="shared" si="146"/>
        <v/>
      </c>
      <c r="S538" s="107" t="str">
        <f t="shared" si="147"/>
        <v/>
      </c>
      <c r="T538" s="39" t="str">
        <f>IF($C538="","",IF(COUNTIF($C$2:$C538,$C538)=1,1,0))</f>
        <v/>
      </c>
      <c r="U538" s="39" t="str">
        <f>IF($T538=1,COUNTIF($T$2:$T538,1),"")</f>
        <v/>
      </c>
      <c r="V538" s="39" t="str">
        <f>IF($B538="","",IF(COUNTIF($B$2:$B538,$B538)=1,1,0))</f>
        <v/>
      </c>
      <c r="W538" s="39" t="str">
        <f>IF($V538=1,COUNTIF($V$2:$V538,1),"")</f>
        <v/>
      </c>
      <c r="X538" s="39" t="str">
        <f>IF($A538="","",IF(COUNTIF($A$2:$A538,$A538)=1,1,0))</f>
        <v/>
      </c>
      <c r="Y538" s="39" t="str">
        <f>IF($X538=1,COUNTIF($X$2:$X538,1),"")</f>
        <v/>
      </c>
      <c r="Z538" s="39">
        <f>IF(AND($E538="timed",$N538&gt;Settings!$C$8),1,0)</f>
        <v>0</v>
      </c>
      <c r="AA538" s="39">
        <f t="shared" si="148"/>
        <v>0</v>
      </c>
      <c r="AB538" s="39">
        <f t="shared" si="149"/>
        <v>0</v>
      </c>
      <c r="AC538" s="39" t="str">
        <f t="shared" si="150"/>
        <v/>
      </c>
      <c r="AD538" s="39" t="str">
        <f t="shared" si="151"/>
        <v/>
      </c>
      <c r="AE538" s="39" t="str">
        <f t="shared" si="152"/>
        <v/>
      </c>
      <c r="AF538" s="106" t="str">
        <f t="shared" si="153"/>
        <v/>
      </c>
      <c r="AG538" s="39">
        <f t="shared" si="154"/>
        <v>0</v>
      </c>
      <c r="AH538" s="39" t="str">
        <f t="shared" si="155"/>
        <v/>
      </c>
      <c r="AI538" s="39">
        <f>IF(AND($E538="timed",$N538&gt;=Settings!$C$9),1,0)</f>
        <v>0</v>
      </c>
      <c r="AJ538" s="39" t="str">
        <f>IF(OR($S538="",Settings!$C$16=""),"",IF($S538&lt;=Settings!$C$16,1,2))</f>
        <v/>
      </c>
      <c r="AK538" s="39" t="str">
        <f>IF($C538="","",IFERROR(IF(INDEX(Settings!$C$20:$C$59,MATCH($C538,Settings!$B$20:$B$59,0))="",Settings!$C$10,INDEX(Settings!$C$20:$C$59,MATCH($C538,Settings!$B$20:$B$59,0))),Settings!$C$10))</f>
        <v/>
      </c>
      <c r="AL538" s="108">
        <f t="shared" si="156"/>
        <v>0</v>
      </c>
      <c r="AM538" s="39" t="str">
        <f t="shared" si="157"/>
        <v/>
      </c>
      <c r="AN538" s="39" t="str">
        <f t="shared" si="158"/>
        <v/>
      </c>
      <c r="AO538" s="39" t="str">
        <f t="shared" si="159"/>
        <v/>
      </c>
      <c r="AP538" s="39">
        <f t="shared" si="160"/>
        <v>0</v>
      </c>
      <c r="AQ538" s="39">
        <f t="shared" si="161"/>
        <v>0</v>
      </c>
    </row>
    <row r="539" spans="14:43" x14ac:dyDescent="0.25">
      <c r="N539" s="105">
        <f t="shared" si="144"/>
        <v>0</v>
      </c>
      <c r="O539" s="106" t="str">
        <f>IF($F539="","",IF(ISNUMBER($F539),$F539+Settings!$C$7/24,IFERROR(DATEVALUE(LEFT($F539,10))+TIMEVALUE(MID($F539,12,8))+Settings!$C$7/24,"")))</f>
        <v/>
      </c>
      <c r="P539" s="106" t="str">
        <f>IF($G539="","",IF(ISNUMBER($G539),$G539+Settings!$C$7/24,IFERROR(DATEVALUE(LEFT($G539,10))+TIMEVALUE(MID($G539,12,8))+Settings!$C$7/24,"")))</f>
        <v/>
      </c>
      <c r="Q539" s="39" t="str">
        <f t="shared" si="145"/>
        <v/>
      </c>
      <c r="R539" s="39" t="str">
        <f t="shared" si="146"/>
        <v/>
      </c>
      <c r="S539" s="107" t="str">
        <f t="shared" si="147"/>
        <v/>
      </c>
      <c r="T539" s="39" t="str">
        <f>IF($C539="","",IF(COUNTIF($C$2:$C539,$C539)=1,1,0))</f>
        <v/>
      </c>
      <c r="U539" s="39" t="str">
        <f>IF($T539=1,COUNTIF($T$2:$T539,1),"")</f>
        <v/>
      </c>
      <c r="V539" s="39" t="str">
        <f>IF($B539="","",IF(COUNTIF($B$2:$B539,$B539)=1,1,0))</f>
        <v/>
      </c>
      <c r="W539" s="39" t="str">
        <f>IF($V539=1,COUNTIF($V$2:$V539,1),"")</f>
        <v/>
      </c>
      <c r="X539" s="39" t="str">
        <f>IF($A539="","",IF(COUNTIF($A$2:$A539,$A539)=1,1,0))</f>
        <v/>
      </c>
      <c r="Y539" s="39" t="str">
        <f>IF($X539=1,COUNTIF($X$2:$X539,1),"")</f>
        <v/>
      </c>
      <c r="Z539" s="39">
        <f>IF(AND($E539="timed",$N539&gt;Settings!$C$8),1,0)</f>
        <v>0</v>
      </c>
      <c r="AA539" s="39">
        <f t="shared" si="148"/>
        <v>0</v>
      </c>
      <c r="AB539" s="39">
        <f t="shared" si="149"/>
        <v>0</v>
      </c>
      <c r="AC539" s="39" t="str">
        <f t="shared" si="150"/>
        <v/>
      </c>
      <c r="AD539" s="39" t="str">
        <f t="shared" si="151"/>
        <v/>
      </c>
      <c r="AE539" s="39" t="str">
        <f t="shared" si="152"/>
        <v/>
      </c>
      <c r="AF539" s="106" t="str">
        <f t="shared" si="153"/>
        <v/>
      </c>
      <c r="AG539" s="39">
        <f t="shared" si="154"/>
        <v>0</v>
      </c>
      <c r="AH539" s="39" t="str">
        <f t="shared" si="155"/>
        <v/>
      </c>
      <c r="AI539" s="39">
        <f>IF(AND($E539="timed",$N539&gt;=Settings!$C$9),1,0)</f>
        <v>0</v>
      </c>
      <c r="AJ539" s="39" t="str">
        <f>IF(OR($S539="",Settings!$C$16=""),"",IF($S539&lt;=Settings!$C$16,1,2))</f>
        <v/>
      </c>
      <c r="AK539" s="39" t="str">
        <f>IF($C539="","",IFERROR(IF(INDEX(Settings!$C$20:$C$59,MATCH($C539,Settings!$B$20:$B$59,0))="",Settings!$C$10,INDEX(Settings!$C$20:$C$59,MATCH($C539,Settings!$B$20:$B$59,0))),Settings!$C$10))</f>
        <v/>
      </c>
      <c r="AL539" s="108">
        <f t="shared" si="156"/>
        <v>0</v>
      </c>
      <c r="AM539" s="39" t="str">
        <f t="shared" si="157"/>
        <v/>
      </c>
      <c r="AN539" s="39" t="str">
        <f t="shared" si="158"/>
        <v/>
      </c>
      <c r="AO539" s="39" t="str">
        <f t="shared" si="159"/>
        <v/>
      </c>
      <c r="AP539" s="39">
        <f t="shared" si="160"/>
        <v>0</v>
      </c>
      <c r="AQ539" s="39">
        <f t="shared" si="161"/>
        <v>0</v>
      </c>
    </row>
    <row r="540" spans="14:43" x14ac:dyDescent="0.25">
      <c r="N540" s="105">
        <f t="shared" si="144"/>
        <v>0</v>
      </c>
      <c r="O540" s="106" t="str">
        <f>IF($F540="","",IF(ISNUMBER($F540),$F540+Settings!$C$7/24,IFERROR(DATEVALUE(LEFT($F540,10))+TIMEVALUE(MID($F540,12,8))+Settings!$C$7/24,"")))</f>
        <v/>
      </c>
      <c r="P540" s="106" t="str">
        <f>IF($G540="","",IF(ISNUMBER($G540),$G540+Settings!$C$7/24,IFERROR(DATEVALUE(LEFT($G540,10))+TIMEVALUE(MID($G540,12,8))+Settings!$C$7/24,"")))</f>
        <v/>
      </c>
      <c r="Q540" s="39" t="str">
        <f t="shared" si="145"/>
        <v/>
      </c>
      <c r="R540" s="39" t="str">
        <f t="shared" si="146"/>
        <v/>
      </c>
      <c r="S540" s="107" t="str">
        <f t="shared" si="147"/>
        <v/>
      </c>
      <c r="T540" s="39" t="str">
        <f>IF($C540="","",IF(COUNTIF($C$2:$C540,$C540)=1,1,0))</f>
        <v/>
      </c>
      <c r="U540" s="39" t="str">
        <f>IF($T540=1,COUNTIF($T$2:$T540,1),"")</f>
        <v/>
      </c>
      <c r="V540" s="39" t="str">
        <f>IF($B540="","",IF(COUNTIF($B$2:$B540,$B540)=1,1,0))</f>
        <v/>
      </c>
      <c r="W540" s="39" t="str">
        <f>IF($V540=1,COUNTIF($V$2:$V540,1),"")</f>
        <v/>
      </c>
      <c r="X540" s="39" t="str">
        <f>IF($A540="","",IF(COUNTIF($A$2:$A540,$A540)=1,1,0))</f>
        <v/>
      </c>
      <c r="Y540" s="39" t="str">
        <f>IF($X540=1,COUNTIF($X$2:$X540,1),"")</f>
        <v/>
      </c>
      <c r="Z540" s="39">
        <f>IF(AND($E540="timed",$N540&gt;Settings!$C$8),1,0)</f>
        <v>0</v>
      </c>
      <c r="AA540" s="39">
        <f t="shared" si="148"/>
        <v>0</v>
      </c>
      <c r="AB540" s="39">
        <f t="shared" si="149"/>
        <v>0</v>
      </c>
      <c r="AC540" s="39" t="str">
        <f t="shared" si="150"/>
        <v/>
      </c>
      <c r="AD540" s="39" t="str">
        <f t="shared" si="151"/>
        <v/>
      </c>
      <c r="AE540" s="39" t="str">
        <f t="shared" si="152"/>
        <v/>
      </c>
      <c r="AF540" s="106" t="str">
        <f t="shared" si="153"/>
        <v/>
      </c>
      <c r="AG540" s="39">
        <f t="shared" si="154"/>
        <v>0</v>
      </c>
      <c r="AH540" s="39" t="str">
        <f t="shared" si="155"/>
        <v/>
      </c>
      <c r="AI540" s="39">
        <f>IF(AND($E540="timed",$N540&gt;=Settings!$C$9),1,0)</f>
        <v>0</v>
      </c>
      <c r="AJ540" s="39" t="str">
        <f>IF(OR($S540="",Settings!$C$16=""),"",IF($S540&lt;=Settings!$C$16,1,2))</f>
        <v/>
      </c>
      <c r="AK540" s="39" t="str">
        <f>IF($C540="","",IFERROR(IF(INDEX(Settings!$C$20:$C$59,MATCH($C540,Settings!$B$20:$B$59,0))="",Settings!$C$10,INDEX(Settings!$C$20:$C$59,MATCH($C540,Settings!$B$20:$B$59,0))),Settings!$C$10))</f>
        <v/>
      </c>
      <c r="AL540" s="108">
        <f t="shared" si="156"/>
        <v>0</v>
      </c>
      <c r="AM540" s="39" t="str">
        <f t="shared" si="157"/>
        <v/>
      </c>
      <c r="AN540" s="39" t="str">
        <f t="shared" si="158"/>
        <v/>
      </c>
      <c r="AO540" s="39" t="str">
        <f t="shared" si="159"/>
        <v/>
      </c>
      <c r="AP540" s="39">
        <f t="shared" si="160"/>
        <v>0</v>
      </c>
      <c r="AQ540" s="39">
        <f t="shared" si="161"/>
        <v>0</v>
      </c>
    </row>
    <row r="541" spans="14:43" x14ac:dyDescent="0.25">
      <c r="N541" s="105">
        <f t="shared" si="144"/>
        <v>0</v>
      </c>
      <c r="O541" s="106" t="str">
        <f>IF($F541="","",IF(ISNUMBER($F541),$F541+Settings!$C$7/24,IFERROR(DATEVALUE(LEFT($F541,10))+TIMEVALUE(MID($F541,12,8))+Settings!$C$7/24,"")))</f>
        <v/>
      </c>
      <c r="P541" s="106" t="str">
        <f>IF($G541="","",IF(ISNUMBER($G541),$G541+Settings!$C$7/24,IFERROR(DATEVALUE(LEFT($G541,10))+TIMEVALUE(MID($G541,12,8))+Settings!$C$7/24,"")))</f>
        <v/>
      </c>
      <c r="Q541" s="39" t="str">
        <f t="shared" si="145"/>
        <v/>
      </c>
      <c r="R541" s="39" t="str">
        <f t="shared" si="146"/>
        <v/>
      </c>
      <c r="S541" s="107" t="str">
        <f t="shared" si="147"/>
        <v/>
      </c>
      <c r="T541" s="39" t="str">
        <f>IF($C541="","",IF(COUNTIF($C$2:$C541,$C541)=1,1,0))</f>
        <v/>
      </c>
      <c r="U541" s="39" t="str">
        <f>IF($T541=1,COUNTIF($T$2:$T541,1),"")</f>
        <v/>
      </c>
      <c r="V541" s="39" t="str">
        <f>IF($B541="","",IF(COUNTIF($B$2:$B541,$B541)=1,1,0))</f>
        <v/>
      </c>
      <c r="W541" s="39" t="str">
        <f>IF($V541=1,COUNTIF($V$2:$V541,1),"")</f>
        <v/>
      </c>
      <c r="X541" s="39" t="str">
        <f>IF($A541="","",IF(COUNTIF($A$2:$A541,$A541)=1,1,0))</f>
        <v/>
      </c>
      <c r="Y541" s="39" t="str">
        <f>IF($X541=1,COUNTIF($X$2:$X541,1),"")</f>
        <v/>
      </c>
      <c r="Z541" s="39">
        <f>IF(AND($E541="timed",$N541&gt;Settings!$C$8),1,0)</f>
        <v>0</v>
      </c>
      <c r="AA541" s="39">
        <f t="shared" si="148"/>
        <v>0</v>
      </c>
      <c r="AB541" s="39">
        <f t="shared" si="149"/>
        <v>0</v>
      </c>
      <c r="AC541" s="39" t="str">
        <f t="shared" si="150"/>
        <v/>
      </c>
      <c r="AD541" s="39" t="str">
        <f t="shared" si="151"/>
        <v/>
      </c>
      <c r="AE541" s="39" t="str">
        <f t="shared" si="152"/>
        <v/>
      </c>
      <c r="AF541" s="106" t="str">
        <f t="shared" si="153"/>
        <v/>
      </c>
      <c r="AG541" s="39">
        <f t="shared" si="154"/>
        <v>0</v>
      </c>
      <c r="AH541" s="39" t="str">
        <f t="shared" si="155"/>
        <v/>
      </c>
      <c r="AI541" s="39">
        <f>IF(AND($E541="timed",$N541&gt;=Settings!$C$9),1,0)</f>
        <v>0</v>
      </c>
      <c r="AJ541" s="39" t="str">
        <f>IF(OR($S541="",Settings!$C$16=""),"",IF($S541&lt;=Settings!$C$16,1,2))</f>
        <v/>
      </c>
      <c r="AK541" s="39" t="str">
        <f>IF($C541="","",IFERROR(IF(INDEX(Settings!$C$20:$C$59,MATCH($C541,Settings!$B$20:$B$59,0))="",Settings!$C$10,INDEX(Settings!$C$20:$C$59,MATCH($C541,Settings!$B$20:$B$59,0))),Settings!$C$10))</f>
        <v/>
      </c>
      <c r="AL541" s="108">
        <f t="shared" si="156"/>
        <v>0</v>
      </c>
      <c r="AM541" s="39" t="str">
        <f t="shared" si="157"/>
        <v/>
      </c>
      <c r="AN541" s="39" t="str">
        <f t="shared" si="158"/>
        <v/>
      </c>
      <c r="AO541" s="39" t="str">
        <f t="shared" si="159"/>
        <v/>
      </c>
      <c r="AP541" s="39">
        <f t="shared" si="160"/>
        <v>0</v>
      </c>
      <c r="AQ541" s="39">
        <f t="shared" si="161"/>
        <v>0</v>
      </c>
    </row>
    <row r="542" spans="14:43" x14ac:dyDescent="0.25">
      <c r="N542" s="105">
        <f t="shared" si="144"/>
        <v>0</v>
      </c>
      <c r="O542" s="106" t="str">
        <f>IF($F542="","",IF(ISNUMBER($F542),$F542+Settings!$C$7/24,IFERROR(DATEVALUE(LEFT($F542,10))+TIMEVALUE(MID($F542,12,8))+Settings!$C$7/24,"")))</f>
        <v/>
      </c>
      <c r="P542" s="106" t="str">
        <f>IF($G542="","",IF(ISNUMBER($G542),$G542+Settings!$C$7/24,IFERROR(DATEVALUE(LEFT($G542,10))+TIMEVALUE(MID($G542,12,8))+Settings!$C$7/24,"")))</f>
        <v/>
      </c>
      <c r="Q542" s="39" t="str">
        <f t="shared" si="145"/>
        <v/>
      </c>
      <c r="R542" s="39" t="str">
        <f t="shared" si="146"/>
        <v/>
      </c>
      <c r="S542" s="107" t="str">
        <f t="shared" si="147"/>
        <v/>
      </c>
      <c r="T542" s="39" t="str">
        <f>IF($C542="","",IF(COUNTIF($C$2:$C542,$C542)=1,1,0))</f>
        <v/>
      </c>
      <c r="U542" s="39" t="str">
        <f>IF($T542=1,COUNTIF($T$2:$T542,1),"")</f>
        <v/>
      </c>
      <c r="V542" s="39" t="str">
        <f>IF($B542="","",IF(COUNTIF($B$2:$B542,$B542)=1,1,0))</f>
        <v/>
      </c>
      <c r="W542" s="39" t="str">
        <f>IF($V542=1,COUNTIF($V$2:$V542,1),"")</f>
        <v/>
      </c>
      <c r="X542" s="39" t="str">
        <f>IF($A542="","",IF(COUNTIF($A$2:$A542,$A542)=1,1,0))</f>
        <v/>
      </c>
      <c r="Y542" s="39" t="str">
        <f>IF($X542=1,COUNTIF($X$2:$X542,1),"")</f>
        <v/>
      </c>
      <c r="Z542" s="39">
        <f>IF(AND($E542="timed",$N542&gt;Settings!$C$8),1,0)</f>
        <v>0</v>
      </c>
      <c r="AA542" s="39">
        <f t="shared" si="148"/>
        <v>0</v>
      </c>
      <c r="AB542" s="39">
        <f t="shared" si="149"/>
        <v>0</v>
      </c>
      <c r="AC542" s="39" t="str">
        <f t="shared" si="150"/>
        <v/>
      </c>
      <c r="AD542" s="39" t="str">
        <f t="shared" si="151"/>
        <v/>
      </c>
      <c r="AE542" s="39" t="str">
        <f t="shared" si="152"/>
        <v/>
      </c>
      <c r="AF542" s="106" t="str">
        <f t="shared" si="153"/>
        <v/>
      </c>
      <c r="AG542" s="39">
        <f t="shared" si="154"/>
        <v>0</v>
      </c>
      <c r="AH542" s="39" t="str">
        <f t="shared" si="155"/>
        <v/>
      </c>
      <c r="AI542" s="39">
        <f>IF(AND($E542="timed",$N542&gt;=Settings!$C$9),1,0)</f>
        <v>0</v>
      </c>
      <c r="AJ542" s="39" t="str">
        <f>IF(OR($S542="",Settings!$C$16=""),"",IF($S542&lt;=Settings!$C$16,1,2))</f>
        <v/>
      </c>
      <c r="AK542" s="39" t="str">
        <f>IF($C542="","",IFERROR(IF(INDEX(Settings!$C$20:$C$59,MATCH($C542,Settings!$B$20:$B$59,0))="",Settings!$C$10,INDEX(Settings!$C$20:$C$59,MATCH($C542,Settings!$B$20:$B$59,0))),Settings!$C$10))</f>
        <v/>
      </c>
      <c r="AL542" s="108">
        <f t="shared" si="156"/>
        <v>0</v>
      </c>
      <c r="AM542" s="39" t="str">
        <f t="shared" si="157"/>
        <v/>
      </c>
      <c r="AN542" s="39" t="str">
        <f t="shared" si="158"/>
        <v/>
      </c>
      <c r="AO542" s="39" t="str">
        <f t="shared" si="159"/>
        <v/>
      </c>
      <c r="AP542" s="39">
        <f t="shared" si="160"/>
        <v>0</v>
      </c>
      <c r="AQ542" s="39">
        <f t="shared" si="161"/>
        <v>0</v>
      </c>
    </row>
    <row r="543" spans="14:43" x14ac:dyDescent="0.25">
      <c r="N543" s="105">
        <f t="shared" si="144"/>
        <v>0</v>
      </c>
      <c r="O543" s="106" t="str">
        <f>IF($F543="","",IF(ISNUMBER($F543),$F543+Settings!$C$7/24,IFERROR(DATEVALUE(LEFT($F543,10))+TIMEVALUE(MID($F543,12,8))+Settings!$C$7/24,"")))</f>
        <v/>
      </c>
      <c r="P543" s="106" t="str">
        <f>IF($G543="","",IF(ISNUMBER($G543),$G543+Settings!$C$7/24,IFERROR(DATEVALUE(LEFT($G543,10))+TIMEVALUE(MID($G543,12,8))+Settings!$C$7/24,"")))</f>
        <v/>
      </c>
      <c r="Q543" s="39" t="str">
        <f t="shared" si="145"/>
        <v/>
      </c>
      <c r="R543" s="39" t="str">
        <f t="shared" si="146"/>
        <v/>
      </c>
      <c r="S543" s="107" t="str">
        <f t="shared" si="147"/>
        <v/>
      </c>
      <c r="T543" s="39" t="str">
        <f>IF($C543="","",IF(COUNTIF($C$2:$C543,$C543)=1,1,0))</f>
        <v/>
      </c>
      <c r="U543" s="39" t="str">
        <f>IF($T543=1,COUNTIF($T$2:$T543,1),"")</f>
        <v/>
      </c>
      <c r="V543" s="39" t="str">
        <f>IF($B543="","",IF(COUNTIF($B$2:$B543,$B543)=1,1,0))</f>
        <v/>
      </c>
      <c r="W543" s="39" t="str">
        <f>IF($V543=1,COUNTIF($V$2:$V543,1),"")</f>
        <v/>
      </c>
      <c r="X543" s="39" t="str">
        <f>IF($A543="","",IF(COUNTIF($A$2:$A543,$A543)=1,1,0))</f>
        <v/>
      </c>
      <c r="Y543" s="39" t="str">
        <f>IF($X543=1,COUNTIF($X$2:$X543,1),"")</f>
        <v/>
      </c>
      <c r="Z543" s="39">
        <f>IF(AND($E543="timed",$N543&gt;Settings!$C$8),1,0)</f>
        <v>0</v>
      </c>
      <c r="AA543" s="39">
        <f t="shared" si="148"/>
        <v>0</v>
      </c>
      <c r="AB543" s="39">
        <f t="shared" si="149"/>
        <v>0</v>
      </c>
      <c r="AC543" s="39" t="str">
        <f t="shared" si="150"/>
        <v/>
      </c>
      <c r="AD543" s="39" t="str">
        <f t="shared" si="151"/>
        <v/>
      </c>
      <c r="AE543" s="39" t="str">
        <f t="shared" si="152"/>
        <v/>
      </c>
      <c r="AF543" s="106" t="str">
        <f t="shared" si="153"/>
        <v/>
      </c>
      <c r="AG543" s="39">
        <f t="shared" si="154"/>
        <v>0</v>
      </c>
      <c r="AH543" s="39" t="str">
        <f t="shared" si="155"/>
        <v/>
      </c>
      <c r="AI543" s="39">
        <f>IF(AND($E543="timed",$N543&gt;=Settings!$C$9),1,0)</f>
        <v>0</v>
      </c>
      <c r="AJ543" s="39" t="str">
        <f>IF(OR($S543="",Settings!$C$16=""),"",IF($S543&lt;=Settings!$C$16,1,2))</f>
        <v/>
      </c>
      <c r="AK543" s="39" t="str">
        <f>IF($C543="","",IFERROR(IF(INDEX(Settings!$C$20:$C$59,MATCH($C543,Settings!$B$20:$B$59,0))="",Settings!$C$10,INDEX(Settings!$C$20:$C$59,MATCH($C543,Settings!$B$20:$B$59,0))),Settings!$C$10))</f>
        <v/>
      </c>
      <c r="AL543" s="108">
        <f t="shared" si="156"/>
        <v>0</v>
      </c>
      <c r="AM543" s="39" t="str">
        <f t="shared" si="157"/>
        <v/>
      </c>
      <c r="AN543" s="39" t="str">
        <f t="shared" si="158"/>
        <v/>
      </c>
      <c r="AO543" s="39" t="str">
        <f t="shared" si="159"/>
        <v/>
      </c>
      <c r="AP543" s="39">
        <f t="shared" si="160"/>
        <v>0</v>
      </c>
      <c r="AQ543" s="39">
        <f t="shared" si="161"/>
        <v>0</v>
      </c>
    </row>
    <row r="544" spans="14:43" x14ac:dyDescent="0.25">
      <c r="N544" s="105">
        <f t="shared" si="144"/>
        <v>0</v>
      </c>
      <c r="O544" s="106" t="str">
        <f>IF($F544="","",IF(ISNUMBER($F544),$F544+Settings!$C$7/24,IFERROR(DATEVALUE(LEFT($F544,10))+TIMEVALUE(MID($F544,12,8))+Settings!$C$7/24,"")))</f>
        <v/>
      </c>
      <c r="P544" s="106" t="str">
        <f>IF($G544="","",IF(ISNUMBER($G544),$G544+Settings!$C$7/24,IFERROR(DATEVALUE(LEFT($G544,10))+TIMEVALUE(MID($G544,12,8))+Settings!$C$7/24,"")))</f>
        <v/>
      </c>
      <c r="Q544" s="39" t="str">
        <f t="shared" si="145"/>
        <v/>
      </c>
      <c r="R544" s="39" t="str">
        <f t="shared" si="146"/>
        <v/>
      </c>
      <c r="S544" s="107" t="str">
        <f t="shared" si="147"/>
        <v/>
      </c>
      <c r="T544" s="39" t="str">
        <f>IF($C544="","",IF(COUNTIF($C$2:$C544,$C544)=1,1,0))</f>
        <v/>
      </c>
      <c r="U544" s="39" t="str">
        <f>IF($T544=1,COUNTIF($T$2:$T544,1),"")</f>
        <v/>
      </c>
      <c r="V544" s="39" t="str">
        <f>IF($B544="","",IF(COUNTIF($B$2:$B544,$B544)=1,1,0))</f>
        <v/>
      </c>
      <c r="W544" s="39" t="str">
        <f>IF($V544=1,COUNTIF($V$2:$V544,1),"")</f>
        <v/>
      </c>
      <c r="X544" s="39" t="str">
        <f>IF($A544="","",IF(COUNTIF($A$2:$A544,$A544)=1,1,0))</f>
        <v/>
      </c>
      <c r="Y544" s="39" t="str">
        <f>IF($X544=1,COUNTIF($X$2:$X544,1),"")</f>
        <v/>
      </c>
      <c r="Z544" s="39">
        <f>IF(AND($E544="timed",$N544&gt;Settings!$C$8),1,0)</f>
        <v>0</v>
      </c>
      <c r="AA544" s="39">
        <f t="shared" si="148"/>
        <v>0</v>
      </c>
      <c r="AB544" s="39">
        <f t="shared" si="149"/>
        <v>0</v>
      </c>
      <c r="AC544" s="39" t="str">
        <f t="shared" si="150"/>
        <v/>
      </c>
      <c r="AD544" s="39" t="str">
        <f t="shared" si="151"/>
        <v/>
      </c>
      <c r="AE544" s="39" t="str">
        <f t="shared" si="152"/>
        <v/>
      </c>
      <c r="AF544" s="106" t="str">
        <f t="shared" si="153"/>
        <v/>
      </c>
      <c r="AG544" s="39">
        <f t="shared" si="154"/>
        <v>0</v>
      </c>
      <c r="AH544" s="39" t="str">
        <f t="shared" si="155"/>
        <v/>
      </c>
      <c r="AI544" s="39">
        <f>IF(AND($E544="timed",$N544&gt;=Settings!$C$9),1,0)</f>
        <v>0</v>
      </c>
      <c r="AJ544" s="39" t="str">
        <f>IF(OR($S544="",Settings!$C$16=""),"",IF($S544&lt;=Settings!$C$16,1,2))</f>
        <v/>
      </c>
      <c r="AK544" s="39" t="str">
        <f>IF($C544="","",IFERROR(IF(INDEX(Settings!$C$20:$C$59,MATCH($C544,Settings!$B$20:$B$59,0))="",Settings!$C$10,INDEX(Settings!$C$20:$C$59,MATCH($C544,Settings!$B$20:$B$59,0))),Settings!$C$10))</f>
        <v/>
      </c>
      <c r="AL544" s="108">
        <f t="shared" si="156"/>
        <v>0</v>
      </c>
      <c r="AM544" s="39" t="str">
        <f t="shared" si="157"/>
        <v/>
      </c>
      <c r="AN544" s="39" t="str">
        <f t="shared" si="158"/>
        <v/>
      </c>
      <c r="AO544" s="39" t="str">
        <f t="shared" si="159"/>
        <v/>
      </c>
      <c r="AP544" s="39">
        <f t="shared" si="160"/>
        <v>0</v>
      </c>
      <c r="AQ544" s="39">
        <f t="shared" si="161"/>
        <v>0</v>
      </c>
    </row>
    <row r="545" spans="14:43" x14ac:dyDescent="0.25">
      <c r="N545" s="105">
        <f t="shared" si="144"/>
        <v>0</v>
      </c>
      <c r="O545" s="106" t="str">
        <f>IF($F545="","",IF(ISNUMBER($F545),$F545+Settings!$C$7/24,IFERROR(DATEVALUE(LEFT($F545,10))+TIMEVALUE(MID($F545,12,8))+Settings!$C$7/24,"")))</f>
        <v/>
      </c>
      <c r="P545" s="106" t="str">
        <f>IF($G545="","",IF(ISNUMBER($G545),$G545+Settings!$C$7/24,IFERROR(DATEVALUE(LEFT($G545,10))+TIMEVALUE(MID($G545,12,8))+Settings!$C$7/24,"")))</f>
        <v/>
      </c>
      <c r="Q545" s="39" t="str">
        <f t="shared" si="145"/>
        <v/>
      </c>
      <c r="R545" s="39" t="str">
        <f t="shared" si="146"/>
        <v/>
      </c>
      <c r="S545" s="107" t="str">
        <f t="shared" si="147"/>
        <v/>
      </c>
      <c r="T545" s="39" t="str">
        <f>IF($C545="","",IF(COUNTIF($C$2:$C545,$C545)=1,1,0))</f>
        <v/>
      </c>
      <c r="U545" s="39" t="str">
        <f>IF($T545=1,COUNTIF($T$2:$T545,1),"")</f>
        <v/>
      </c>
      <c r="V545" s="39" t="str">
        <f>IF($B545="","",IF(COUNTIF($B$2:$B545,$B545)=1,1,0))</f>
        <v/>
      </c>
      <c r="W545" s="39" t="str">
        <f>IF($V545=1,COUNTIF($V$2:$V545,1),"")</f>
        <v/>
      </c>
      <c r="X545" s="39" t="str">
        <f>IF($A545="","",IF(COUNTIF($A$2:$A545,$A545)=1,1,0))</f>
        <v/>
      </c>
      <c r="Y545" s="39" t="str">
        <f>IF($X545=1,COUNTIF($X$2:$X545,1),"")</f>
        <v/>
      </c>
      <c r="Z545" s="39">
        <f>IF(AND($E545="timed",$N545&gt;Settings!$C$8),1,0)</f>
        <v>0</v>
      </c>
      <c r="AA545" s="39">
        <f t="shared" si="148"/>
        <v>0</v>
      </c>
      <c r="AB545" s="39">
        <f t="shared" si="149"/>
        <v>0</v>
      </c>
      <c r="AC545" s="39" t="str">
        <f t="shared" si="150"/>
        <v/>
      </c>
      <c r="AD545" s="39" t="str">
        <f t="shared" si="151"/>
        <v/>
      </c>
      <c r="AE545" s="39" t="str">
        <f t="shared" si="152"/>
        <v/>
      </c>
      <c r="AF545" s="106" t="str">
        <f t="shared" si="153"/>
        <v/>
      </c>
      <c r="AG545" s="39">
        <f t="shared" si="154"/>
        <v>0</v>
      </c>
      <c r="AH545" s="39" t="str">
        <f t="shared" si="155"/>
        <v/>
      </c>
      <c r="AI545" s="39">
        <f>IF(AND($E545="timed",$N545&gt;=Settings!$C$9),1,0)</f>
        <v>0</v>
      </c>
      <c r="AJ545" s="39" t="str">
        <f>IF(OR($S545="",Settings!$C$16=""),"",IF($S545&lt;=Settings!$C$16,1,2))</f>
        <v/>
      </c>
      <c r="AK545" s="39" t="str">
        <f>IF($C545="","",IFERROR(IF(INDEX(Settings!$C$20:$C$59,MATCH($C545,Settings!$B$20:$B$59,0))="",Settings!$C$10,INDEX(Settings!$C$20:$C$59,MATCH($C545,Settings!$B$20:$B$59,0))),Settings!$C$10))</f>
        <v/>
      </c>
      <c r="AL545" s="108">
        <f t="shared" si="156"/>
        <v>0</v>
      </c>
      <c r="AM545" s="39" t="str">
        <f t="shared" si="157"/>
        <v/>
      </c>
      <c r="AN545" s="39" t="str">
        <f t="shared" si="158"/>
        <v/>
      </c>
      <c r="AO545" s="39" t="str">
        <f t="shared" si="159"/>
        <v/>
      </c>
      <c r="AP545" s="39">
        <f t="shared" si="160"/>
        <v>0</v>
      </c>
      <c r="AQ545" s="39">
        <f t="shared" si="161"/>
        <v>0</v>
      </c>
    </row>
    <row r="546" spans="14:43" x14ac:dyDescent="0.25">
      <c r="N546" s="105">
        <f t="shared" si="144"/>
        <v>0</v>
      </c>
      <c r="O546" s="106" t="str">
        <f>IF($F546="","",IF(ISNUMBER($F546),$F546+Settings!$C$7/24,IFERROR(DATEVALUE(LEFT($F546,10))+TIMEVALUE(MID($F546,12,8))+Settings!$C$7/24,"")))</f>
        <v/>
      </c>
      <c r="P546" s="106" t="str">
        <f>IF($G546="","",IF(ISNUMBER($G546),$G546+Settings!$C$7/24,IFERROR(DATEVALUE(LEFT($G546,10))+TIMEVALUE(MID($G546,12,8))+Settings!$C$7/24,"")))</f>
        <v/>
      </c>
      <c r="Q546" s="39" t="str">
        <f t="shared" si="145"/>
        <v/>
      </c>
      <c r="R546" s="39" t="str">
        <f t="shared" si="146"/>
        <v/>
      </c>
      <c r="S546" s="107" t="str">
        <f t="shared" si="147"/>
        <v/>
      </c>
      <c r="T546" s="39" t="str">
        <f>IF($C546="","",IF(COUNTIF($C$2:$C546,$C546)=1,1,0))</f>
        <v/>
      </c>
      <c r="U546" s="39" t="str">
        <f>IF($T546=1,COUNTIF($T$2:$T546,1),"")</f>
        <v/>
      </c>
      <c r="V546" s="39" t="str">
        <f>IF($B546="","",IF(COUNTIF($B$2:$B546,$B546)=1,1,0))</f>
        <v/>
      </c>
      <c r="W546" s="39" t="str">
        <f>IF($V546=1,COUNTIF($V$2:$V546,1),"")</f>
        <v/>
      </c>
      <c r="X546" s="39" t="str">
        <f>IF($A546="","",IF(COUNTIF($A$2:$A546,$A546)=1,1,0))</f>
        <v/>
      </c>
      <c r="Y546" s="39" t="str">
        <f>IF($X546=1,COUNTIF($X$2:$X546,1),"")</f>
        <v/>
      </c>
      <c r="Z546" s="39">
        <f>IF(AND($E546="timed",$N546&gt;Settings!$C$8),1,0)</f>
        <v>0</v>
      </c>
      <c r="AA546" s="39">
        <f t="shared" si="148"/>
        <v>0</v>
      </c>
      <c r="AB546" s="39">
        <f t="shared" si="149"/>
        <v>0</v>
      </c>
      <c r="AC546" s="39" t="str">
        <f t="shared" si="150"/>
        <v/>
      </c>
      <c r="AD546" s="39" t="str">
        <f t="shared" si="151"/>
        <v/>
      </c>
      <c r="AE546" s="39" t="str">
        <f t="shared" si="152"/>
        <v/>
      </c>
      <c r="AF546" s="106" t="str">
        <f t="shared" si="153"/>
        <v/>
      </c>
      <c r="AG546" s="39">
        <f t="shared" si="154"/>
        <v>0</v>
      </c>
      <c r="AH546" s="39" t="str">
        <f t="shared" si="155"/>
        <v/>
      </c>
      <c r="AI546" s="39">
        <f>IF(AND($E546="timed",$N546&gt;=Settings!$C$9),1,0)</f>
        <v>0</v>
      </c>
      <c r="AJ546" s="39" t="str">
        <f>IF(OR($S546="",Settings!$C$16=""),"",IF($S546&lt;=Settings!$C$16,1,2))</f>
        <v/>
      </c>
      <c r="AK546" s="39" t="str">
        <f>IF($C546="","",IFERROR(IF(INDEX(Settings!$C$20:$C$59,MATCH($C546,Settings!$B$20:$B$59,0))="",Settings!$C$10,INDEX(Settings!$C$20:$C$59,MATCH($C546,Settings!$B$20:$B$59,0))),Settings!$C$10))</f>
        <v/>
      </c>
      <c r="AL546" s="108">
        <f t="shared" si="156"/>
        <v>0</v>
      </c>
      <c r="AM546" s="39" t="str">
        <f t="shared" si="157"/>
        <v/>
      </c>
      <c r="AN546" s="39" t="str">
        <f t="shared" si="158"/>
        <v/>
      </c>
      <c r="AO546" s="39" t="str">
        <f t="shared" si="159"/>
        <v/>
      </c>
      <c r="AP546" s="39">
        <f t="shared" si="160"/>
        <v>0</v>
      </c>
      <c r="AQ546" s="39">
        <f t="shared" si="161"/>
        <v>0</v>
      </c>
    </row>
    <row r="547" spans="14:43" x14ac:dyDescent="0.25">
      <c r="N547" s="105">
        <f t="shared" si="144"/>
        <v>0</v>
      </c>
      <c r="O547" s="106" t="str">
        <f>IF($F547="","",IF(ISNUMBER($F547),$F547+Settings!$C$7/24,IFERROR(DATEVALUE(LEFT($F547,10))+TIMEVALUE(MID($F547,12,8))+Settings!$C$7/24,"")))</f>
        <v/>
      </c>
      <c r="P547" s="106" t="str">
        <f>IF($G547="","",IF(ISNUMBER($G547),$G547+Settings!$C$7/24,IFERROR(DATEVALUE(LEFT($G547,10))+TIMEVALUE(MID($G547,12,8))+Settings!$C$7/24,"")))</f>
        <v/>
      </c>
      <c r="Q547" s="39" t="str">
        <f t="shared" si="145"/>
        <v/>
      </c>
      <c r="R547" s="39" t="str">
        <f t="shared" si="146"/>
        <v/>
      </c>
      <c r="S547" s="107" t="str">
        <f t="shared" si="147"/>
        <v/>
      </c>
      <c r="T547" s="39" t="str">
        <f>IF($C547="","",IF(COUNTIF($C$2:$C547,$C547)=1,1,0))</f>
        <v/>
      </c>
      <c r="U547" s="39" t="str">
        <f>IF($T547=1,COUNTIF($T$2:$T547,1),"")</f>
        <v/>
      </c>
      <c r="V547" s="39" t="str">
        <f>IF($B547="","",IF(COUNTIF($B$2:$B547,$B547)=1,1,0))</f>
        <v/>
      </c>
      <c r="W547" s="39" t="str">
        <f>IF($V547=1,COUNTIF($V$2:$V547,1),"")</f>
        <v/>
      </c>
      <c r="X547" s="39" t="str">
        <f>IF($A547="","",IF(COUNTIF($A$2:$A547,$A547)=1,1,0))</f>
        <v/>
      </c>
      <c r="Y547" s="39" t="str">
        <f>IF($X547=1,COUNTIF($X$2:$X547,1),"")</f>
        <v/>
      </c>
      <c r="Z547" s="39">
        <f>IF(AND($E547="timed",$N547&gt;Settings!$C$8),1,0)</f>
        <v>0</v>
      </c>
      <c r="AA547" s="39">
        <f t="shared" si="148"/>
        <v>0</v>
      </c>
      <c r="AB547" s="39">
        <f t="shared" si="149"/>
        <v>0</v>
      </c>
      <c r="AC547" s="39" t="str">
        <f t="shared" si="150"/>
        <v/>
      </c>
      <c r="AD547" s="39" t="str">
        <f t="shared" si="151"/>
        <v/>
      </c>
      <c r="AE547" s="39" t="str">
        <f t="shared" si="152"/>
        <v/>
      </c>
      <c r="AF547" s="106" t="str">
        <f t="shared" si="153"/>
        <v/>
      </c>
      <c r="AG547" s="39">
        <f t="shared" si="154"/>
        <v>0</v>
      </c>
      <c r="AH547" s="39" t="str">
        <f t="shared" si="155"/>
        <v/>
      </c>
      <c r="AI547" s="39">
        <f>IF(AND($E547="timed",$N547&gt;=Settings!$C$9),1,0)</f>
        <v>0</v>
      </c>
      <c r="AJ547" s="39" t="str">
        <f>IF(OR($S547="",Settings!$C$16=""),"",IF($S547&lt;=Settings!$C$16,1,2))</f>
        <v/>
      </c>
      <c r="AK547" s="39" t="str">
        <f>IF($C547="","",IFERROR(IF(INDEX(Settings!$C$20:$C$59,MATCH($C547,Settings!$B$20:$B$59,0))="",Settings!$C$10,INDEX(Settings!$C$20:$C$59,MATCH($C547,Settings!$B$20:$B$59,0))),Settings!$C$10))</f>
        <v/>
      </c>
      <c r="AL547" s="108">
        <f t="shared" si="156"/>
        <v>0</v>
      </c>
      <c r="AM547" s="39" t="str">
        <f t="shared" si="157"/>
        <v/>
      </c>
      <c r="AN547" s="39" t="str">
        <f t="shared" si="158"/>
        <v/>
      </c>
      <c r="AO547" s="39" t="str">
        <f t="shared" si="159"/>
        <v/>
      </c>
      <c r="AP547" s="39">
        <f t="shared" si="160"/>
        <v>0</v>
      </c>
      <c r="AQ547" s="39">
        <f t="shared" si="161"/>
        <v>0</v>
      </c>
    </row>
    <row r="548" spans="14:43" x14ac:dyDescent="0.25">
      <c r="N548" s="105">
        <f t="shared" si="144"/>
        <v>0</v>
      </c>
      <c r="O548" s="106" t="str">
        <f>IF($F548="","",IF(ISNUMBER($F548),$F548+Settings!$C$7/24,IFERROR(DATEVALUE(LEFT($F548,10))+TIMEVALUE(MID($F548,12,8))+Settings!$C$7/24,"")))</f>
        <v/>
      </c>
      <c r="P548" s="106" t="str">
        <f>IF($G548="","",IF(ISNUMBER($G548),$G548+Settings!$C$7/24,IFERROR(DATEVALUE(LEFT($G548,10))+TIMEVALUE(MID($G548,12,8))+Settings!$C$7/24,"")))</f>
        <v/>
      </c>
      <c r="Q548" s="39" t="str">
        <f t="shared" si="145"/>
        <v/>
      </c>
      <c r="R548" s="39" t="str">
        <f t="shared" si="146"/>
        <v/>
      </c>
      <c r="S548" s="107" t="str">
        <f t="shared" si="147"/>
        <v/>
      </c>
      <c r="T548" s="39" t="str">
        <f>IF($C548="","",IF(COUNTIF($C$2:$C548,$C548)=1,1,0))</f>
        <v/>
      </c>
      <c r="U548" s="39" t="str">
        <f>IF($T548=1,COUNTIF($T$2:$T548,1),"")</f>
        <v/>
      </c>
      <c r="V548" s="39" t="str">
        <f>IF($B548="","",IF(COUNTIF($B$2:$B548,$B548)=1,1,0))</f>
        <v/>
      </c>
      <c r="W548" s="39" t="str">
        <f>IF($V548=1,COUNTIF($V$2:$V548,1),"")</f>
        <v/>
      </c>
      <c r="X548" s="39" t="str">
        <f>IF($A548="","",IF(COUNTIF($A$2:$A548,$A548)=1,1,0))</f>
        <v/>
      </c>
      <c r="Y548" s="39" t="str">
        <f>IF($X548=1,COUNTIF($X$2:$X548,1),"")</f>
        <v/>
      </c>
      <c r="Z548" s="39">
        <f>IF(AND($E548="timed",$N548&gt;Settings!$C$8),1,0)</f>
        <v>0</v>
      </c>
      <c r="AA548" s="39">
        <f t="shared" si="148"/>
        <v>0</v>
      </c>
      <c r="AB548" s="39">
        <f t="shared" si="149"/>
        <v>0</v>
      </c>
      <c r="AC548" s="39" t="str">
        <f t="shared" si="150"/>
        <v/>
      </c>
      <c r="AD548" s="39" t="str">
        <f t="shared" si="151"/>
        <v/>
      </c>
      <c r="AE548" s="39" t="str">
        <f t="shared" si="152"/>
        <v/>
      </c>
      <c r="AF548" s="106" t="str">
        <f t="shared" si="153"/>
        <v/>
      </c>
      <c r="AG548" s="39">
        <f t="shared" si="154"/>
        <v>0</v>
      </c>
      <c r="AH548" s="39" t="str">
        <f t="shared" si="155"/>
        <v/>
      </c>
      <c r="AI548" s="39">
        <f>IF(AND($E548="timed",$N548&gt;=Settings!$C$9),1,0)</f>
        <v>0</v>
      </c>
      <c r="AJ548" s="39" t="str">
        <f>IF(OR($S548="",Settings!$C$16=""),"",IF($S548&lt;=Settings!$C$16,1,2))</f>
        <v/>
      </c>
      <c r="AK548" s="39" t="str">
        <f>IF($C548="","",IFERROR(IF(INDEX(Settings!$C$20:$C$59,MATCH($C548,Settings!$B$20:$B$59,0))="",Settings!$C$10,INDEX(Settings!$C$20:$C$59,MATCH($C548,Settings!$B$20:$B$59,0))),Settings!$C$10))</f>
        <v/>
      </c>
      <c r="AL548" s="108">
        <f t="shared" si="156"/>
        <v>0</v>
      </c>
      <c r="AM548" s="39" t="str">
        <f t="shared" si="157"/>
        <v/>
      </c>
      <c r="AN548" s="39" t="str">
        <f t="shared" si="158"/>
        <v/>
      </c>
      <c r="AO548" s="39" t="str">
        <f t="shared" si="159"/>
        <v/>
      </c>
      <c r="AP548" s="39">
        <f t="shared" si="160"/>
        <v>0</v>
      </c>
      <c r="AQ548" s="39">
        <f t="shared" si="161"/>
        <v>0</v>
      </c>
    </row>
    <row r="549" spans="14:43" x14ac:dyDescent="0.25">
      <c r="N549" s="105">
        <f t="shared" si="144"/>
        <v>0</v>
      </c>
      <c r="O549" s="106" t="str">
        <f>IF($F549="","",IF(ISNUMBER($F549),$F549+Settings!$C$7/24,IFERROR(DATEVALUE(LEFT($F549,10))+TIMEVALUE(MID($F549,12,8))+Settings!$C$7/24,"")))</f>
        <v/>
      </c>
      <c r="P549" s="106" t="str">
        <f>IF($G549="","",IF(ISNUMBER($G549),$G549+Settings!$C$7/24,IFERROR(DATEVALUE(LEFT($G549,10))+TIMEVALUE(MID($G549,12,8))+Settings!$C$7/24,"")))</f>
        <v/>
      </c>
      <c r="Q549" s="39" t="str">
        <f t="shared" si="145"/>
        <v/>
      </c>
      <c r="R549" s="39" t="str">
        <f t="shared" si="146"/>
        <v/>
      </c>
      <c r="S549" s="107" t="str">
        <f t="shared" si="147"/>
        <v/>
      </c>
      <c r="T549" s="39" t="str">
        <f>IF($C549="","",IF(COUNTIF($C$2:$C549,$C549)=1,1,0))</f>
        <v/>
      </c>
      <c r="U549" s="39" t="str">
        <f>IF($T549=1,COUNTIF($T$2:$T549,1),"")</f>
        <v/>
      </c>
      <c r="V549" s="39" t="str">
        <f>IF($B549="","",IF(COUNTIF($B$2:$B549,$B549)=1,1,0))</f>
        <v/>
      </c>
      <c r="W549" s="39" t="str">
        <f>IF($V549=1,COUNTIF($V$2:$V549,1),"")</f>
        <v/>
      </c>
      <c r="X549" s="39" t="str">
        <f>IF($A549="","",IF(COUNTIF($A$2:$A549,$A549)=1,1,0))</f>
        <v/>
      </c>
      <c r="Y549" s="39" t="str">
        <f>IF($X549=1,COUNTIF($X$2:$X549,1),"")</f>
        <v/>
      </c>
      <c r="Z549" s="39">
        <f>IF(AND($E549="timed",$N549&gt;Settings!$C$8),1,0)</f>
        <v>0</v>
      </c>
      <c r="AA549" s="39">
        <f t="shared" si="148"/>
        <v>0</v>
      </c>
      <c r="AB549" s="39">
        <f t="shared" si="149"/>
        <v>0</v>
      </c>
      <c r="AC549" s="39" t="str">
        <f t="shared" si="150"/>
        <v/>
      </c>
      <c r="AD549" s="39" t="str">
        <f t="shared" si="151"/>
        <v/>
      </c>
      <c r="AE549" s="39" t="str">
        <f t="shared" si="152"/>
        <v/>
      </c>
      <c r="AF549" s="106" t="str">
        <f t="shared" si="153"/>
        <v/>
      </c>
      <c r="AG549" s="39">
        <f t="shared" si="154"/>
        <v>0</v>
      </c>
      <c r="AH549" s="39" t="str">
        <f t="shared" si="155"/>
        <v/>
      </c>
      <c r="AI549" s="39">
        <f>IF(AND($E549="timed",$N549&gt;=Settings!$C$9),1,0)</f>
        <v>0</v>
      </c>
      <c r="AJ549" s="39" t="str">
        <f>IF(OR($S549="",Settings!$C$16=""),"",IF($S549&lt;=Settings!$C$16,1,2))</f>
        <v/>
      </c>
      <c r="AK549" s="39" t="str">
        <f>IF($C549="","",IFERROR(IF(INDEX(Settings!$C$20:$C$59,MATCH($C549,Settings!$B$20:$B$59,0))="",Settings!$C$10,INDEX(Settings!$C$20:$C$59,MATCH($C549,Settings!$B$20:$B$59,0))),Settings!$C$10))</f>
        <v/>
      </c>
      <c r="AL549" s="108">
        <f t="shared" si="156"/>
        <v>0</v>
      </c>
      <c r="AM549" s="39" t="str">
        <f t="shared" si="157"/>
        <v/>
      </c>
      <c r="AN549" s="39" t="str">
        <f t="shared" si="158"/>
        <v/>
      </c>
      <c r="AO549" s="39" t="str">
        <f t="shared" si="159"/>
        <v/>
      </c>
      <c r="AP549" s="39">
        <f t="shared" si="160"/>
        <v>0</v>
      </c>
      <c r="AQ549" s="39">
        <f t="shared" si="161"/>
        <v>0</v>
      </c>
    </row>
    <row r="550" spans="14:43" x14ac:dyDescent="0.25">
      <c r="N550" s="105">
        <f t="shared" si="144"/>
        <v>0</v>
      </c>
      <c r="O550" s="106" t="str">
        <f>IF($F550="","",IF(ISNUMBER($F550),$F550+Settings!$C$7/24,IFERROR(DATEVALUE(LEFT($F550,10))+TIMEVALUE(MID($F550,12,8))+Settings!$C$7/24,"")))</f>
        <v/>
      </c>
      <c r="P550" s="106" t="str">
        <f>IF($G550="","",IF(ISNUMBER($G550),$G550+Settings!$C$7/24,IFERROR(DATEVALUE(LEFT($G550,10))+TIMEVALUE(MID($G550,12,8))+Settings!$C$7/24,"")))</f>
        <v/>
      </c>
      <c r="Q550" s="39" t="str">
        <f t="shared" si="145"/>
        <v/>
      </c>
      <c r="R550" s="39" t="str">
        <f t="shared" si="146"/>
        <v/>
      </c>
      <c r="S550" s="107" t="str">
        <f t="shared" si="147"/>
        <v/>
      </c>
      <c r="T550" s="39" t="str">
        <f>IF($C550="","",IF(COUNTIF($C$2:$C550,$C550)=1,1,0))</f>
        <v/>
      </c>
      <c r="U550" s="39" t="str">
        <f>IF($T550=1,COUNTIF($T$2:$T550,1),"")</f>
        <v/>
      </c>
      <c r="V550" s="39" t="str">
        <f>IF($B550="","",IF(COUNTIF($B$2:$B550,$B550)=1,1,0))</f>
        <v/>
      </c>
      <c r="W550" s="39" t="str">
        <f>IF($V550=1,COUNTIF($V$2:$V550,1),"")</f>
        <v/>
      </c>
      <c r="X550" s="39" t="str">
        <f>IF($A550="","",IF(COUNTIF($A$2:$A550,$A550)=1,1,0))</f>
        <v/>
      </c>
      <c r="Y550" s="39" t="str">
        <f>IF($X550=1,COUNTIF($X$2:$X550,1),"")</f>
        <v/>
      </c>
      <c r="Z550" s="39">
        <f>IF(AND($E550="timed",$N550&gt;Settings!$C$8),1,0)</f>
        <v>0</v>
      </c>
      <c r="AA550" s="39">
        <f t="shared" si="148"/>
        <v>0</v>
      </c>
      <c r="AB550" s="39">
        <f t="shared" si="149"/>
        <v>0</v>
      </c>
      <c r="AC550" s="39" t="str">
        <f t="shared" si="150"/>
        <v/>
      </c>
      <c r="AD550" s="39" t="str">
        <f t="shared" si="151"/>
        <v/>
      </c>
      <c r="AE550" s="39" t="str">
        <f t="shared" si="152"/>
        <v/>
      </c>
      <c r="AF550" s="106" t="str">
        <f t="shared" si="153"/>
        <v/>
      </c>
      <c r="AG550" s="39">
        <f t="shared" si="154"/>
        <v>0</v>
      </c>
      <c r="AH550" s="39" t="str">
        <f t="shared" si="155"/>
        <v/>
      </c>
      <c r="AI550" s="39">
        <f>IF(AND($E550="timed",$N550&gt;=Settings!$C$9),1,0)</f>
        <v>0</v>
      </c>
      <c r="AJ550" s="39" t="str">
        <f>IF(OR($S550="",Settings!$C$16=""),"",IF($S550&lt;=Settings!$C$16,1,2))</f>
        <v/>
      </c>
      <c r="AK550" s="39" t="str">
        <f>IF($C550="","",IFERROR(IF(INDEX(Settings!$C$20:$C$59,MATCH($C550,Settings!$B$20:$B$59,0))="",Settings!$C$10,INDEX(Settings!$C$20:$C$59,MATCH($C550,Settings!$B$20:$B$59,0))),Settings!$C$10))</f>
        <v/>
      </c>
      <c r="AL550" s="108">
        <f t="shared" si="156"/>
        <v>0</v>
      </c>
      <c r="AM550" s="39" t="str">
        <f t="shared" si="157"/>
        <v/>
      </c>
      <c r="AN550" s="39" t="str">
        <f t="shared" si="158"/>
        <v/>
      </c>
      <c r="AO550" s="39" t="str">
        <f t="shared" si="159"/>
        <v/>
      </c>
      <c r="AP550" s="39">
        <f t="shared" si="160"/>
        <v>0</v>
      </c>
      <c r="AQ550" s="39">
        <f t="shared" si="161"/>
        <v>0</v>
      </c>
    </row>
    <row r="551" spans="14:43" x14ac:dyDescent="0.25">
      <c r="N551" s="105">
        <f t="shared" si="144"/>
        <v>0</v>
      </c>
      <c r="O551" s="106" t="str">
        <f>IF($F551="","",IF(ISNUMBER($F551),$F551+Settings!$C$7/24,IFERROR(DATEVALUE(LEFT($F551,10))+TIMEVALUE(MID($F551,12,8))+Settings!$C$7/24,"")))</f>
        <v/>
      </c>
      <c r="P551" s="106" t="str">
        <f>IF($G551="","",IF(ISNUMBER($G551),$G551+Settings!$C$7/24,IFERROR(DATEVALUE(LEFT($G551,10))+TIMEVALUE(MID($G551,12,8))+Settings!$C$7/24,"")))</f>
        <v/>
      </c>
      <c r="Q551" s="39" t="str">
        <f t="shared" si="145"/>
        <v/>
      </c>
      <c r="R551" s="39" t="str">
        <f t="shared" si="146"/>
        <v/>
      </c>
      <c r="S551" s="107" t="str">
        <f t="shared" si="147"/>
        <v/>
      </c>
      <c r="T551" s="39" t="str">
        <f>IF($C551="","",IF(COUNTIF($C$2:$C551,$C551)=1,1,0))</f>
        <v/>
      </c>
      <c r="U551" s="39" t="str">
        <f>IF($T551=1,COUNTIF($T$2:$T551,1),"")</f>
        <v/>
      </c>
      <c r="V551" s="39" t="str">
        <f>IF($B551="","",IF(COUNTIF($B$2:$B551,$B551)=1,1,0))</f>
        <v/>
      </c>
      <c r="W551" s="39" t="str">
        <f>IF($V551=1,COUNTIF($V$2:$V551,1),"")</f>
        <v/>
      </c>
      <c r="X551" s="39" t="str">
        <f>IF($A551="","",IF(COUNTIF($A$2:$A551,$A551)=1,1,0))</f>
        <v/>
      </c>
      <c r="Y551" s="39" t="str">
        <f>IF($X551=1,COUNTIF($X$2:$X551,1),"")</f>
        <v/>
      </c>
      <c r="Z551" s="39">
        <f>IF(AND($E551="timed",$N551&gt;Settings!$C$8),1,0)</f>
        <v>0</v>
      </c>
      <c r="AA551" s="39">
        <f t="shared" si="148"/>
        <v>0</v>
      </c>
      <c r="AB551" s="39">
        <f t="shared" si="149"/>
        <v>0</v>
      </c>
      <c r="AC551" s="39" t="str">
        <f t="shared" si="150"/>
        <v/>
      </c>
      <c r="AD551" s="39" t="str">
        <f t="shared" si="151"/>
        <v/>
      </c>
      <c r="AE551" s="39" t="str">
        <f t="shared" si="152"/>
        <v/>
      </c>
      <c r="AF551" s="106" t="str">
        <f t="shared" si="153"/>
        <v/>
      </c>
      <c r="AG551" s="39">
        <f t="shared" si="154"/>
        <v>0</v>
      </c>
      <c r="AH551" s="39" t="str">
        <f t="shared" si="155"/>
        <v/>
      </c>
      <c r="AI551" s="39">
        <f>IF(AND($E551="timed",$N551&gt;=Settings!$C$9),1,0)</f>
        <v>0</v>
      </c>
      <c r="AJ551" s="39" t="str">
        <f>IF(OR($S551="",Settings!$C$16=""),"",IF($S551&lt;=Settings!$C$16,1,2))</f>
        <v/>
      </c>
      <c r="AK551" s="39" t="str">
        <f>IF($C551="","",IFERROR(IF(INDEX(Settings!$C$20:$C$59,MATCH($C551,Settings!$B$20:$B$59,0))="",Settings!$C$10,INDEX(Settings!$C$20:$C$59,MATCH($C551,Settings!$B$20:$B$59,0))),Settings!$C$10))</f>
        <v/>
      </c>
      <c r="AL551" s="108">
        <f t="shared" si="156"/>
        <v>0</v>
      </c>
      <c r="AM551" s="39" t="str">
        <f t="shared" si="157"/>
        <v/>
      </c>
      <c r="AN551" s="39" t="str">
        <f t="shared" si="158"/>
        <v/>
      </c>
      <c r="AO551" s="39" t="str">
        <f t="shared" si="159"/>
        <v/>
      </c>
      <c r="AP551" s="39">
        <f t="shared" si="160"/>
        <v>0</v>
      </c>
      <c r="AQ551" s="39">
        <f t="shared" si="161"/>
        <v>0</v>
      </c>
    </row>
    <row r="552" spans="14:43" x14ac:dyDescent="0.25">
      <c r="N552" s="105">
        <f t="shared" si="144"/>
        <v>0</v>
      </c>
      <c r="O552" s="106" t="str">
        <f>IF($F552="","",IF(ISNUMBER($F552),$F552+Settings!$C$7/24,IFERROR(DATEVALUE(LEFT($F552,10))+TIMEVALUE(MID($F552,12,8))+Settings!$C$7/24,"")))</f>
        <v/>
      </c>
      <c r="P552" s="106" t="str">
        <f>IF($G552="","",IF(ISNUMBER($G552),$G552+Settings!$C$7/24,IFERROR(DATEVALUE(LEFT($G552,10))+TIMEVALUE(MID($G552,12,8))+Settings!$C$7/24,"")))</f>
        <v/>
      </c>
      <c r="Q552" s="39" t="str">
        <f t="shared" si="145"/>
        <v/>
      </c>
      <c r="R552" s="39" t="str">
        <f t="shared" si="146"/>
        <v/>
      </c>
      <c r="S552" s="107" t="str">
        <f t="shared" si="147"/>
        <v/>
      </c>
      <c r="T552" s="39" t="str">
        <f>IF($C552="","",IF(COUNTIF($C$2:$C552,$C552)=1,1,0))</f>
        <v/>
      </c>
      <c r="U552" s="39" t="str">
        <f>IF($T552=1,COUNTIF($T$2:$T552,1),"")</f>
        <v/>
      </c>
      <c r="V552" s="39" t="str">
        <f>IF($B552="","",IF(COUNTIF($B$2:$B552,$B552)=1,1,0))</f>
        <v/>
      </c>
      <c r="W552" s="39" t="str">
        <f>IF($V552=1,COUNTIF($V$2:$V552,1),"")</f>
        <v/>
      </c>
      <c r="X552" s="39" t="str">
        <f>IF($A552="","",IF(COUNTIF($A$2:$A552,$A552)=1,1,0))</f>
        <v/>
      </c>
      <c r="Y552" s="39" t="str">
        <f>IF($X552=1,COUNTIF($X$2:$X552,1),"")</f>
        <v/>
      </c>
      <c r="Z552" s="39">
        <f>IF(AND($E552="timed",$N552&gt;Settings!$C$8),1,0)</f>
        <v>0</v>
      </c>
      <c r="AA552" s="39">
        <f t="shared" si="148"/>
        <v>0</v>
      </c>
      <c r="AB552" s="39">
        <f t="shared" si="149"/>
        <v>0</v>
      </c>
      <c r="AC552" s="39" t="str">
        <f t="shared" si="150"/>
        <v/>
      </c>
      <c r="AD552" s="39" t="str">
        <f t="shared" si="151"/>
        <v/>
      </c>
      <c r="AE552" s="39" t="str">
        <f t="shared" si="152"/>
        <v/>
      </c>
      <c r="AF552" s="106" t="str">
        <f t="shared" si="153"/>
        <v/>
      </c>
      <c r="AG552" s="39">
        <f t="shared" si="154"/>
        <v>0</v>
      </c>
      <c r="AH552" s="39" t="str">
        <f t="shared" si="155"/>
        <v/>
      </c>
      <c r="AI552" s="39">
        <f>IF(AND($E552="timed",$N552&gt;=Settings!$C$9),1,0)</f>
        <v>0</v>
      </c>
      <c r="AJ552" s="39" t="str">
        <f>IF(OR($S552="",Settings!$C$16=""),"",IF($S552&lt;=Settings!$C$16,1,2))</f>
        <v/>
      </c>
      <c r="AK552" s="39" t="str">
        <f>IF($C552="","",IFERROR(IF(INDEX(Settings!$C$20:$C$59,MATCH($C552,Settings!$B$20:$B$59,0))="",Settings!$C$10,INDEX(Settings!$C$20:$C$59,MATCH($C552,Settings!$B$20:$B$59,0))),Settings!$C$10))</f>
        <v/>
      </c>
      <c r="AL552" s="108">
        <f t="shared" si="156"/>
        <v>0</v>
      </c>
      <c r="AM552" s="39" t="str">
        <f t="shared" si="157"/>
        <v/>
      </c>
      <c r="AN552" s="39" t="str">
        <f t="shared" si="158"/>
        <v/>
      </c>
      <c r="AO552" s="39" t="str">
        <f t="shared" si="159"/>
        <v/>
      </c>
      <c r="AP552" s="39">
        <f t="shared" si="160"/>
        <v>0</v>
      </c>
      <c r="AQ552" s="39">
        <f t="shared" si="161"/>
        <v>0</v>
      </c>
    </row>
    <row r="553" spans="14:43" x14ac:dyDescent="0.25">
      <c r="N553" s="105">
        <f t="shared" si="144"/>
        <v>0</v>
      </c>
      <c r="O553" s="106" t="str">
        <f>IF($F553="","",IF(ISNUMBER($F553),$F553+Settings!$C$7/24,IFERROR(DATEVALUE(LEFT($F553,10))+TIMEVALUE(MID($F553,12,8))+Settings!$C$7/24,"")))</f>
        <v/>
      </c>
      <c r="P553" s="106" t="str">
        <f>IF($G553="","",IF(ISNUMBER($G553),$G553+Settings!$C$7/24,IFERROR(DATEVALUE(LEFT($G553,10))+TIMEVALUE(MID($G553,12,8))+Settings!$C$7/24,"")))</f>
        <v/>
      </c>
      <c r="Q553" s="39" t="str">
        <f t="shared" si="145"/>
        <v/>
      </c>
      <c r="R553" s="39" t="str">
        <f t="shared" si="146"/>
        <v/>
      </c>
      <c r="S553" s="107" t="str">
        <f t="shared" si="147"/>
        <v/>
      </c>
      <c r="T553" s="39" t="str">
        <f>IF($C553="","",IF(COUNTIF($C$2:$C553,$C553)=1,1,0))</f>
        <v/>
      </c>
      <c r="U553" s="39" t="str">
        <f>IF($T553=1,COUNTIF($T$2:$T553,1),"")</f>
        <v/>
      </c>
      <c r="V553" s="39" t="str">
        <f>IF($B553="","",IF(COUNTIF($B$2:$B553,$B553)=1,1,0))</f>
        <v/>
      </c>
      <c r="W553" s="39" t="str">
        <f>IF($V553=1,COUNTIF($V$2:$V553,1),"")</f>
        <v/>
      </c>
      <c r="X553" s="39" t="str">
        <f>IF($A553="","",IF(COUNTIF($A$2:$A553,$A553)=1,1,0))</f>
        <v/>
      </c>
      <c r="Y553" s="39" t="str">
        <f>IF($X553=1,COUNTIF($X$2:$X553,1),"")</f>
        <v/>
      </c>
      <c r="Z553" s="39">
        <f>IF(AND($E553="timed",$N553&gt;Settings!$C$8),1,0)</f>
        <v>0</v>
      </c>
      <c r="AA553" s="39">
        <f t="shared" si="148"/>
        <v>0</v>
      </c>
      <c r="AB553" s="39">
        <f t="shared" si="149"/>
        <v>0</v>
      </c>
      <c r="AC553" s="39" t="str">
        <f t="shared" si="150"/>
        <v/>
      </c>
      <c r="AD553" s="39" t="str">
        <f t="shared" si="151"/>
        <v/>
      </c>
      <c r="AE553" s="39" t="str">
        <f t="shared" si="152"/>
        <v/>
      </c>
      <c r="AF553" s="106" t="str">
        <f t="shared" si="153"/>
        <v/>
      </c>
      <c r="AG553" s="39">
        <f t="shared" si="154"/>
        <v>0</v>
      </c>
      <c r="AH553" s="39" t="str">
        <f t="shared" si="155"/>
        <v/>
      </c>
      <c r="AI553" s="39">
        <f>IF(AND($E553="timed",$N553&gt;=Settings!$C$9),1,0)</f>
        <v>0</v>
      </c>
      <c r="AJ553" s="39" t="str">
        <f>IF(OR($S553="",Settings!$C$16=""),"",IF($S553&lt;=Settings!$C$16,1,2))</f>
        <v/>
      </c>
      <c r="AK553" s="39" t="str">
        <f>IF($C553="","",IFERROR(IF(INDEX(Settings!$C$20:$C$59,MATCH($C553,Settings!$B$20:$B$59,0))="",Settings!$C$10,INDEX(Settings!$C$20:$C$59,MATCH($C553,Settings!$B$20:$B$59,0))),Settings!$C$10))</f>
        <v/>
      </c>
      <c r="AL553" s="108">
        <f t="shared" si="156"/>
        <v>0</v>
      </c>
      <c r="AM553" s="39" t="str">
        <f t="shared" si="157"/>
        <v/>
      </c>
      <c r="AN553" s="39" t="str">
        <f t="shared" si="158"/>
        <v/>
      </c>
      <c r="AO553" s="39" t="str">
        <f t="shared" si="159"/>
        <v/>
      </c>
      <c r="AP553" s="39">
        <f t="shared" si="160"/>
        <v>0</v>
      </c>
      <c r="AQ553" s="39">
        <f t="shared" si="161"/>
        <v>0</v>
      </c>
    </row>
    <row r="554" spans="14:43" x14ac:dyDescent="0.25">
      <c r="N554" s="105">
        <f t="shared" si="144"/>
        <v>0</v>
      </c>
      <c r="O554" s="106" t="str">
        <f>IF($F554="","",IF(ISNUMBER($F554),$F554+Settings!$C$7/24,IFERROR(DATEVALUE(LEFT($F554,10))+TIMEVALUE(MID($F554,12,8))+Settings!$C$7/24,"")))</f>
        <v/>
      </c>
      <c r="P554" s="106" t="str">
        <f>IF($G554="","",IF(ISNUMBER($G554),$G554+Settings!$C$7/24,IFERROR(DATEVALUE(LEFT($G554,10))+TIMEVALUE(MID($G554,12,8))+Settings!$C$7/24,"")))</f>
        <v/>
      </c>
      <c r="Q554" s="39" t="str">
        <f t="shared" si="145"/>
        <v/>
      </c>
      <c r="R554" s="39" t="str">
        <f t="shared" si="146"/>
        <v/>
      </c>
      <c r="S554" s="107" t="str">
        <f t="shared" si="147"/>
        <v/>
      </c>
      <c r="T554" s="39" t="str">
        <f>IF($C554="","",IF(COUNTIF($C$2:$C554,$C554)=1,1,0))</f>
        <v/>
      </c>
      <c r="U554" s="39" t="str">
        <f>IF($T554=1,COUNTIF($T$2:$T554,1),"")</f>
        <v/>
      </c>
      <c r="V554" s="39" t="str">
        <f>IF($B554="","",IF(COUNTIF($B$2:$B554,$B554)=1,1,0))</f>
        <v/>
      </c>
      <c r="W554" s="39" t="str">
        <f>IF($V554=1,COUNTIF($V$2:$V554,1),"")</f>
        <v/>
      </c>
      <c r="X554" s="39" t="str">
        <f>IF($A554="","",IF(COUNTIF($A$2:$A554,$A554)=1,1,0))</f>
        <v/>
      </c>
      <c r="Y554" s="39" t="str">
        <f>IF($X554=1,COUNTIF($X$2:$X554,1),"")</f>
        <v/>
      </c>
      <c r="Z554" s="39">
        <f>IF(AND($E554="timed",$N554&gt;Settings!$C$8),1,0)</f>
        <v>0</v>
      </c>
      <c r="AA554" s="39">
        <f t="shared" si="148"/>
        <v>0</v>
      </c>
      <c r="AB554" s="39">
        <f t="shared" si="149"/>
        <v>0</v>
      </c>
      <c r="AC554" s="39" t="str">
        <f t="shared" si="150"/>
        <v/>
      </c>
      <c r="AD554" s="39" t="str">
        <f t="shared" si="151"/>
        <v/>
      </c>
      <c r="AE554" s="39" t="str">
        <f t="shared" si="152"/>
        <v/>
      </c>
      <c r="AF554" s="106" t="str">
        <f t="shared" si="153"/>
        <v/>
      </c>
      <c r="AG554" s="39">
        <f t="shared" si="154"/>
        <v>0</v>
      </c>
      <c r="AH554" s="39" t="str">
        <f t="shared" si="155"/>
        <v/>
      </c>
      <c r="AI554" s="39">
        <f>IF(AND($E554="timed",$N554&gt;=Settings!$C$9),1,0)</f>
        <v>0</v>
      </c>
      <c r="AJ554" s="39" t="str">
        <f>IF(OR($S554="",Settings!$C$16=""),"",IF($S554&lt;=Settings!$C$16,1,2))</f>
        <v/>
      </c>
      <c r="AK554" s="39" t="str">
        <f>IF($C554="","",IFERROR(IF(INDEX(Settings!$C$20:$C$59,MATCH($C554,Settings!$B$20:$B$59,0))="",Settings!$C$10,INDEX(Settings!$C$20:$C$59,MATCH($C554,Settings!$B$20:$B$59,0))),Settings!$C$10))</f>
        <v/>
      </c>
      <c r="AL554" s="108">
        <f t="shared" si="156"/>
        <v>0</v>
      </c>
      <c r="AM554" s="39" t="str">
        <f t="shared" si="157"/>
        <v/>
      </c>
      <c r="AN554" s="39" t="str">
        <f t="shared" si="158"/>
        <v/>
      </c>
      <c r="AO554" s="39" t="str">
        <f t="shared" si="159"/>
        <v/>
      </c>
      <c r="AP554" s="39">
        <f t="shared" si="160"/>
        <v>0</v>
      </c>
      <c r="AQ554" s="39">
        <f t="shared" si="161"/>
        <v>0</v>
      </c>
    </row>
    <row r="555" spans="14:43" x14ac:dyDescent="0.25">
      <c r="N555" s="105">
        <f t="shared" si="144"/>
        <v>0</v>
      </c>
      <c r="O555" s="106" t="str">
        <f>IF($F555="","",IF(ISNUMBER($F555),$F555+Settings!$C$7/24,IFERROR(DATEVALUE(LEFT($F555,10))+TIMEVALUE(MID($F555,12,8))+Settings!$C$7/24,"")))</f>
        <v/>
      </c>
      <c r="P555" s="106" t="str">
        <f>IF($G555="","",IF(ISNUMBER($G555),$G555+Settings!$C$7/24,IFERROR(DATEVALUE(LEFT($G555,10))+TIMEVALUE(MID($G555,12,8))+Settings!$C$7/24,"")))</f>
        <v/>
      </c>
      <c r="Q555" s="39" t="str">
        <f t="shared" si="145"/>
        <v/>
      </c>
      <c r="R555" s="39" t="str">
        <f t="shared" si="146"/>
        <v/>
      </c>
      <c r="S555" s="107" t="str">
        <f t="shared" si="147"/>
        <v/>
      </c>
      <c r="T555" s="39" t="str">
        <f>IF($C555="","",IF(COUNTIF($C$2:$C555,$C555)=1,1,0))</f>
        <v/>
      </c>
      <c r="U555" s="39" t="str">
        <f>IF($T555=1,COUNTIF($T$2:$T555,1),"")</f>
        <v/>
      </c>
      <c r="V555" s="39" t="str">
        <f>IF($B555="","",IF(COUNTIF($B$2:$B555,$B555)=1,1,0))</f>
        <v/>
      </c>
      <c r="W555" s="39" t="str">
        <f>IF($V555=1,COUNTIF($V$2:$V555,1),"")</f>
        <v/>
      </c>
      <c r="X555" s="39" t="str">
        <f>IF($A555="","",IF(COUNTIF($A$2:$A555,$A555)=1,1,0))</f>
        <v/>
      </c>
      <c r="Y555" s="39" t="str">
        <f>IF($X555=1,COUNTIF($X$2:$X555,1),"")</f>
        <v/>
      </c>
      <c r="Z555" s="39">
        <f>IF(AND($E555="timed",$N555&gt;Settings!$C$8),1,0)</f>
        <v>0</v>
      </c>
      <c r="AA555" s="39">
        <f t="shared" si="148"/>
        <v>0</v>
      </c>
      <c r="AB555" s="39">
        <f t="shared" si="149"/>
        <v>0</v>
      </c>
      <c r="AC555" s="39" t="str">
        <f t="shared" si="150"/>
        <v/>
      </c>
      <c r="AD555" s="39" t="str">
        <f t="shared" si="151"/>
        <v/>
      </c>
      <c r="AE555" s="39" t="str">
        <f t="shared" si="152"/>
        <v/>
      </c>
      <c r="AF555" s="106" t="str">
        <f t="shared" si="153"/>
        <v/>
      </c>
      <c r="AG555" s="39">
        <f t="shared" si="154"/>
        <v>0</v>
      </c>
      <c r="AH555" s="39" t="str">
        <f t="shared" si="155"/>
        <v/>
      </c>
      <c r="AI555" s="39">
        <f>IF(AND($E555="timed",$N555&gt;=Settings!$C$9),1,0)</f>
        <v>0</v>
      </c>
      <c r="AJ555" s="39" t="str">
        <f>IF(OR($S555="",Settings!$C$16=""),"",IF($S555&lt;=Settings!$C$16,1,2))</f>
        <v/>
      </c>
      <c r="AK555" s="39" t="str">
        <f>IF($C555="","",IFERROR(IF(INDEX(Settings!$C$20:$C$59,MATCH($C555,Settings!$B$20:$B$59,0))="",Settings!$C$10,INDEX(Settings!$C$20:$C$59,MATCH($C555,Settings!$B$20:$B$59,0))),Settings!$C$10))</f>
        <v/>
      </c>
      <c r="AL555" s="108">
        <f t="shared" si="156"/>
        <v>0</v>
      </c>
      <c r="AM555" s="39" t="str">
        <f t="shared" si="157"/>
        <v/>
      </c>
      <c r="AN555" s="39" t="str">
        <f t="shared" si="158"/>
        <v/>
      </c>
      <c r="AO555" s="39" t="str">
        <f t="shared" si="159"/>
        <v/>
      </c>
      <c r="AP555" s="39">
        <f t="shared" si="160"/>
        <v>0</v>
      </c>
      <c r="AQ555" s="39">
        <f t="shared" si="161"/>
        <v>0</v>
      </c>
    </row>
    <row r="556" spans="14:43" x14ac:dyDescent="0.25">
      <c r="N556" s="105">
        <f t="shared" si="144"/>
        <v>0</v>
      </c>
      <c r="O556" s="106" t="str">
        <f>IF($F556="","",IF(ISNUMBER($F556),$F556+Settings!$C$7/24,IFERROR(DATEVALUE(LEFT($F556,10))+TIMEVALUE(MID($F556,12,8))+Settings!$C$7/24,"")))</f>
        <v/>
      </c>
      <c r="P556" s="106" t="str">
        <f>IF($G556="","",IF(ISNUMBER($G556),$G556+Settings!$C$7/24,IFERROR(DATEVALUE(LEFT($G556,10))+TIMEVALUE(MID($G556,12,8))+Settings!$C$7/24,"")))</f>
        <v/>
      </c>
      <c r="Q556" s="39" t="str">
        <f t="shared" si="145"/>
        <v/>
      </c>
      <c r="R556" s="39" t="str">
        <f t="shared" si="146"/>
        <v/>
      </c>
      <c r="S556" s="107" t="str">
        <f t="shared" si="147"/>
        <v/>
      </c>
      <c r="T556" s="39" t="str">
        <f>IF($C556="","",IF(COUNTIF($C$2:$C556,$C556)=1,1,0))</f>
        <v/>
      </c>
      <c r="U556" s="39" t="str">
        <f>IF($T556=1,COUNTIF($T$2:$T556,1),"")</f>
        <v/>
      </c>
      <c r="V556" s="39" t="str">
        <f>IF($B556="","",IF(COUNTIF($B$2:$B556,$B556)=1,1,0))</f>
        <v/>
      </c>
      <c r="W556" s="39" t="str">
        <f>IF($V556=1,COUNTIF($V$2:$V556,1),"")</f>
        <v/>
      </c>
      <c r="X556" s="39" t="str">
        <f>IF($A556="","",IF(COUNTIF($A$2:$A556,$A556)=1,1,0))</f>
        <v/>
      </c>
      <c r="Y556" s="39" t="str">
        <f>IF($X556=1,COUNTIF($X$2:$X556,1),"")</f>
        <v/>
      </c>
      <c r="Z556" s="39">
        <f>IF(AND($E556="timed",$N556&gt;Settings!$C$8),1,0)</f>
        <v>0</v>
      </c>
      <c r="AA556" s="39">
        <f t="shared" si="148"/>
        <v>0</v>
      </c>
      <c r="AB556" s="39">
        <f t="shared" si="149"/>
        <v>0</v>
      </c>
      <c r="AC556" s="39" t="str">
        <f t="shared" si="150"/>
        <v/>
      </c>
      <c r="AD556" s="39" t="str">
        <f t="shared" si="151"/>
        <v/>
      </c>
      <c r="AE556" s="39" t="str">
        <f t="shared" si="152"/>
        <v/>
      </c>
      <c r="AF556" s="106" t="str">
        <f t="shared" si="153"/>
        <v/>
      </c>
      <c r="AG556" s="39">
        <f t="shared" si="154"/>
        <v>0</v>
      </c>
      <c r="AH556" s="39" t="str">
        <f t="shared" si="155"/>
        <v/>
      </c>
      <c r="AI556" s="39">
        <f>IF(AND($E556="timed",$N556&gt;=Settings!$C$9),1,0)</f>
        <v>0</v>
      </c>
      <c r="AJ556" s="39" t="str">
        <f>IF(OR($S556="",Settings!$C$16=""),"",IF($S556&lt;=Settings!$C$16,1,2))</f>
        <v/>
      </c>
      <c r="AK556" s="39" t="str">
        <f>IF($C556="","",IFERROR(IF(INDEX(Settings!$C$20:$C$59,MATCH($C556,Settings!$B$20:$B$59,0))="",Settings!$C$10,INDEX(Settings!$C$20:$C$59,MATCH($C556,Settings!$B$20:$B$59,0))),Settings!$C$10))</f>
        <v/>
      </c>
      <c r="AL556" s="108">
        <f t="shared" si="156"/>
        <v>0</v>
      </c>
      <c r="AM556" s="39" t="str">
        <f t="shared" si="157"/>
        <v/>
      </c>
      <c r="AN556" s="39" t="str">
        <f t="shared" si="158"/>
        <v/>
      </c>
      <c r="AO556" s="39" t="str">
        <f t="shared" si="159"/>
        <v/>
      </c>
      <c r="AP556" s="39">
        <f t="shared" si="160"/>
        <v>0</v>
      </c>
      <c r="AQ556" s="39">
        <f t="shared" si="161"/>
        <v>0</v>
      </c>
    </row>
    <row r="557" spans="14:43" x14ac:dyDescent="0.25">
      <c r="N557" s="105">
        <f t="shared" si="144"/>
        <v>0</v>
      </c>
      <c r="O557" s="106" t="str">
        <f>IF($F557="","",IF(ISNUMBER($F557),$F557+Settings!$C$7/24,IFERROR(DATEVALUE(LEFT($F557,10))+TIMEVALUE(MID($F557,12,8))+Settings!$C$7/24,"")))</f>
        <v/>
      </c>
      <c r="P557" s="106" t="str">
        <f>IF($G557="","",IF(ISNUMBER($G557),$G557+Settings!$C$7/24,IFERROR(DATEVALUE(LEFT($G557,10))+TIMEVALUE(MID($G557,12,8))+Settings!$C$7/24,"")))</f>
        <v/>
      </c>
      <c r="Q557" s="39" t="str">
        <f t="shared" si="145"/>
        <v/>
      </c>
      <c r="R557" s="39" t="str">
        <f t="shared" si="146"/>
        <v/>
      </c>
      <c r="S557" s="107" t="str">
        <f t="shared" si="147"/>
        <v/>
      </c>
      <c r="T557" s="39" t="str">
        <f>IF($C557="","",IF(COUNTIF($C$2:$C557,$C557)=1,1,0))</f>
        <v/>
      </c>
      <c r="U557" s="39" t="str">
        <f>IF($T557=1,COUNTIF($T$2:$T557,1),"")</f>
        <v/>
      </c>
      <c r="V557" s="39" t="str">
        <f>IF($B557="","",IF(COUNTIF($B$2:$B557,$B557)=1,1,0))</f>
        <v/>
      </c>
      <c r="W557" s="39" t="str">
        <f>IF($V557=1,COUNTIF($V$2:$V557,1),"")</f>
        <v/>
      </c>
      <c r="X557" s="39" t="str">
        <f>IF($A557="","",IF(COUNTIF($A$2:$A557,$A557)=1,1,0))</f>
        <v/>
      </c>
      <c r="Y557" s="39" t="str">
        <f>IF($X557=1,COUNTIF($X$2:$X557,1),"")</f>
        <v/>
      </c>
      <c r="Z557" s="39">
        <f>IF(AND($E557="timed",$N557&gt;Settings!$C$8),1,0)</f>
        <v>0</v>
      </c>
      <c r="AA557" s="39">
        <f t="shared" si="148"/>
        <v>0</v>
      </c>
      <c r="AB557" s="39">
        <f t="shared" si="149"/>
        <v>0</v>
      </c>
      <c r="AC557" s="39" t="str">
        <f t="shared" si="150"/>
        <v/>
      </c>
      <c r="AD557" s="39" t="str">
        <f t="shared" si="151"/>
        <v/>
      </c>
      <c r="AE557" s="39" t="str">
        <f t="shared" si="152"/>
        <v/>
      </c>
      <c r="AF557" s="106" t="str">
        <f t="shared" si="153"/>
        <v/>
      </c>
      <c r="AG557" s="39">
        <f t="shared" si="154"/>
        <v>0</v>
      </c>
      <c r="AH557" s="39" t="str">
        <f t="shared" si="155"/>
        <v/>
      </c>
      <c r="AI557" s="39">
        <f>IF(AND($E557="timed",$N557&gt;=Settings!$C$9),1,0)</f>
        <v>0</v>
      </c>
      <c r="AJ557" s="39" t="str">
        <f>IF(OR($S557="",Settings!$C$16=""),"",IF($S557&lt;=Settings!$C$16,1,2))</f>
        <v/>
      </c>
      <c r="AK557" s="39" t="str">
        <f>IF($C557="","",IFERROR(IF(INDEX(Settings!$C$20:$C$59,MATCH($C557,Settings!$B$20:$B$59,0))="",Settings!$C$10,INDEX(Settings!$C$20:$C$59,MATCH($C557,Settings!$B$20:$B$59,0))),Settings!$C$10))</f>
        <v/>
      </c>
      <c r="AL557" s="108">
        <f t="shared" si="156"/>
        <v>0</v>
      </c>
      <c r="AM557" s="39" t="str">
        <f t="shared" si="157"/>
        <v/>
      </c>
      <c r="AN557" s="39" t="str">
        <f t="shared" si="158"/>
        <v/>
      </c>
      <c r="AO557" s="39" t="str">
        <f t="shared" si="159"/>
        <v/>
      </c>
      <c r="AP557" s="39">
        <f t="shared" si="160"/>
        <v>0</v>
      </c>
      <c r="AQ557" s="39">
        <f t="shared" si="161"/>
        <v>0</v>
      </c>
    </row>
    <row r="558" spans="14:43" x14ac:dyDescent="0.25">
      <c r="N558" s="105">
        <f t="shared" si="144"/>
        <v>0</v>
      </c>
      <c r="O558" s="106" t="str">
        <f>IF($F558="","",IF(ISNUMBER($F558),$F558+Settings!$C$7/24,IFERROR(DATEVALUE(LEFT($F558,10))+TIMEVALUE(MID($F558,12,8))+Settings!$C$7/24,"")))</f>
        <v/>
      </c>
      <c r="P558" s="106" t="str">
        <f>IF($G558="","",IF(ISNUMBER($G558),$G558+Settings!$C$7/24,IFERROR(DATEVALUE(LEFT($G558,10))+TIMEVALUE(MID($G558,12,8))+Settings!$C$7/24,"")))</f>
        <v/>
      </c>
      <c r="Q558" s="39" t="str">
        <f t="shared" si="145"/>
        <v/>
      </c>
      <c r="R558" s="39" t="str">
        <f t="shared" si="146"/>
        <v/>
      </c>
      <c r="S558" s="107" t="str">
        <f t="shared" si="147"/>
        <v/>
      </c>
      <c r="T558" s="39" t="str">
        <f>IF($C558="","",IF(COUNTIF($C$2:$C558,$C558)=1,1,0))</f>
        <v/>
      </c>
      <c r="U558" s="39" t="str">
        <f>IF($T558=1,COUNTIF($T$2:$T558,1),"")</f>
        <v/>
      </c>
      <c r="V558" s="39" t="str">
        <f>IF($B558="","",IF(COUNTIF($B$2:$B558,$B558)=1,1,0))</f>
        <v/>
      </c>
      <c r="W558" s="39" t="str">
        <f>IF($V558=1,COUNTIF($V$2:$V558,1),"")</f>
        <v/>
      </c>
      <c r="X558" s="39" t="str">
        <f>IF($A558="","",IF(COUNTIF($A$2:$A558,$A558)=1,1,0))</f>
        <v/>
      </c>
      <c r="Y558" s="39" t="str">
        <f>IF($X558=1,COUNTIF($X$2:$X558,1),"")</f>
        <v/>
      </c>
      <c r="Z558" s="39">
        <f>IF(AND($E558="timed",$N558&gt;Settings!$C$8),1,0)</f>
        <v>0</v>
      </c>
      <c r="AA558" s="39">
        <f t="shared" si="148"/>
        <v>0</v>
      </c>
      <c r="AB558" s="39">
        <f t="shared" si="149"/>
        <v>0</v>
      </c>
      <c r="AC558" s="39" t="str">
        <f t="shared" si="150"/>
        <v/>
      </c>
      <c r="AD558" s="39" t="str">
        <f t="shared" si="151"/>
        <v/>
      </c>
      <c r="AE558" s="39" t="str">
        <f t="shared" si="152"/>
        <v/>
      </c>
      <c r="AF558" s="106" t="str">
        <f t="shared" si="153"/>
        <v/>
      </c>
      <c r="AG558" s="39">
        <f t="shared" si="154"/>
        <v>0</v>
      </c>
      <c r="AH558" s="39" t="str">
        <f t="shared" si="155"/>
        <v/>
      </c>
      <c r="AI558" s="39">
        <f>IF(AND($E558="timed",$N558&gt;=Settings!$C$9),1,0)</f>
        <v>0</v>
      </c>
      <c r="AJ558" s="39" t="str">
        <f>IF(OR($S558="",Settings!$C$16=""),"",IF($S558&lt;=Settings!$C$16,1,2))</f>
        <v/>
      </c>
      <c r="AK558" s="39" t="str">
        <f>IF($C558="","",IFERROR(IF(INDEX(Settings!$C$20:$C$59,MATCH($C558,Settings!$B$20:$B$59,0))="",Settings!$C$10,INDEX(Settings!$C$20:$C$59,MATCH($C558,Settings!$B$20:$B$59,0))),Settings!$C$10))</f>
        <v/>
      </c>
      <c r="AL558" s="108">
        <f t="shared" si="156"/>
        <v>0</v>
      </c>
      <c r="AM558" s="39" t="str">
        <f t="shared" si="157"/>
        <v/>
      </c>
      <c r="AN558" s="39" t="str">
        <f t="shared" si="158"/>
        <v/>
      </c>
      <c r="AO558" s="39" t="str">
        <f t="shared" si="159"/>
        <v/>
      </c>
      <c r="AP558" s="39">
        <f t="shared" si="160"/>
        <v>0</v>
      </c>
      <c r="AQ558" s="39">
        <f t="shared" si="161"/>
        <v>0</v>
      </c>
    </row>
    <row r="559" spans="14:43" x14ac:dyDescent="0.25">
      <c r="N559" s="105">
        <f t="shared" si="144"/>
        <v>0</v>
      </c>
      <c r="O559" s="106" t="str">
        <f>IF($F559="","",IF(ISNUMBER($F559),$F559+Settings!$C$7/24,IFERROR(DATEVALUE(LEFT($F559,10))+TIMEVALUE(MID($F559,12,8))+Settings!$C$7/24,"")))</f>
        <v/>
      </c>
      <c r="P559" s="106" t="str">
        <f>IF($G559="","",IF(ISNUMBER($G559),$G559+Settings!$C$7/24,IFERROR(DATEVALUE(LEFT($G559,10))+TIMEVALUE(MID($G559,12,8))+Settings!$C$7/24,"")))</f>
        <v/>
      </c>
      <c r="Q559" s="39" t="str">
        <f t="shared" si="145"/>
        <v/>
      </c>
      <c r="R559" s="39" t="str">
        <f t="shared" si="146"/>
        <v/>
      </c>
      <c r="S559" s="107" t="str">
        <f t="shared" si="147"/>
        <v/>
      </c>
      <c r="T559" s="39" t="str">
        <f>IF($C559="","",IF(COUNTIF($C$2:$C559,$C559)=1,1,0))</f>
        <v/>
      </c>
      <c r="U559" s="39" t="str">
        <f>IF($T559=1,COUNTIF($T$2:$T559,1),"")</f>
        <v/>
      </c>
      <c r="V559" s="39" t="str">
        <f>IF($B559="","",IF(COUNTIF($B$2:$B559,$B559)=1,1,0))</f>
        <v/>
      </c>
      <c r="W559" s="39" t="str">
        <f>IF($V559=1,COUNTIF($V$2:$V559,1),"")</f>
        <v/>
      </c>
      <c r="X559" s="39" t="str">
        <f>IF($A559="","",IF(COUNTIF($A$2:$A559,$A559)=1,1,0))</f>
        <v/>
      </c>
      <c r="Y559" s="39" t="str">
        <f>IF($X559=1,COUNTIF($X$2:$X559,1),"")</f>
        <v/>
      </c>
      <c r="Z559" s="39">
        <f>IF(AND($E559="timed",$N559&gt;Settings!$C$8),1,0)</f>
        <v>0</v>
      </c>
      <c r="AA559" s="39">
        <f t="shared" si="148"/>
        <v>0</v>
      </c>
      <c r="AB559" s="39">
        <f t="shared" si="149"/>
        <v>0</v>
      </c>
      <c r="AC559" s="39" t="str">
        <f t="shared" si="150"/>
        <v/>
      </c>
      <c r="AD559" s="39" t="str">
        <f t="shared" si="151"/>
        <v/>
      </c>
      <c r="AE559" s="39" t="str">
        <f t="shared" si="152"/>
        <v/>
      </c>
      <c r="AF559" s="106" t="str">
        <f t="shared" si="153"/>
        <v/>
      </c>
      <c r="AG559" s="39">
        <f t="shared" si="154"/>
        <v>0</v>
      </c>
      <c r="AH559" s="39" t="str">
        <f t="shared" si="155"/>
        <v/>
      </c>
      <c r="AI559" s="39">
        <f>IF(AND($E559="timed",$N559&gt;=Settings!$C$9),1,0)</f>
        <v>0</v>
      </c>
      <c r="AJ559" s="39" t="str">
        <f>IF(OR($S559="",Settings!$C$16=""),"",IF($S559&lt;=Settings!$C$16,1,2))</f>
        <v/>
      </c>
      <c r="AK559" s="39" t="str">
        <f>IF($C559="","",IFERROR(IF(INDEX(Settings!$C$20:$C$59,MATCH($C559,Settings!$B$20:$B$59,0))="",Settings!$C$10,INDEX(Settings!$C$20:$C$59,MATCH($C559,Settings!$B$20:$B$59,0))),Settings!$C$10))</f>
        <v/>
      </c>
      <c r="AL559" s="108">
        <f t="shared" si="156"/>
        <v>0</v>
      </c>
      <c r="AM559" s="39" t="str">
        <f t="shared" si="157"/>
        <v/>
      </c>
      <c r="AN559" s="39" t="str">
        <f t="shared" si="158"/>
        <v/>
      </c>
      <c r="AO559" s="39" t="str">
        <f t="shared" si="159"/>
        <v/>
      </c>
      <c r="AP559" s="39">
        <f t="shared" si="160"/>
        <v>0</v>
      </c>
      <c r="AQ559" s="39">
        <f t="shared" si="161"/>
        <v>0</v>
      </c>
    </row>
    <row r="560" spans="14:43" x14ac:dyDescent="0.25">
      <c r="N560" s="105">
        <f t="shared" si="144"/>
        <v>0</v>
      </c>
      <c r="O560" s="106" t="str">
        <f>IF($F560="","",IF(ISNUMBER($F560),$F560+Settings!$C$7/24,IFERROR(DATEVALUE(LEFT($F560,10))+TIMEVALUE(MID($F560,12,8))+Settings!$C$7/24,"")))</f>
        <v/>
      </c>
      <c r="P560" s="106" t="str">
        <f>IF($G560="","",IF(ISNUMBER($G560),$G560+Settings!$C$7/24,IFERROR(DATEVALUE(LEFT($G560,10))+TIMEVALUE(MID($G560,12,8))+Settings!$C$7/24,"")))</f>
        <v/>
      </c>
      <c r="Q560" s="39" t="str">
        <f t="shared" si="145"/>
        <v/>
      </c>
      <c r="R560" s="39" t="str">
        <f t="shared" si="146"/>
        <v/>
      </c>
      <c r="S560" s="107" t="str">
        <f t="shared" si="147"/>
        <v/>
      </c>
      <c r="T560" s="39" t="str">
        <f>IF($C560="","",IF(COUNTIF($C$2:$C560,$C560)=1,1,0))</f>
        <v/>
      </c>
      <c r="U560" s="39" t="str">
        <f>IF($T560=1,COUNTIF($T$2:$T560,1),"")</f>
        <v/>
      </c>
      <c r="V560" s="39" t="str">
        <f>IF($B560="","",IF(COUNTIF($B$2:$B560,$B560)=1,1,0))</f>
        <v/>
      </c>
      <c r="W560" s="39" t="str">
        <f>IF($V560=1,COUNTIF($V$2:$V560,1),"")</f>
        <v/>
      </c>
      <c r="X560" s="39" t="str">
        <f>IF($A560="","",IF(COUNTIF($A$2:$A560,$A560)=1,1,0))</f>
        <v/>
      </c>
      <c r="Y560" s="39" t="str">
        <f>IF($X560=1,COUNTIF($X$2:$X560,1),"")</f>
        <v/>
      </c>
      <c r="Z560" s="39">
        <f>IF(AND($E560="timed",$N560&gt;Settings!$C$8),1,0)</f>
        <v>0</v>
      </c>
      <c r="AA560" s="39">
        <f t="shared" si="148"/>
        <v>0</v>
      </c>
      <c r="AB560" s="39">
        <f t="shared" si="149"/>
        <v>0</v>
      </c>
      <c r="AC560" s="39" t="str">
        <f t="shared" si="150"/>
        <v/>
      </c>
      <c r="AD560" s="39" t="str">
        <f t="shared" si="151"/>
        <v/>
      </c>
      <c r="AE560" s="39" t="str">
        <f t="shared" si="152"/>
        <v/>
      </c>
      <c r="AF560" s="106" t="str">
        <f t="shared" si="153"/>
        <v/>
      </c>
      <c r="AG560" s="39">
        <f t="shared" si="154"/>
        <v>0</v>
      </c>
      <c r="AH560" s="39" t="str">
        <f t="shared" si="155"/>
        <v/>
      </c>
      <c r="AI560" s="39">
        <f>IF(AND($E560="timed",$N560&gt;=Settings!$C$9),1,0)</f>
        <v>0</v>
      </c>
      <c r="AJ560" s="39" t="str">
        <f>IF(OR($S560="",Settings!$C$16=""),"",IF($S560&lt;=Settings!$C$16,1,2))</f>
        <v/>
      </c>
      <c r="AK560" s="39" t="str">
        <f>IF($C560="","",IFERROR(IF(INDEX(Settings!$C$20:$C$59,MATCH($C560,Settings!$B$20:$B$59,0))="",Settings!$C$10,INDEX(Settings!$C$20:$C$59,MATCH($C560,Settings!$B$20:$B$59,0))),Settings!$C$10))</f>
        <v/>
      </c>
      <c r="AL560" s="108">
        <f t="shared" si="156"/>
        <v>0</v>
      </c>
      <c r="AM560" s="39" t="str">
        <f t="shared" si="157"/>
        <v/>
      </c>
      <c r="AN560" s="39" t="str">
        <f t="shared" si="158"/>
        <v/>
      </c>
      <c r="AO560" s="39" t="str">
        <f t="shared" si="159"/>
        <v/>
      </c>
      <c r="AP560" s="39">
        <f t="shared" si="160"/>
        <v>0</v>
      </c>
      <c r="AQ560" s="39">
        <f t="shared" si="161"/>
        <v>0</v>
      </c>
    </row>
    <row r="561" spans="14:43" x14ac:dyDescent="0.25">
      <c r="N561" s="105">
        <f t="shared" si="144"/>
        <v>0</v>
      </c>
      <c r="O561" s="106" t="str">
        <f>IF($F561="","",IF(ISNUMBER($F561),$F561+Settings!$C$7/24,IFERROR(DATEVALUE(LEFT($F561,10))+TIMEVALUE(MID($F561,12,8))+Settings!$C$7/24,"")))</f>
        <v/>
      </c>
      <c r="P561" s="106" t="str">
        <f>IF($G561="","",IF(ISNUMBER($G561),$G561+Settings!$C$7/24,IFERROR(DATEVALUE(LEFT($G561,10))+TIMEVALUE(MID($G561,12,8))+Settings!$C$7/24,"")))</f>
        <v/>
      </c>
      <c r="Q561" s="39" t="str">
        <f t="shared" si="145"/>
        <v/>
      </c>
      <c r="R561" s="39" t="str">
        <f t="shared" si="146"/>
        <v/>
      </c>
      <c r="S561" s="107" t="str">
        <f t="shared" si="147"/>
        <v/>
      </c>
      <c r="T561" s="39" t="str">
        <f>IF($C561="","",IF(COUNTIF($C$2:$C561,$C561)=1,1,0))</f>
        <v/>
      </c>
      <c r="U561" s="39" t="str">
        <f>IF($T561=1,COUNTIF($T$2:$T561,1),"")</f>
        <v/>
      </c>
      <c r="V561" s="39" t="str">
        <f>IF($B561="","",IF(COUNTIF($B$2:$B561,$B561)=1,1,0))</f>
        <v/>
      </c>
      <c r="W561" s="39" t="str">
        <f>IF($V561=1,COUNTIF($V$2:$V561,1),"")</f>
        <v/>
      </c>
      <c r="X561" s="39" t="str">
        <f>IF($A561="","",IF(COUNTIF($A$2:$A561,$A561)=1,1,0))</f>
        <v/>
      </c>
      <c r="Y561" s="39" t="str">
        <f>IF($X561=1,COUNTIF($X$2:$X561,1),"")</f>
        <v/>
      </c>
      <c r="Z561" s="39">
        <f>IF(AND($E561="timed",$N561&gt;Settings!$C$8),1,0)</f>
        <v>0</v>
      </c>
      <c r="AA561" s="39">
        <f t="shared" si="148"/>
        <v>0</v>
      </c>
      <c r="AB561" s="39">
        <f t="shared" si="149"/>
        <v>0</v>
      </c>
      <c r="AC561" s="39" t="str">
        <f t="shared" si="150"/>
        <v/>
      </c>
      <c r="AD561" s="39" t="str">
        <f t="shared" si="151"/>
        <v/>
      </c>
      <c r="AE561" s="39" t="str">
        <f t="shared" si="152"/>
        <v/>
      </c>
      <c r="AF561" s="106" t="str">
        <f t="shared" si="153"/>
        <v/>
      </c>
      <c r="AG561" s="39">
        <f t="shared" si="154"/>
        <v>0</v>
      </c>
      <c r="AH561" s="39" t="str">
        <f t="shared" si="155"/>
        <v/>
      </c>
      <c r="AI561" s="39">
        <f>IF(AND($E561="timed",$N561&gt;=Settings!$C$9),1,0)</f>
        <v>0</v>
      </c>
      <c r="AJ561" s="39" t="str">
        <f>IF(OR($S561="",Settings!$C$16=""),"",IF($S561&lt;=Settings!$C$16,1,2))</f>
        <v/>
      </c>
      <c r="AK561" s="39" t="str">
        <f>IF($C561="","",IFERROR(IF(INDEX(Settings!$C$20:$C$59,MATCH($C561,Settings!$B$20:$B$59,0))="",Settings!$C$10,INDEX(Settings!$C$20:$C$59,MATCH($C561,Settings!$B$20:$B$59,0))),Settings!$C$10))</f>
        <v/>
      </c>
      <c r="AL561" s="108">
        <f t="shared" si="156"/>
        <v>0</v>
      </c>
      <c r="AM561" s="39" t="str">
        <f t="shared" si="157"/>
        <v/>
      </c>
      <c r="AN561" s="39" t="str">
        <f t="shared" si="158"/>
        <v/>
      </c>
      <c r="AO561" s="39" t="str">
        <f t="shared" si="159"/>
        <v/>
      </c>
      <c r="AP561" s="39">
        <f t="shared" si="160"/>
        <v>0</v>
      </c>
      <c r="AQ561" s="39">
        <f t="shared" si="161"/>
        <v>0</v>
      </c>
    </row>
    <row r="562" spans="14:43" x14ac:dyDescent="0.25">
      <c r="N562" s="105">
        <f t="shared" si="144"/>
        <v>0</v>
      </c>
      <c r="O562" s="106" t="str">
        <f>IF($F562="","",IF(ISNUMBER($F562),$F562+Settings!$C$7/24,IFERROR(DATEVALUE(LEFT($F562,10))+TIMEVALUE(MID($F562,12,8))+Settings!$C$7/24,"")))</f>
        <v/>
      </c>
      <c r="P562" s="106" t="str">
        <f>IF($G562="","",IF(ISNUMBER($G562),$G562+Settings!$C$7/24,IFERROR(DATEVALUE(LEFT($G562,10))+TIMEVALUE(MID($G562,12,8))+Settings!$C$7/24,"")))</f>
        <v/>
      </c>
      <c r="Q562" s="39" t="str">
        <f t="shared" si="145"/>
        <v/>
      </c>
      <c r="R562" s="39" t="str">
        <f t="shared" si="146"/>
        <v/>
      </c>
      <c r="S562" s="107" t="str">
        <f t="shared" si="147"/>
        <v/>
      </c>
      <c r="T562" s="39" t="str">
        <f>IF($C562="","",IF(COUNTIF($C$2:$C562,$C562)=1,1,0))</f>
        <v/>
      </c>
      <c r="U562" s="39" t="str">
        <f>IF($T562=1,COUNTIF($T$2:$T562,1),"")</f>
        <v/>
      </c>
      <c r="V562" s="39" t="str">
        <f>IF($B562="","",IF(COUNTIF($B$2:$B562,$B562)=1,1,0))</f>
        <v/>
      </c>
      <c r="W562" s="39" t="str">
        <f>IF($V562=1,COUNTIF($V$2:$V562,1),"")</f>
        <v/>
      </c>
      <c r="X562" s="39" t="str">
        <f>IF($A562="","",IF(COUNTIF($A$2:$A562,$A562)=1,1,0))</f>
        <v/>
      </c>
      <c r="Y562" s="39" t="str">
        <f>IF($X562=1,COUNTIF($X$2:$X562,1),"")</f>
        <v/>
      </c>
      <c r="Z562" s="39">
        <f>IF(AND($E562="timed",$N562&gt;Settings!$C$8),1,0)</f>
        <v>0</v>
      </c>
      <c r="AA562" s="39">
        <f t="shared" si="148"/>
        <v>0</v>
      </c>
      <c r="AB562" s="39">
        <f t="shared" si="149"/>
        <v>0</v>
      </c>
      <c r="AC562" s="39" t="str">
        <f t="shared" si="150"/>
        <v/>
      </c>
      <c r="AD562" s="39" t="str">
        <f t="shared" si="151"/>
        <v/>
      </c>
      <c r="AE562" s="39" t="str">
        <f t="shared" si="152"/>
        <v/>
      </c>
      <c r="AF562" s="106" t="str">
        <f t="shared" si="153"/>
        <v/>
      </c>
      <c r="AG562" s="39">
        <f t="shared" si="154"/>
        <v>0</v>
      </c>
      <c r="AH562" s="39" t="str">
        <f t="shared" si="155"/>
        <v/>
      </c>
      <c r="AI562" s="39">
        <f>IF(AND($E562="timed",$N562&gt;=Settings!$C$9),1,0)</f>
        <v>0</v>
      </c>
      <c r="AJ562" s="39" t="str">
        <f>IF(OR($S562="",Settings!$C$16=""),"",IF($S562&lt;=Settings!$C$16,1,2))</f>
        <v/>
      </c>
      <c r="AK562" s="39" t="str">
        <f>IF($C562="","",IFERROR(IF(INDEX(Settings!$C$20:$C$59,MATCH($C562,Settings!$B$20:$B$59,0))="",Settings!$C$10,INDEX(Settings!$C$20:$C$59,MATCH($C562,Settings!$B$20:$B$59,0))),Settings!$C$10))</f>
        <v/>
      </c>
      <c r="AL562" s="108">
        <f t="shared" si="156"/>
        <v>0</v>
      </c>
      <c r="AM562" s="39" t="str">
        <f t="shared" si="157"/>
        <v/>
      </c>
      <c r="AN562" s="39" t="str">
        <f t="shared" si="158"/>
        <v/>
      </c>
      <c r="AO562" s="39" t="str">
        <f t="shared" si="159"/>
        <v/>
      </c>
      <c r="AP562" s="39">
        <f t="shared" si="160"/>
        <v>0</v>
      </c>
      <c r="AQ562" s="39">
        <f t="shared" si="161"/>
        <v>0</v>
      </c>
    </row>
    <row r="563" spans="14:43" x14ac:dyDescent="0.25">
      <c r="N563" s="105">
        <f t="shared" si="144"/>
        <v>0</v>
      </c>
      <c r="O563" s="106" t="str">
        <f>IF($F563="","",IF(ISNUMBER($F563),$F563+Settings!$C$7/24,IFERROR(DATEVALUE(LEFT($F563,10))+TIMEVALUE(MID($F563,12,8))+Settings!$C$7/24,"")))</f>
        <v/>
      </c>
      <c r="P563" s="106" t="str">
        <f>IF($G563="","",IF(ISNUMBER($G563),$G563+Settings!$C$7/24,IFERROR(DATEVALUE(LEFT($G563,10))+TIMEVALUE(MID($G563,12,8))+Settings!$C$7/24,"")))</f>
        <v/>
      </c>
      <c r="Q563" s="39" t="str">
        <f t="shared" si="145"/>
        <v/>
      </c>
      <c r="R563" s="39" t="str">
        <f t="shared" si="146"/>
        <v/>
      </c>
      <c r="S563" s="107" t="str">
        <f t="shared" si="147"/>
        <v/>
      </c>
      <c r="T563" s="39" t="str">
        <f>IF($C563="","",IF(COUNTIF($C$2:$C563,$C563)=1,1,0))</f>
        <v/>
      </c>
      <c r="U563" s="39" t="str">
        <f>IF($T563=1,COUNTIF($T$2:$T563,1),"")</f>
        <v/>
      </c>
      <c r="V563" s="39" t="str">
        <f>IF($B563="","",IF(COUNTIF($B$2:$B563,$B563)=1,1,0))</f>
        <v/>
      </c>
      <c r="W563" s="39" t="str">
        <f>IF($V563=1,COUNTIF($V$2:$V563,1),"")</f>
        <v/>
      </c>
      <c r="X563" s="39" t="str">
        <f>IF($A563="","",IF(COUNTIF($A$2:$A563,$A563)=1,1,0))</f>
        <v/>
      </c>
      <c r="Y563" s="39" t="str">
        <f>IF($X563=1,COUNTIF($X$2:$X563,1),"")</f>
        <v/>
      </c>
      <c r="Z563" s="39">
        <f>IF(AND($E563="timed",$N563&gt;Settings!$C$8),1,0)</f>
        <v>0</v>
      </c>
      <c r="AA563" s="39">
        <f t="shared" si="148"/>
        <v>0</v>
      </c>
      <c r="AB563" s="39">
        <f t="shared" si="149"/>
        <v>0</v>
      </c>
      <c r="AC563" s="39" t="str">
        <f t="shared" si="150"/>
        <v/>
      </c>
      <c r="AD563" s="39" t="str">
        <f t="shared" si="151"/>
        <v/>
      </c>
      <c r="AE563" s="39" t="str">
        <f t="shared" si="152"/>
        <v/>
      </c>
      <c r="AF563" s="106" t="str">
        <f t="shared" si="153"/>
        <v/>
      </c>
      <c r="AG563" s="39">
        <f t="shared" si="154"/>
        <v>0</v>
      </c>
      <c r="AH563" s="39" t="str">
        <f t="shared" si="155"/>
        <v/>
      </c>
      <c r="AI563" s="39">
        <f>IF(AND($E563="timed",$N563&gt;=Settings!$C$9),1,0)</f>
        <v>0</v>
      </c>
      <c r="AJ563" s="39" t="str">
        <f>IF(OR($S563="",Settings!$C$16=""),"",IF($S563&lt;=Settings!$C$16,1,2))</f>
        <v/>
      </c>
      <c r="AK563" s="39" t="str">
        <f>IF($C563="","",IFERROR(IF(INDEX(Settings!$C$20:$C$59,MATCH($C563,Settings!$B$20:$B$59,0))="",Settings!$C$10,INDEX(Settings!$C$20:$C$59,MATCH($C563,Settings!$B$20:$B$59,0))),Settings!$C$10))</f>
        <v/>
      </c>
      <c r="AL563" s="108">
        <f t="shared" si="156"/>
        <v>0</v>
      </c>
      <c r="AM563" s="39" t="str">
        <f t="shared" si="157"/>
        <v/>
      </c>
      <c r="AN563" s="39" t="str">
        <f t="shared" si="158"/>
        <v/>
      </c>
      <c r="AO563" s="39" t="str">
        <f t="shared" si="159"/>
        <v/>
      </c>
      <c r="AP563" s="39">
        <f t="shared" si="160"/>
        <v>0</v>
      </c>
      <c r="AQ563" s="39">
        <f t="shared" si="161"/>
        <v>0</v>
      </c>
    </row>
    <row r="564" spans="14:43" x14ac:dyDescent="0.25">
      <c r="N564" s="105">
        <f t="shared" si="144"/>
        <v>0</v>
      </c>
      <c r="O564" s="106" t="str">
        <f>IF($F564="","",IF(ISNUMBER($F564),$F564+Settings!$C$7/24,IFERROR(DATEVALUE(LEFT($F564,10))+TIMEVALUE(MID($F564,12,8))+Settings!$C$7/24,"")))</f>
        <v/>
      </c>
      <c r="P564" s="106" t="str">
        <f>IF($G564="","",IF(ISNUMBER($G564),$G564+Settings!$C$7/24,IFERROR(DATEVALUE(LEFT($G564,10))+TIMEVALUE(MID($G564,12,8))+Settings!$C$7/24,"")))</f>
        <v/>
      </c>
      <c r="Q564" s="39" t="str">
        <f t="shared" si="145"/>
        <v/>
      </c>
      <c r="R564" s="39" t="str">
        <f t="shared" si="146"/>
        <v/>
      </c>
      <c r="S564" s="107" t="str">
        <f t="shared" si="147"/>
        <v/>
      </c>
      <c r="T564" s="39" t="str">
        <f>IF($C564="","",IF(COUNTIF($C$2:$C564,$C564)=1,1,0))</f>
        <v/>
      </c>
      <c r="U564" s="39" t="str">
        <f>IF($T564=1,COUNTIF($T$2:$T564,1),"")</f>
        <v/>
      </c>
      <c r="V564" s="39" t="str">
        <f>IF($B564="","",IF(COUNTIF($B$2:$B564,$B564)=1,1,0))</f>
        <v/>
      </c>
      <c r="W564" s="39" t="str">
        <f>IF($V564=1,COUNTIF($V$2:$V564,1),"")</f>
        <v/>
      </c>
      <c r="X564" s="39" t="str">
        <f>IF($A564="","",IF(COUNTIF($A$2:$A564,$A564)=1,1,0))</f>
        <v/>
      </c>
      <c r="Y564" s="39" t="str">
        <f>IF($X564=1,COUNTIF($X$2:$X564,1),"")</f>
        <v/>
      </c>
      <c r="Z564" s="39">
        <f>IF(AND($E564="timed",$N564&gt;Settings!$C$8),1,0)</f>
        <v>0</v>
      </c>
      <c r="AA564" s="39">
        <f t="shared" si="148"/>
        <v>0</v>
      </c>
      <c r="AB564" s="39">
        <f t="shared" si="149"/>
        <v>0</v>
      </c>
      <c r="AC564" s="39" t="str">
        <f t="shared" si="150"/>
        <v/>
      </c>
      <c r="AD564" s="39" t="str">
        <f t="shared" si="151"/>
        <v/>
      </c>
      <c r="AE564" s="39" t="str">
        <f t="shared" si="152"/>
        <v/>
      </c>
      <c r="AF564" s="106" t="str">
        <f t="shared" si="153"/>
        <v/>
      </c>
      <c r="AG564" s="39">
        <f t="shared" si="154"/>
        <v>0</v>
      </c>
      <c r="AH564" s="39" t="str">
        <f t="shared" si="155"/>
        <v/>
      </c>
      <c r="AI564" s="39">
        <f>IF(AND($E564="timed",$N564&gt;=Settings!$C$9),1,0)</f>
        <v>0</v>
      </c>
      <c r="AJ564" s="39" t="str">
        <f>IF(OR($S564="",Settings!$C$16=""),"",IF($S564&lt;=Settings!$C$16,1,2))</f>
        <v/>
      </c>
      <c r="AK564" s="39" t="str">
        <f>IF($C564="","",IFERROR(IF(INDEX(Settings!$C$20:$C$59,MATCH($C564,Settings!$B$20:$B$59,0))="",Settings!$C$10,INDEX(Settings!$C$20:$C$59,MATCH($C564,Settings!$B$20:$B$59,0))),Settings!$C$10))</f>
        <v/>
      </c>
      <c r="AL564" s="108">
        <f t="shared" si="156"/>
        <v>0</v>
      </c>
      <c r="AM564" s="39" t="str">
        <f t="shared" si="157"/>
        <v/>
      </c>
      <c r="AN564" s="39" t="str">
        <f t="shared" si="158"/>
        <v/>
      </c>
      <c r="AO564" s="39" t="str">
        <f t="shared" si="159"/>
        <v/>
      </c>
      <c r="AP564" s="39">
        <f t="shared" si="160"/>
        <v>0</v>
      </c>
      <c r="AQ564" s="39">
        <f t="shared" si="161"/>
        <v>0</v>
      </c>
    </row>
    <row r="565" spans="14:43" x14ac:dyDescent="0.25">
      <c r="N565" s="105">
        <f t="shared" si="144"/>
        <v>0</v>
      </c>
      <c r="O565" s="106" t="str">
        <f>IF($F565="","",IF(ISNUMBER($F565),$F565+Settings!$C$7/24,IFERROR(DATEVALUE(LEFT($F565,10))+TIMEVALUE(MID($F565,12,8))+Settings!$C$7/24,"")))</f>
        <v/>
      </c>
      <c r="P565" s="106" t="str">
        <f>IF($G565="","",IF(ISNUMBER($G565),$G565+Settings!$C$7/24,IFERROR(DATEVALUE(LEFT($G565,10))+TIMEVALUE(MID($G565,12,8))+Settings!$C$7/24,"")))</f>
        <v/>
      </c>
      <c r="Q565" s="39" t="str">
        <f t="shared" si="145"/>
        <v/>
      </c>
      <c r="R565" s="39" t="str">
        <f t="shared" si="146"/>
        <v/>
      </c>
      <c r="S565" s="107" t="str">
        <f t="shared" si="147"/>
        <v/>
      </c>
      <c r="T565" s="39" t="str">
        <f>IF($C565="","",IF(COUNTIF($C$2:$C565,$C565)=1,1,0))</f>
        <v/>
      </c>
      <c r="U565" s="39" t="str">
        <f>IF($T565=1,COUNTIF($T$2:$T565,1),"")</f>
        <v/>
      </c>
      <c r="V565" s="39" t="str">
        <f>IF($B565="","",IF(COUNTIF($B$2:$B565,$B565)=1,1,0))</f>
        <v/>
      </c>
      <c r="W565" s="39" t="str">
        <f>IF($V565=1,COUNTIF($V$2:$V565,1),"")</f>
        <v/>
      </c>
      <c r="X565" s="39" t="str">
        <f>IF($A565="","",IF(COUNTIF($A$2:$A565,$A565)=1,1,0))</f>
        <v/>
      </c>
      <c r="Y565" s="39" t="str">
        <f>IF($X565=1,COUNTIF($X$2:$X565,1),"")</f>
        <v/>
      </c>
      <c r="Z565" s="39">
        <f>IF(AND($E565="timed",$N565&gt;Settings!$C$8),1,0)</f>
        <v>0</v>
      </c>
      <c r="AA565" s="39">
        <f t="shared" si="148"/>
        <v>0</v>
      </c>
      <c r="AB565" s="39">
        <f t="shared" si="149"/>
        <v>0</v>
      </c>
      <c r="AC565" s="39" t="str">
        <f t="shared" si="150"/>
        <v/>
      </c>
      <c r="AD565" s="39" t="str">
        <f t="shared" si="151"/>
        <v/>
      </c>
      <c r="AE565" s="39" t="str">
        <f t="shared" si="152"/>
        <v/>
      </c>
      <c r="AF565" s="106" t="str">
        <f t="shared" si="153"/>
        <v/>
      </c>
      <c r="AG565" s="39">
        <f t="shared" si="154"/>
        <v>0</v>
      </c>
      <c r="AH565" s="39" t="str">
        <f t="shared" si="155"/>
        <v/>
      </c>
      <c r="AI565" s="39">
        <f>IF(AND($E565="timed",$N565&gt;=Settings!$C$9),1,0)</f>
        <v>0</v>
      </c>
      <c r="AJ565" s="39" t="str">
        <f>IF(OR($S565="",Settings!$C$16=""),"",IF($S565&lt;=Settings!$C$16,1,2))</f>
        <v/>
      </c>
      <c r="AK565" s="39" t="str">
        <f>IF($C565="","",IFERROR(IF(INDEX(Settings!$C$20:$C$59,MATCH($C565,Settings!$B$20:$B$59,0))="",Settings!$C$10,INDEX(Settings!$C$20:$C$59,MATCH($C565,Settings!$B$20:$B$59,0))),Settings!$C$10))</f>
        <v/>
      </c>
      <c r="AL565" s="108">
        <f t="shared" si="156"/>
        <v>0</v>
      </c>
      <c r="AM565" s="39" t="str">
        <f t="shared" si="157"/>
        <v/>
      </c>
      <c r="AN565" s="39" t="str">
        <f t="shared" si="158"/>
        <v/>
      </c>
      <c r="AO565" s="39" t="str">
        <f t="shared" si="159"/>
        <v/>
      </c>
      <c r="AP565" s="39">
        <f t="shared" si="160"/>
        <v>0</v>
      </c>
      <c r="AQ565" s="39">
        <f t="shared" si="161"/>
        <v>0</v>
      </c>
    </row>
    <row r="566" spans="14:43" x14ac:dyDescent="0.25">
      <c r="N566" s="105">
        <f t="shared" si="144"/>
        <v>0</v>
      </c>
      <c r="O566" s="106" t="str">
        <f>IF($F566="","",IF(ISNUMBER($F566),$F566+Settings!$C$7/24,IFERROR(DATEVALUE(LEFT($F566,10))+TIMEVALUE(MID($F566,12,8))+Settings!$C$7/24,"")))</f>
        <v/>
      </c>
      <c r="P566" s="106" t="str">
        <f>IF($G566="","",IF(ISNUMBER($G566),$G566+Settings!$C$7/24,IFERROR(DATEVALUE(LEFT($G566,10))+TIMEVALUE(MID($G566,12,8))+Settings!$C$7/24,"")))</f>
        <v/>
      </c>
      <c r="Q566" s="39" t="str">
        <f t="shared" si="145"/>
        <v/>
      </c>
      <c r="R566" s="39" t="str">
        <f t="shared" si="146"/>
        <v/>
      </c>
      <c r="S566" s="107" t="str">
        <f t="shared" si="147"/>
        <v/>
      </c>
      <c r="T566" s="39" t="str">
        <f>IF($C566="","",IF(COUNTIF($C$2:$C566,$C566)=1,1,0))</f>
        <v/>
      </c>
      <c r="U566" s="39" t="str">
        <f>IF($T566=1,COUNTIF($T$2:$T566,1),"")</f>
        <v/>
      </c>
      <c r="V566" s="39" t="str">
        <f>IF($B566="","",IF(COUNTIF($B$2:$B566,$B566)=1,1,0))</f>
        <v/>
      </c>
      <c r="W566" s="39" t="str">
        <f>IF($V566=1,COUNTIF($V$2:$V566,1),"")</f>
        <v/>
      </c>
      <c r="X566" s="39" t="str">
        <f>IF($A566="","",IF(COUNTIF($A$2:$A566,$A566)=1,1,0))</f>
        <v/>
      </c>
      <c r="Y566" s="39" t="str">
        <f>IF($X566=1,COUNTIF($X$2:$X566,1),"")</f>
        <v/>
      </c>
      <c r="Z566" s="39">
        <f>IF(AND($E566="timed",$N566&gt;Settings!$C$8),1,0)</f>
        <v>0</v>
      </c>
      <c r="AA566" s="39">
        <f t="shared" si="148"/>
        <v>0</v>
      </c>
      <c r="AB566" s="39">
        <f t="shared" si="149"/>
        <v>0</v>
      </c>
      <c r="AC566" s="39" t="str">
        <f t="shared" si="150"/>
        <v/>
      </c>
      <c r="AD566" s="39" t="str">
        <f t="shared" si="151"/>
        <v/>
      </c>
      <c r="AE566" s="39" t="str">
        <f t="shared" si="152"/>
        <v/>
      </c>
      <c r="AF566" s="106" t="str">
        <f t="shared" si="153"/>
        <v/>
      </c>
      <c r="AG566" s="39">
        <f t="shared" si="154"/>
        <v>0</v>
      </c>
      <c r="AH566" s="39" t="str">
        <f t="shared" si="155"/>
        <v/>
      </c>
      <c r="AI566" s="39">
        <f>IF(AND($E566="timed",$N566&gt;=Settings!$C$9),1,0)</f>
        <v>0</v>
      </c>
      <c r="AJ566" s="39" t="str">
        <f>IF(OR($S566="",Settings!$C$16=""),"",IF($S566&lt;=Settings!$C$16,1,2))</f>
        <v/>
      </c>
      <c r="AK566" s="39" t="str">
        <f>IF($C566="","",IFERROR(IF(INDEX(Settings!$C$20:$C$59,MATCH($C566,Settings!$B$20:$B$59,0))="",Settings!$C$10,INDEX(Settings!$C$20:$C$59,MATCH($C566,Settings!$B$20:$B$59,0))),Settings!$C$10))</f>
        <v/>
      </c>
      <c r="AL566" s="108">
        <f t="shared" si="156"/>
        <v>0</v>
      </c>
      <c r="AM566" s="39" t="str">
        <f t="shared" si="157"/>
        <v/>
      </c>
      <c r="AN566" s="39" t="str">
        <f t="shared" si="158"/>
        <v/>
      </c>
      <c r="AO566" s="39" t="str">
        <f t="shared" si="159"/>
        <v/>
      </c>
      <c r="AP566" s="39">
        <f t="shared" si="160"/>
        <v>0</v>
      </c>
      <c r="AQ566" s="39">
        <f t="shared" si="161"/>
        <v>0</v>
      </c>
    </row>
    <row r="567" spans="14:43" x14ac:dyDescent="0.25">
      <c r="N567" s="105">
        <f t="shared" si="144"/>
        <v>0</v>
      </c>
      <c r="O567" s="106" t="str">
        <f>IF($F567="","",IF(ISNUMBER($F567),$F567+Settings!$C$7/24,IFERROR(DATEVALUE(LEFT($F567,10))+TIMEVALUE(MID($F567,12,8))+Settings!$C$7/24,"")))</f>
        <v/>
      </c>
      <c r="P567" s="106" t="str">
        <f>IF($G567="","",IF(ISNUMBER($G567),$G567+Settings!$C$7/24,IFERROR(DATEVALUE(LEFT($G567,10))+TIMEVALUE(MID($G567,12,8))+Settings!$C$7/24,"")))</f>
        <v/>
      </c>
      <c r="Q567" s="39" t="str">
        <f t="shared" si="145"/>
        <v/>
      </c>
      <c r="R567" s="39" t="str">
        <f t="shared" si="146"/>
        <v/>
      </c>
      <c r="S567" s="107" t="str">
        <f t="shared" si="147"/>
        <v/>
      </c>
      <c r="T567" s="39" t="str">
        <f>IF($C567="","",IF(COUNTIF($C$2:$C567,$C567)=1,1,0))</f>
        <v/>
      </c>
      <c r="U567" s="39" t="str">
        <f>IF($T567=1,COUNTIF($T$2:$T567,1),"")</f>
        <v/>
      </c>
      <c r="V567" s="39" t="str">
        <f>IF($B567="","",IF(COUNTIF($B$2:$B567,$B567)=1,1,0))</f>
        <v/>
      </c>
      <c r="W567" s="39" t="str">
        <f>IF($V567=1,COUNTIF($V$2:$V567,1),"")</f>
        <v/>
      </c>
      <c r="X567" s="39" t="str">
        <f>IF($A567="","",IF(COUNTIF($A$2:$A567,$A567)=1,1,0))</f>
        <v/>
      </c>
      <c r="Y567" s="39" t="str">
        <f>IF($X567=1,COUNTIF($X$2:$X567,1),"")</f>
        <v/>
      </c>
      <c r="Z567" s="39">
        <f>IF(AND($E567="timed",$N567&gt;Settings!$C$8),1,0)</f>
        <v>0</v>
      </c>
      <c r="AA567" s="39">
        <f t="shared" si="148"/>
        <v>0</v>
      </c>
      <c r="AB567" s="39">
        <f t="shared" si="149"/>
        <v>0</v>
      </c>
      <c r="AC567" s="39" t="str">
        <f t="shared" si="150"/>
        <v/>
      </c>
      <c r="AD567" s="39" t="str">
        <f t="shared" si="151"/>
        <v/>
      </c>
      <c r="AE567" s="39" t="str">
        <f t="shared" si="152"/>
        <v/>
      </c>
      <c r="AF567" s="106" t="str">
        <f t="shared" si="153"/>
        <v/>
      </c>
      <c r="AG567" s="39">
        <f t="shared" si="154"/>
        <v>0</v>
      </c>
      <c r="AH567" s="39" t="str">
        <f t="shared" si="155"/>
        <v/>
      </c>
      <c r="AI567" s="39">
        <f>IF(AND($E567="timed",$N567&gt;=Settings!$C$9),1,0)</f>
        <v>0</v>
      </c>
      <c r="AJ567" s="39" t="str">
        <f>IF(OR($S567="",Settings!$C$16=""),"",IF($S567&lt;=Settings!$C$16,1,2))</f>
        <v/>
      </c>
      <c r="AK567" s="39" t="str">
        <f>IF($C567="","",IFERROR(IF(INDEX(Settings!$C$20:$C$59,MATCH($C567,Settings!$B$20:$B$59,0))="",Settings!$C$10,INDEX(Settings!$C$20:$C$59,MATCH($C567,Settings!$B$20:$B$59,0))),Settings!$C$10))</f>
        <v/>
      </c>
      <c r="AL567" s="108">
        <f t="shared" si="156"/>
        <v>0</v>
      </c>
      <c r="AM567" s="39" t="str">
        <f t="shared" si="157"/>
        <v/>
      </c>
      <c r="AN567" s="39" t="str">
        <f t="shared" si="158"/>
        <v/>
      </c>
      <c r="AO567" s="39" t="str">
        <f t="shared" si="159"/>
        <v/>
      </c>
      <c r="AP567" s="39">
        <f t="shared" si="160"/>
        <v>0</v>
      </c>
      <c r="AQ567" s="39">
        <f t="shared" si="161"/>
        <v>0</v>
      </c>
    </row>
    <row r="568" spans="14:43" x14ac:dyDescent="0.25">
      <c r="N568" s="105">
        <f t="shared" si="144"/>
        <v>0</v>
      </c>
      <c r="O568" s="106" t="str">
        <f>IF($F568="","",IF(ISNUMBER($F568),$F568+Settings!$C$7/24,IFERROR(DATEVALUE(LEFT($F568,10))+TIMEVALUE(MID($F568,12,8))+Settings!$C$7/24,"")))</f>
        <v/>
      </c>
      <c r="P568" s="106" t="str">
        <f>IF($G568="","",IF(ISNUMBER($G568),$G568+Settings!$C$7/24,IFERROR(DATEVALUE(LEFT($G568,10))+TIMEVALUE(MID($G568,12,8))+Settings!$C$7/24,"")))</f>
        <v/>
      </c>
      <c r="Q568" s="39" t="str">
        <f t="shared" si="145"/>
        <v/>
      </c>
      <c r="R568" s="39" t="str">
        <f t="shared" si="146"/>
        <v/>
      </c>
      <c r="S568" s="107" t="str">
        <f t="shared" si="147"/>
        <v/>
      </c>
      <c r="T568" s="39" t="str">
        <f>IF($C568="","",IF(COUNTIF($C$2:$C568,$C568)=1,1,0))</f>
        <v/>
      </c>
      <c r="U568" s="39" t="str">
        <f>IF($T568=1,COUNTIF($T$2:$T568,1),"")</f>
        <v/>
      </c>
      <c r="V568" s="39" t="str">
        <f>IF($B568="","",IF(COUNTIF($B$2:$B568,$B568)=1,1,0))</f>
        <v/>
      </c>
      <c r="W568" s="39" t="str">
        <f>IF($V568=1,COUNTIF($V$2:$V568,1),"")</f>
        <v/>
      </c>
      <c r="X568" s="39" t="str">
        <f>IF($A568="","",IF(COUNTIF($A$2:$A568,$A568)=1,1,0))</f>
        <v/>
      </c>
      <c r="Y568" s="39" t="str">
        <f>IF($X568=1,COUNTIF($X$2:$X568,1),"")</f>
        <v/>
      </c>
      <c r="Z568" s="39">
        <f>IF(AND($E568="timed",$N568&gt;Settings!$C$8),1,0)</f>
        <v>0</v>
      </c>
      <c r="AA568" s="39">
        <f t="shared" si="148"/>
        <v>0</v>
      </c>
      <c r="AB568" s="39">
        <f t="shared" si="149"/>
        <v>0</v>
      </c>
      <c r="AC568" s="39" t="str">
        <f t="shared" si="150"/>
        <v/>
      </c>
      <c r="AD568" s="39" t="str">
        <f t="shared" si="151"/>
        <v/>
      </c>
      <c r="AE568" s="39" t="str">
        <f t="shared" si="152"/>
        <v/>
      </c>
      <c r="AF568" s="106" t="str">
        <f t="shared" si="153"/>
        <v/>
      </c>
      <c r="AG568" s="39">
        <f t="shared" si="154"/>
        <v>0</v>
      </c>
      <c r="AH568" s="39" t="str">
        <f t="shared" si="155"/>
        <v/>
      </c>
      <c r="AI568" s="39">
        <f>IF(AND($E568="timed",$N568&gt;=Settings!$C$9),1,0)</f>
        <v>0</v>
      </c>
      <c r="AJ568" s="39" t="str">
        <f>IF(OR($S568="",Settings!$C$16=""),"",IF($S568&lt;=Settings!$C$16,1,2))</f>
        <v/>
      </c>
      <c r="AK568" s="39" t="str">
        <f>IF($C568="","",IFERROR(IF(INDEX(Settings!$C$20:$C$59,MATCH($C568,Settings!$B$20:$B$59,0))="",Settings!$C$10,INDEX(Settings!$C$20:$C$59,MATCH($C568,Settings!$B$20:$B$59,0))),Settings!$C$10))</f>
        <v/>
      </c>
      <c r="AL568" s="108">
        <f t="shared" si="156"/>
        <v>0</v>
      </c>
      <c r="AM568" s="39" t="str">
        <f t="shared" si="157"/>
        <v/>
      </c>
      <c r="AN568" s="39" t="str">
        <f t="shared" si="158"/>
        <v/>
      </c>
      <c r="AO568" s="39" t="str">
        <f t="shared" si="159"/>
        <v/>
      </c>
      <c r="AP568" s="39">
        <f t="shared" si="160"/>
        <v>0</v>
      </c>
      <c r="AQ568" s="39">
        <f t="shared" si="161"/>
        <v>0</v>
      </c>
    </row>
    <row r="569" spans="14:43" x14ac:dyDescent="0.25">
      <c r="N569" s="105">
        <f t="shared" si="144"/>
        <v>0</v>
      </c>
      <c r="O569" s="106" t="str">
        <f>IF($F569="","",IF(ISNUMBER($F569),$F569+Settings!$C$7/24,IFERROR(DATEVALUE(LEFT($F569,10))+TIMEVALUE(MID($F569,12,8))+Settings!$C$7/24,"")))</f>
        <v/>
      </c>
      <c r="P569" s="106" t="str">
        <f>IF($G569="","",IF(ISNUMBER($G569),$G569+Settings!$C$7/24,IFERROR(DATEVALUE(LEFT($G569,10))+TIMEVALUE(MID($G569,12,8))+Settings!$C$7/24,"")))</f>
        <v/>
      </c>
      <c r="Q569" s="39" t="str">
        <f t="shared" si="145"/>
        <v/>
      </c>
      <c r="R569" s="39" t="str">
        <f t="shared" si="146"/>
        <v/>
      </c>
      <c r="S569" s="107" t="str">
        <f t="shared" si="147"/>
        <v/>
      </c>
      <c r="T569" s="39" t="str">
        <f>IF($C569="","",IF(COUNTIF($C$2:$C569,$C569)=1,1,0))</f>
        <v/>
      </c>
      <c r="U569" s="39" t="str">
        <f>IF($T569=1,COUNTIF($T$2:$T569,1),"")</f>
        <v/>
      </c>
      <c r="V569" s="39" t="str">
        <f>IF($B569="","",IF(COUNTIF($B$2:$B569,$B569)=1,1,0))</f>
        <v/>
      </c>
      <c r="W569" s="39" t="str">
        <f>IF($V569=1,COUNTIF($V$2:$V569,1),"")</f>
        <v/>
      </c>
      <c r="X569" s="39" t="str">
        <f>IF($A569="","",IF(COUNTIF($A$2:$A569,$A569)=1,1,0))</f>
        <v/>
      </c>
      <c r="Y569" s="39" t="str">
        <f>IF($X569=1,COUNTIF($X$2:$X569,1),"")</f>
        <v/>
      </c>
      <c r="Z569" s="39">
        <f>IF(AND($E569="timed",$N569&gt;Settings!$C$8),1,0)</f>
        <v>0</v>
      </c>
      <c r="AA569" s="39">
        <f t="shared" si="148"/>
        <v>0</v>
      </c>
      <c r="AB569" s="39">
        <f t="shared" si="149"/>
        <v>0</v>
      </c>
      <c r="AC569" s="39" t="str">
        <f t="shared" si="150"/>
        <v/>
      </c>
      <c r="AD569" s="39" t="str">
        <f t="shared" si="151"/>
        <v/>
      </c>
      <c r="AE569" s="39" t="str">
        <f t="shared" si="152"/>
        <v/>
      </c>
      <c r="AF569" s="106" t="str">
        <f t="shared" si="153"/>
        <v/>
      </c>
      <c r="AG569" s="39">
        <f t="shared" si="154"/>
        <v>0</v>
      </c>
      <c r="AH569" s="39" t="str">
        <f t="shared" si="155"/>
        <v/>
      </c>
      <c r="AI569" s="39">
        <f>IF(AND($E569="timed",$N569&gt;=Settings!$C$9),1,0)</f>
        <v>0</v>
      </c>
      <c r="AJ569" s="39" t="str">
        <f>IF(OR($S569="",Settings!$C$16=""),"",IF($S569&lt;=Settings!$C$16,1,2))</f>
        <v/>
      </c>
      <c r="AK569" s="39" t="str">
        <f>IF($C569="","",IFERROR(IF(INDEX(Settings!$C$20:$C$59,MATCH($C569,Settings!$B$20:$B$59,0))="",Settings!$C$10,INDEX(Settings!$C$20:$C$59,MATCH($C569,Settings!$B$20:$B$59,0))),Settings!$C$10))</f>
        <v/>
      </c>
      <c r="AL569" s="108">
        <f t="shared" si="156"/>
        <v>0</v>
      </c>
      <c r="AM569" s="39" t="str">
        <f t="shared" si="157"/>
        <v/>
      </c>
      <c r="AN569" s="39" t="str">
        <f t="shared" si="158"/>
        <v/>
      </c>
      <c r="AO569" s="39" t="str">
        <f t="shared" si="159"/>
        <v/>
      </c>
      <c r="AP569" s="39">
        <f t="shared" si="160"/>
        <v>0</v>
      </c>
      <c r="AQ569" s="39">
        <f t="shared" si="161"/>
        <v>0</v>
      </c>
    </row>
    <row r="570" spans="14:43" x14ac:dyDescent="0.25">
      <c r="N570" s="105">
        <f t="shared" si="144"/>
        <v>0</v>
      </c>
      <c r="O570" s="106" t="str">
        <f>IF($F570="","",IF(ISNUMBER($F570),$F570+Settings!$C$7/24,IFERROR(DATEVALUE(LEFT($F570,10))+TIMEVALUE(MID($F570,12,8))+Settings!$C$7/24,"")))</f>
        <v/>
      </c>
      <c r="P570" s="106" t="str">
        <f>IF($G570="","",IF(ISNUMBER($G570),$G570+Settings!$C$7/24,IFERROR(DATEVALUE(LEFT($G570,10))+TIMEVALUE(MID($G570,12,8))+Settings!$C$7/24,"")))</f>
        <v/>
      </c>
      <c r="Q570" s="39" t="str">
        <f t="shared" si="145"/>
        <v/>
      </c>
      <c r="R570" s="39" t="str">
        <f t="shared" si="146"/>
        <v/>
      </c>
      <c r="S570" s="107" t="str">
        <f t="shared" si="147"/>
        <v/>
      </c>
      <c r="T570" s="39" t="str">
        <f>IF($C570="","",IF(COUNTIF($C$2:$C570,$C570)=1,1,0))</f>
        <v/>
      </c>
      <c r="U570" s="39" t="str">
        <f>IF($T570=1,COUNTIF($T$2:$T570,1),"")</f>
        <v/>
      </c>
      <c r="V570" s="39" t="str">
        <f>IF($B570="","",IF(COUNTIF($B$2:$B570,$B570)=1,1,0))</f>
        <v/>
      </c>
      <c r="W570" s="39" t="str">
        <f>IF($V570=1,COUNTIF($V$2:$V570,1),"")</f>
        <v/>
      </c>
      <c r="X570" s="39" t="str">
        <f>IF($A570="","",IF(COUNTIF($A$2:$A570,$A570)=1,1,0))</f>
        <v/>
      </c>
      <c r="Y570" s="39" t="str">
        <f>IF($X570=1,COUNTIF($X$2:$X570,1),"")</f>
        <v/>
      </c>
      <c r="Z570" s="39">
        <f>IF(AND($E570="timed",$N570&gt;Settings!$C$8),1,0)</f>
        <v>0</v>
      </c>
      <c r="AA570" s="39">
        <f t="shared" si="148"/>
        <v>0</v>
      </c>
      <c r="AB570" s="39">
        <f t="shared" si="149"/>
        <v>0</v>
      </c>
      <c r="AC570" s="39" t="str">
        <f t="shared" si="150"/>
        <v/>
      </c>
      <c r="AD570" s="39" t="str">
        <f t="shared" si="151"/>
        <v/>
      </c>
      <c r="AE570" s="39" t="str">
        <f t="shared" si="152"/>
        <v/>
      </c>
      <c r="AF570" s="106" t="str">
        <f t="shared" si="153"/>
        <v/>
      </c>
      <c r="AG570" s="39">
        <f t="shared" si="154"/>
        <v>0</v>
      </c>
      <c r="AH570" s="39" t="str">
        <f t="shared" si="155"/>
        <v/>
      </c>
      <c r="AI570" s="39">
        <f>IF(AND($E570="timed",$N570&gt;=Settings!$C$9),1,0)</f>
        <v>0</v>
      </c>
      <c r="AJ570" s="39" t="str">
        <f>IF(OR($S570="",Settings!$C$16=""),"",IF($S570&lt;=Settings!$C$16,1,2))</f>
        <v/>
      </c>
      <c r="AK570" s="39" t="str">
        <f>IF($C570="","",IFERROR(IF(INDEX(Settings!$C$20:$C$59,MATCH($C570,Settings!$B$20:$B$59,0))="",Settings!$C$10,INDEX(Settings!$C$20:$C$59,MATCH($C570,Settings!$B$20:$B$59,0))),Settings!$C$10))</f>
        <v/>
      </c>
      <c r="AL570" s="108">
        <f t="shared" si="156"/>
        <v>0</v>
      </c>
      <c r="AM570" s="39" t="str">
        <f t="shared" si="157"/>
        <v/>
      </c>
      <c r="AN570" s="39" t="str">
        <f t="shared" si="158"/>
        <v/>
      </c>
      <c r="AO570" s="39" t="str">
        <f t="shared" si="159"/>
        <v/>
      </c>
      <c r="AP570" s="39">
        <f t="shared" si="160"/>
        <v>0</v>
      </c>
      <c r="AQ570" s="39">
        <f t="shared" si="161"/>
        <v>0</v>
      </c>
    </row>
    <row r="571" spans="14:43" x14ac:dyDescent="0.25">
      <c r="N571" s="105">
        <f t="shared" si="144"/>
        <v>0</v>
      </c>
      <c r="O571" s="106" t="str">
        <f>IF($F571="","",IF(ISNUMBER($F571),$F571+Settings!$C$7/24,IFERROR(DATEVALUE(LEFT($F571,10))+TIMEVALUE(MID($F571,12,8))+Settings!$C$7/24,"")))</f>
        <v/>
      </c>
      <c r="P571" s="106" t="str">
        <f>IF($G571="","",IF(ISNUMBER($G571),$G571+Settings!$C$7/24,IFERROR(DATEVALUE(LEFT($G571,10))+TIMEVALUE(MID($G571,12,8))+Settings!$C$7/24,"")))</f>
        <v/>
      </c>
      <c r="Q571" s="39" t="str">
        <f t="shared" si="145"/>
        <v/>
      </c>
      <c r="R571" s="39" t="str">
        <f t="shared" si="146"/>
        <v/>
      </c>
      <c r="S571" s="107" t="str">
        <f t="shared" si="147"/>
        <v/>
      </c>
      <c r="T571" s="39" t="str">
        <f>IF($C571="","",IF(COUNTIF($C$2:$C571,$C571)=1,1,0))</f>
        <v/>
      </c>
      <c r="U571" s="39" t="str">
        <f>IF($T571=1,COUNTIF($T$2:$T571,1),"")</f>
        <v/>
      </c>
      <c r="V571" s="39" t="str">
        <f>IF($B571="","",IF(COUNTIF($B$2:$B571,$B571)=1,1,0))</f>
        <v/>
      </c>
      <c r="W571" s="39" t="str">
        <f>IF($V571=1,COUNTIF($V$2:$V571,1),"")</f>
        <v/>
      </c>
      <c r="X571" s="39" t="str">
        <f>IF($A571="","",IF(COUNTIF($A$2:$A571,$A571)=1,1,0))</f>
        <v/>
      </c>
      <c r="Y571" s="39" t="str">
        <f>IF($X571=1,COUNTIF($X$2:$X571,1),"")</f>
        <v/>
      </c>
      <c r="Z571" s="39">
        <f>IF(AND($E571="timed",$N571&gt;Settings!$C$8),1,0)</f>
        <v>0</v>
      </c>
      <c r="AA571" s="39">
        <f t="shared" si="148"/>
        <v>0</v>
      </c>
      <c r="AB571" s="39">
        <f t="shared" si="149"/>
        <v>0</v>
      </c>
      <c r="AC571" s="39" t="str">
        <f t="shared" si="150"/>
        <v/>
      </c>
      <c r="AD571" s="39" t="str">
        <f t="shared" si="151"/>
        <v/>
      </c>
      <c r="AE571" s="39" t="str">
        <f t="shared" si="152"/>
        <v/>
      </c>
      <c r="AF571" s="106" t="str">
        <f t="shared" si="153"/>
        <v/>
      </c>
      <c r="AG571" s="39">
        <f t="shared" si="154"/>
        <v>0</v>
      </c>
      <c r="AH571" s="39" t="str">
        <f t="shared" si="155"/>
        <v/>
      </c>
      <c r="AI571" s="39">
        <f>IF(AND($E571="timed",$N571&gt;=Settings!$C$9),1,0)</f>
        <v>0</v>
      </c>
      <c r="AJ571" s="39" t="str">
        <f>IF(OR($S571="",Settings!$C$16=""),"",IF($S571&lt;=Settings!$C$16,1,2))</f>
        <v/>
      </c>
      <c r="AK571" s="39" t="str">
        <f>IF($C571="","",IFERROR(IF(INDEX(Settings!$C$20:$C$59,MATCH($C571,Settings!$B$20:$B$59,0))="",Settings!$C$10,INDEX(Settings!$C$20:$C$59,MATCH($C571,Settings!$B$20:$B$59,0))),Settings!$C$10))</f>
        <v/>
      </c>
      <c r="AL571" s="108">
        <f t="shared" si="156"/>
        <v>0</v>
      </c>
      <c r="AM571" s="39" t="str">
        <f t="shared" si="157"/>
        <v/>
      </c>
      <c r="AN571" s="39" t="str">
        <f t="shared" si="158"/>
        <v/>
      </c>
      <c r="AO571" s="39" t="str">
        <f t="shared" si="159"/>
        <v/>
      </c>
      <c r="AP571" s="39">
        <f t="shared" si="160"/>
        <v>0</v>
      </c>
      <c r="AQ571" s="39">
        <f t="shared" si="161"/>
        <v>0</v>
      </c>
    </row>
    <row r="572" spans="14:43" x14ac:dyDescent="0.25">
      <c r="N572" s="105">
        <f t="shared" si="144"/>
        <v>0</v>
      </c>
      <c r="O572" s="106" t="str">
        <f>IF($F572="","",IF(ISNUMBER($F572),$F572+Settings!$C$7/24,IFERROR(DATEVALUE(LEFT($F572,10))+TIMEVALUE(MID($F572,12,8))+Settings!$C$7/24,"")))</f>
        <v/>
      </c>
      <c r="P572" s="106" t="str">
        <f>IF($G572="","",IF(ISNUMBER($G572),$G572+Settings!$C$7/24,IFERROR(DATEVALUE(LEFT($G572,10))+TIMEVALUE(MID($G572,12,8))+Settings!$C$7/24,"")))</f>
        <v/>
      </c>
      <c r="Q572" s="39" t="str">
        <f t="shared" si="145"/>
        <v/>
      </c>
      <c r="R572" s="39" t="str">
        <f t="shared" si="146"/>
        <v/>
      </c>
      <c r="S572" s="107" t="str">
        <f t="shared" si="147"/>
        <v/>
      </c>
      <c r="T572" s="39" t="str">
        <f>IF($C572="","",IF(COUNTIF($C$2:$C572,$C572)=1,1,0))</f>
        <v/>
      </c>
      <c r="U572" s="39" t="str">
        <f>IF($T572=1,COUNTIF($T$2:$T572,1),"")</f>
        <v/>
      </c>
      <c r="V572" s="39" t="str">
        <f>IF($B572="","",IF(COUNTIF($B$2:$B572,$B572)=1,1,0))</f>
        <v/>
      </c>
      <c r="W572" s="39" t="str">
        <f>IF($V572=1,COUNTIF($V$2:$V572,1),"")</f>
        <v/>
      </c>
      <c r="X572" s="39" t="str">
        <f>IF($A572="","",IF(COUNTIF($A$2:$A572,$A572)=1,1,0))</f>
        <v/>
      </c>
      <c r="Y572" s="39" t="str">
        <f>IF($X572=1,COUNTIF($X$2:$X572,1),"")</f>
        <v/>
      </c>
      <c r="Z572" s="39">
        <f>IF(AND($E572="timed",$N572&gt;Settings!$C$8),1,0)</f>
        <v>0</v>
      </c>
      <c r="AA572" s="39">
        <f t="shared" si="148"/>
        <v>0</v>
      </c>
      <c r="AB572" s="39">
        <f t="shared" si="149"/>
        <v>0</v>
      </c>
      <c r="AC572" s="39" t="str">
        <f t="shared" si="150"/>
        <v/>
      </c>
      <c r="AD572" s="39" t="str">
        <f t="shared" si="151"/>
        <v/>
      </c>
      <c r="AE572" s="39" t="str">
        <f t="shared" si="152"/>
        <v/>
      </c>
      <c r="AF572" s="106" t="str">
        <f t="shared" si="153"/>
        <v/>
      </c>
      <c r="AG572" s="39">
        <f t="shared" si="154"/>
        <v>0</v>
      </c>
      <c r="AH572" s="39" t="str">
        <f t="shared" si="155"/>
        <v/>
      </c>
      <c r="AI572" s="39">
        <f>IF(AND($E572="timed",$N572&gt;=Settings!$C$9),1,0)</f>
        <v>0</v>
      </c>
      <c r="AJ572" s="39" t="str">
        <f>IF(OR($S572="",Settings!$C$16=""),"",IF($S572&lt;=Settings!$C$16,1,2))</f>
        <v/>
      </c>
      <c r="AK572" s="39" t="str">
        <f>IF($C572="","",IFERROR(IF(INDEX(Settings!$C$20:$C$59,MATCH($C572,Settings!$B$20:$B$59,0))="",Settings!$C$10,INDEX(Settings!$C$20:$C$59,MATCH($C572,Settings!$B$20:$B$59,0))),Settings!$C$10))</f>
        <v/>
      </c>
      <c r="AL572" s="108">
        <f t="shared" si="156"/>
        <v>0</v>
      </c>
      <c r="AM572" s="39" t="str">
        <f t="shared" si="157"/>
        <v/>
      </c>
      <c r="AN572" s="39" t="str">
        <f t="shared" si="158"/>
        <v/>
      </c>
      <c r="AO572" s="39" t="str">
        <f t="shared" si="159"/>
        <v/>
      </c>
      <c r="AP572" s="39">
        <f t="shared" si="160"/>
        <v>0</v>
      </c>
      <c r="AQ572" s="39">
        <f t="shared" si="161"/>
        <v>0</v>
      </c>
    </row>
    <row r="573" spans="14:43" x14ac:dyDescent="0.25">
      <c r="N573" s="105">
        <f t="shared" si="144"/>
        <v>0</v>
      </c>
      <c r="O573" s="106" t="str">
        <f>IF($F573="","",IF(ISNUMBER($F573),$F573+Settings!$C$7/24,IFERROR(DATEVALUE(LEFT($F573,10))+TIMEVALUE(MID($F573,12,8))+Settings!$C$7/24,"")))</f>
        <v/>
      </c>
      <c r="P573" s="106" t="str">
        <f>IF($G573="","",IF(ISNUMBER($G573),$G573+Settings!$C$7/24,IFERROR(DATEVALUE(LEFT($G573,10))+TIMEVALUE(MID($G573,12,8))+Settings!$C$7/24,"")))</f>
        <v/>
      </c>
      <c r="Q573" s="39" t="str">
        <f t="shared" si="145"/>
        <v/>
      </c>
      <c r="R573" s="39" t="str">
        <f t="shared" si="146"/>
        <v/>
      </c>
      <c r="S573" s="107" t="str">
        <f t="shared" si="147"/>
        <v/>
      </c>
      <c r="T573" s="39" t="str">
        <f>IF($C573="","",IF(COUNTIF($C$2:$C573,$C573)=1,1,0))</f>
        <v/>
      </c>
      <c r="U573" s="39" t="str">
        <f>IF($T573=1,COUNTIF($T$2:$T573,1),"")</f>
        <v/>
      </c>
      <c r="V573" s="39" t="str">
        <f>IF($B573="","",IF(COUNTIF($B$2:$B573,$B573)=1,1,0))</f>
        <v/>
      </c>
      <c r="W573" s="39" t="str">
        <f>IF($V573=1,COUNTIF($V$2:$V573,1),"")</f>
        <v/>
      </c>
      <c r="X573" s="39" t="str">
        <f>IF($A573="","",IF(COUNTIF($A$2:$A573,$A573)=1,1,0))</f>
        <v/>
      </c>
      <c r="Y573" s="39" t="str">
        <f>IF($X573=1,COUNTIF($X$2:$X573,1),"")</f>
        <v/>
      </c>
      <c r="Z573" s="39">
        <f>IF(AND($E573="timed",$N573&gt;Settings!$C$8),1,0)</f>
        <v>0</v>
      </c>
      <c r="AA573" s="39">
        <f t="shared" si="148"/>
        <v>0</v>
      </c>
      <c r="AB573" s="39">
        <f t="shared" si="149"/>
        <v>0</v>
      </c>
      <c r="AC573" s="39" t="str">
        <f t="shared" si="150"/>
        <v/>
      </c>
      <c r="AD573" s="39" t="str">
        <f t="shared" si="151"/>
        <v/>
      </c>
      <c r="AE573" s="39" t="str">
        <f t="shared" si="152"/>
        <v/>
      </c>
      <c r="AF573" s="106" t="str">
        <f t="shared" si="153"/>
        <v/>
      </c>
      <c r="AG573" s="39">
        <f t="shared" si="154"/>
        <v>0</v>
      </c>
      <c r="AH573" s="39" t="str">
        <f t="shared" si="155"/>
        <v/>
      </c>
      <c r="AI573" s="39">
        <f>IF(AND($E573="timed",$N573&gt;=Settings!$C$9),1,0)</f>
        <v>0</v>
      </c>
      <c r="AJ573" s="39" t="str">
        <f>IF(OR($S573="",Settings!$C$16=""),"",IF($S573&lt;=Settings!$C$16,1,2))</f>
        <v/>
      </c>
      <c r="AK573" s="39" t="str">
        <f>IF($C573="","",IFERROR(IF(INDEX(Settings!$C$20:$C$59,MATCH($C573,Settings!$B$20:$B$59,0))="",Settings!$C$10,INDEX(Settings!$C$20:$C$59,MATCH($C573,Settings!$B$20:$B$59,0))),Settings!$C$10))</f>
        <v/>
      </c>
      <c r="AL573" s="108">
        <f t="shared" si="156"/>
        <v>0</v>
      </c>
      <c r="AM573" s="39" t="str">
        <f t="shared" si="157"/>
        <v/>
      </c>
      <c r="AN573" s="39" t="str">
        <f t="shared" si="158"/>
        <v/>
      </c>
      <c r="AO573" s="39" t="str">
        <f t="shared" si="159"/>
        <v/>
      </c>
      <c r="AP573" s="39">
        <f t="shared" si="160"/>
        <v>0</v>
      </c>
      <c r="AQ573" s="39">
        <f t="shared" si="161"/>
        <v>0</v>
      </c>
    </row>
    <row r="574" spans="14:43" x14ac:dyDescent="0.25">
      <c r="N574" s="105">
        <f t="shared" si="144"/>
        <v>0</v>
      </c>
      <c r="O574" s="106" t="str">
        <f>IF($F574="","",IF(ISNUMBER($F574),$F574+Settings!$C$7/24,IFERROR(DATEVALUE(LEFT($F574,10))+TIMEVALUE(MID($F574,12,8))+Settings!$C$7/24,"")))</f>
        <v/>
      </c>
      <c r="P574" s="106" t="str">
        <f>IF($G574="","",IF(ISNUMBER($G574),$G574+Settings!$C$7/24,IFERROR(DATEVALUE(LEFT($G574,10))+TIMEVALUE(MID($G574,12,8))+Settings!$C$7/24,"")))</f>
        <v/>
      </c>
      <c r="Q574" s="39" t="str">
        <f t="shared" si="145"/>
        <v/>
      </c>
      <c r="R574" s="39" t="str">
        <f t="shared" si="146"/>
        <v/>
      </c>
      <c r="S574" s="107" t="str">
        <f t="shared" si="147"/>
        <v/>
      </c>
      <c r="T574" s="39" t="str">
        <f>IF($C574="","",IF(COUNTIF($C$2:$C574,$C574)=1,1,0))</f>
        <v/>
      </c>
      <c r="U574" s="39" t="str">
        <f>IF($T574=1,COUNTIF($T$2:$T574,1),"")</f>
        <v/>
      </c>
      <c r="V574" s="39" t="str">
        <f>IF($B574="","",IF(COUNTIF($B$2:$B574,$B574)=1,1,0))</f>
        <v/>
      </c>
      <c r="W574" s="39" t="str">
        <f>IF($V574=1,COUNTIF($V$2:$V574,1),"")</f>
        <v/>
      </c>
      <c r="X574" s="39" t="str">
        <f>IF($A574="","",IF(COUNTIF($A$2:$A574,$A574)=1,1,0))</f>
        <v/>
      </c>
      <c r="Y574" s="39" t="str">
        <f>IF($X574=1,COUNTIF($X$2:$X574,1),"")</f>
        <v/>
      </c>
      <c r="Z574" s="39">
        <f>IF(AND($E574="timed",$N574&gt;Settings!$C$8),1,0)</f>
        <v>0</v>
      </c>
      <c r="AA574" s="39">
        <f t="shared" si="148"/>
        <v>0</v>
      </c>
      <c r="AB574" s="39">
        <f t="shared" si="149"/>
        <v>0</v>
      </c>
      <c r="AC574" s="39" t="str">
        <f t="shared" si="150"/>
        <v/>
      </c>
      <c r="AD574" s="39" t="str">
        <f t="shared" si="151"/>
        <v/>
      </c>
      <c r="AE574" s="39" t="str">
        <f t="shared" si="152"/>
        <v/>
      </c>
      <c r="AF574" s="106" t="str">
        <f t="shared" si="153"/>
        <v/>
      </c>
      <c r="AG574" s="39">
        <f t="shared" si="154"/>
        <v>0</v>
      </c>
      <c r="AH574" s="39" t="str">
        <f t="shared" si="155"/>
        <v/>
      </c>
      <c r="AI574" s="39">
        <f>IF(AND($E574="timed",$N574&gt;=Settings!$C$9),1,0)</f>
        <v>0</v>
      </c>
      <c r="AJ574" s="39" t="str">
        <f>IF(OR($S574="",Settings!$C$16=""),"",IF($S574&lt;=Settings!$C$16,1,2))</f>
        <v/>
      </c>
      <c r="AK574" s="39" t="str">
        <f>IF($C574="","",IFERROR(IF(INDEX(Settings!$C$20:$C$59,MATCH($C574,Settings!$B$20:$B$59,0))="",Settings!$C$10,INDEX(Settings!$C$20:$C$59,MATCH($C574,Settings!$B$20:$B$59,0))),Settings!$C$10))</f>
        <v/>
      </c>
      <c r="AL574" s="108">
        <f t="shared" si="156"/>
        <v>0</v>
      </c>
      <c r="AM574" s="39" t="str">
        <f t="shared" si="157"/>
        <v/>
      </c>
      <c r="AN574" s="39" t="str">
        <f t="shared" si="158"/>
        <v/>
      </c>
      <c r="AO574" s="39" t="str">
        <f t="shared" si="159"/>
        <v/>
      </c>
      <c r="AP574" s="39">
        <f t="shared" si="160"/>
        <v>0</v>
      </c>
      <c r="AQ574" s="39">
        <f t="shared" si="161"/>
        <v>0</v>
      </c>
    </row>
    <row r="575" spans="14:43" x14ac:dyDescent="0.25">
      <c r="N575" s="105">
        <f t="shared" si="144"/>
        <v>0</v>
      </c>
      <c r="O575" s="106" t="str">
        <f>IF($F575="","",IF(ISNUMBER($F575),$F575+Settings!$C$7/24,IFERROR(DATEVALUE(LEFT($F575,10))+TIMEVALUE(MID($F575,12,8))+Settings!$C$7/24,"")))</f>
        <v/>
      </c>
      <c r="P575" s="106" t="str">
        <f>IF($G575="","",IF(ISNUMBER($G575),$G575+Settings!$C$7/24,IFERROR(DATEVALUE(LEFT($G575,10))+TIMEVALUE(MID($G575,12,8))+Settings!$C$7/24,"")))</f>
        <v/>
      </c>
      <c r="Q575" s="39" t="str">
        <f t="shared" si="145"/>
        <v/>
      </c>
      <c r="R575" s="39" t="str">
        <f t="shared" si="146"/>
        <v/>
      </c>
      <c r="S575" s="107" t="str">
        <f t="shared" si="147"/>
        <v/>
      </c>
      <c r="T575" s="39" t="str">
        <f>IF($C575="","",IF(COUNTIF($C$2:$C575,$C575)=1,1,0))</f>
        <v/>
      </c>
      <c r="U575" s="39" t="str">
        <f>IF($T575=1,COUNTIF($T$2:$T575,1),"")</f>
        <v/>
      </c>
      <c r="V575" s="39" t="str">
        <f>IF($B575="","",IF(COUNTIF($B$2:$B575,$B575)=1,1,0))</f>
        <v/>
      </c>
      <c r="W575" s="39" t="str">
        <f>IF($V575=1,COUNTIF($V$2:$V575,1),"")</f>
        <v/>
      </c>
      <c r="X575" s="39" t="str">
        <f>IF($A575="","",IF(COUNTIF($A$2:$A575,$A575)=1,1,0))</f>
        <v/>
      </c>
      <c r="Y575" s="39" t="str">
        <f>IF($X575=1,COUNTIF($X$2:$X575,1),"")</f>
        <v/>
      </c>
      <c r="Z575" s="39">
        <f>IF(AND($E575="timed",$N575&gt;Settings!$C$8),1,0)</f>
        <v>0</v>
      </c>
      <c r="AA575" s="39">
        <f t="shared" si="148"/>
        <v>0</v>
      </c>
      <c r="AB575" s="39">
        <f t="shared" si="149"/>
        <v>0</v>
      </c>
      <c r="AC575" s="39" t="str">
        <f t="shared" si="150"/>
        <v/>
      </c>
      <c r="AD575" s="39" t="str">
        <f t="shared" si="151"/>
        <v/>
      </c>
      <c r="AE575" s="39" t="str">
        <f t="shared" si="152"/>
        <v/>
      </c>
      <c r="AF575" s="106" t="str">
        <f t="shared" si="153"/>
        <v/>
      </c>
      <c r="AG575" s="39">
        <f t="shared" si="154"/>
        <v>0</v>
      </c>
      <c r="AH575" s="39" t="str">
        <f t="shared" si="155"/>
        <v/>
      </c>
      <c r="AI575" s="39">
        <f>IF(AND($E575="timed",$N575&gt;=Settings!$C$9),1,0)</f>
        <v>0</v>
      </c>
      <c r="AJ575" s="39" t="str">
        <f>IF(OR($S575="",Settings!$C$16=""),"",IF($S575&lt;=Settings!$C$16,1,2))</f>
        <v/>
      </c>
      <c r="AK575" s="39" t="str">
        <f>IF($C575="","",IFERROR(IF(INDEX(Settings!$C$20:$C$59,MATCH($C575,Settings!$B$20:$B$59,0))="",Settings!$C$10,INDEX(Settings!$C$20:$C$59,MATCH($C575,Settings!$B$20:$B$59,0))),Settings!$C$10))</f>
        <v/>
      </c>
      <c r="AL575" s="108">
        <f t="shared" si="156"/>
        <v>0</v>
      </c>
      <c r="AM575" s="39" t="str">
        <f t="shared" si="157"/>
        <v/>
      </c>
      <c r="AN575" s="39" t="str">
        <f t="shared" si="158"/>
        <v/>
      </c>
      <c r="AO575" s="39" t="str">
        <f t="shared" si="159"/>
        <v/>
      </c>
      <c r="AP575" s="39">
        <f t="shared" si="160"/>
        <v>0</v>
      </c>
      <c r="AQ575" s="39">
        <f t="shared" si="161"/>
        <v>0</v>
      </c>
    </row>
    <row r="576" spans="14:43" x14ac:dyDescent="0.25">
      <c r="N576" s="105">
        <f t="shared" si="144"/>
        <v>0</v>
      </c>
      <c r="O576" s="106" t="str">
        <f>IF($F576="","",IF(ISNUMBER($F576),$F576+Settings!$C$7/24,IFERROR(DATEVALUE(LEFT($F576,10))+TIMEVALUE(MID($F576,12,8))+Settings!$C$7/24,"")))</f>
        <v/>
      </c>
      <c r="P576" s="106" t="str">
        <f>IF($G576="","",IF(ISNUMBER($G576),$G576+Settings!$C$7/24,IFERROR(DATEVALUE(LEFT($G576,10))+TIMEVALUE(MID($G576,12,8))+Settings!$C$7/24,"")))</f>
        <v/>
      </c>
      <c r="Q576" s="39" t="str">
        <f t="shared" si="145"/>
        <v/>
      </c>
      <c r="R576" s="39" t="str">
        <f t="shared" si="146"/>
        <v/>
      </c>
      <c r="S576" s="107" t="str">
        <f t="shared" si="147"/>
        <v/>
      </c>
      <c r="T576" s="39" t="str">
        <f>IF($C576="","",IF(COUNTIF($C$2:$C576,$C576)=1,1,0))</f>
        <v/>
      </c>
      <c r="U576" s="39" t="str">
        <f>IF($T576=1,COUNTIF($T$2:$T576,1),"")</f>
        <v/>
      </c>
      <c r="V576" s="39" t="str">
        <f>IF($B576="","",IF(COUNTIF($B$2:$B576,$B576)=1,1,0))</f>
        <v/>
      </c>
      <c r="W576" s="39" t="str">
        <f>IF($V576=1,COUNTIF($V$2:$V576,1),"")</f>
        <v/>
      </c>
      <c r="X576" s="39" t="str">
        <f>IF($A576="","",IF(COUNTIF($A$2:$A576,$A576)=1,1,0))</f>
        <v/>
      </c>
      <c r="Y576" s="39" t="str">
        <f>IF($X576=1,COUNTIF($X$2:$X576,1),"")</f>
        <v/>
      </c>
      <c r="Z576" s="39">
        <f>IF(AND($E576="timed",$N576&gt;Settings!$C$8),1,0)</f>
        <v>0</v>
      </c>
      <c r="AA576" s="39">
        <f t="shared" si="148"/>
        <v>0</v>
      </c>
      <c r="AB576" s="39">
        <f t="shared" si="149"/>
        <v>0</v>
      </c>
      <c r="AC576" s="39" t="str">
        <f t="shared" si="150"/>
        <v/>
      </c>
      <c r="AD576" s="39" t="str">
        <f t="shared" si="151"/>
        <v/>
      </c>
      <c r="AE576" s="39" t="str">
        <f t="shared" si="152"/>
        <v/>
      </c>
      <c r="AF576" s="106" t="str">
        <f t="shared" si="153"/>
        <v/>
      </c>
      <c r="AG576" s="39">
        <f t="shared" si="154"/>
        <v>0</v>
      </c>
      <c r="AH576" s="39" t="str">
        <f t="shared" si="155"/>
        <v/>
      </c>
      <c r="AI576" s="39">
        <f>IF(AND($E576="timed",$N576&gt;=Settings!$C$9),1,0)</f>
        <v>0</v>
      </c>
      <c r="AJ576" s="39" t="str">
        <f>IF(OR($S576="",Settings!$C$16=""),"",IF($S576&lt;=Settings!$C$16,1,2))</f>
        <v/>
      </c>
      <c r="AK576" s="39" t="str">
        <f>IF($C576="","",IFERROR(IF(INDEX(Settings!$C$20:$C$59,MATCH($C576,Settings!$B$20:$B$59,0))="",Settings!$C$10,INDEX(Settings!$C$20:$C$59,MATCH($C576,Settings!$B$20:$B$59,0))),Settings!$C$10))</f>
        <v/>
      </c>
      <c r="AL576" s="108">
        <f t="shared" si="156"/>
        <v>0</v>
      </c>
      <c r="AM576" s="39" t="str">
        <f t="shared" si="157"/>
        <v/>
      </c>
      <c r="AN576" s="39" t="str">
        <f t="shared" si="158"/>
        <v/>
      </c>
      <c r="AO576" s="39" t="str">
        <f t="shared" si="159"/>
        <v/>
      </c>
      <c r="AP576" s="39">
        <f t="shared" si="160"/>
        <v>0</v>
      </c>
      <c r="AQ576" s="39">
        <f t="shared" si="161"/>
        <v>0</v>
      </c>
    </row>
    <row r="577" spans="14:43" x14ac:dyDescent="0.25">
      <c r="N577" s="105">
        <f t="shared" si="144"/>
        <v>0</v>
      </c>
      <c r="O577" s="106" t="str">
        <f>IF($F577="","",IF(ISNUMBER($F577),$F577+Settings!$C$7/24,IFERROR(DATEVALUE(LEFT($F577,10))+TIMEVALUE(MID($F577,12,8))+Settings!$C$7/24,"")))</f>
        <v/>
      </c>
      <c r="P577" s="106" t="str">
        <f>IF($G577="","",IF(ISNUMBER($G577),$G577+Settings!$C$7/24,IFERROR(DATEVALUE(LEFT($G577,10))+TIMEVALUE(MID($G577,12,8))+Settings!$C$7/24,"")))</f>
        <v/>
      </c>
      <c r="Q577" s="39" t="str">
        <f t="shared" si="145"/>
        <v/>
      </c>
      <c r="R577" s="39" t="str">
        <f t="shared" si="146"/>
        <v/>
      </c>
      <c r="S577" s="107" t="str">
        <f t="shared" si="147"/>
        <v/>
      </c>
      <c r="T577" s="39" t="str">
        <f>IF($C577="","",IF(COUNTIF($C$2:$C577,$C577)=1,1,0))</f>
        <v/>
      </c>
      <c r="U577" s="39" t="str">
        <f>IF($T577=1,COUNTIF($T$2:$T577,1),"")</f>
        <v/>
      </c>
      <c r="V577" s="39" t="str">
        <f>IF($B577="","",IF(COUNTIF($B$2:$B577,$B577)=1,1,0))</f>
        <v/>
      </c>
      <c r="W577" s="39" t="str">
        <f>IF($V577=1,COUNTIF($V$2:$V577,1),"")</f>
        <v/>
      </c>
      <c r="X577" s="39" t="str">
        <f>IF($A577="","",IF(COUNTIF($A$2:$A577,$A577)=1,1,0))</f>
        <v/>
      </c>
      <c r="Y577" s="39" t="str">
        <f>IF($X577=1,COUNTIF($X$2:$X577,1),"")</f>
        <v/>
      </c>
      <c r="Z577" s="39">
        <f>IF(AND($E577="timed",$N577&gt;Settings!$C$8),1,0)</f>
        <v>0</v>
      </c>
      <c r="AA577" s="39">
        <f t="shared" si="148"/>
        <v>0</v>
      </c>
      <c r="AB577" s="39">
        <f t="shared" si="149"/>
        <v>0</v>
      </c>
      <c r="AC577" s="39" t="str">
        <f t="shared" si="150"/>
        <v/>
      </c>
      <c r="AD577" s="39" t="str">
        <f t="shared" si="151"/>
        <v/>
      </c>
      <c r="AE577" s="39" t="str">
        <f t="shared" si="152"/>
        <v/>
      </c>
      <c r="AF577" s="106" t="str">
        <f t="shared" si="153"/>
        <v/>
      </c>
      <c r="AG577" s="39">
        <f t="shared" si="154"/>
        <v>0</v>
      </c>
      <c r="AH577" s="39" t="str">
        <f t="shared" si="155"/>
        <v/>
      </c>
      <c r="AI577" s="39">
        <f>IF(AND($E577="timed",$N577&gt;=Settings!$C$9),1,0)</f>
        <v>0</v>
      </c>
      <c r="AJ577" s="39" t="str">
        <f>IF(OR($S577="",Settings!$C$16=""),"",IF($S577&lt;=Settings!$C$16,1,2))</f>
        <v/>
      </c>
      <c r="AK577" s="39" t="str">
        <f>IF($C577="","",IFERROR(IF(INDEX(Settings!$C$20:$C$59,MATCH($C577,Settings!$B$20:$B$59,0))="",Settings!$C$10,INDEX(Settings!$C$20:$C$59,MATCH($C577,Settings!$B$20:$B$59,0))),Settings!$C$10))</f>
        <v/>
      </c>
      <c r="AL577" s="108">
        <f t="shared" si="156"/>
        <v>0</v>
      </c>
      <c r="AM577" s="39" t="str">
        <f t="shared" si="157"/>
        <v/>
      </c>
      <c r="AN577" s="39" t="str">
        <f t="shared" si="158"/>
        <v/>
      </c>
      <c r="AO577" s="39" t="str">
        <f t="shared" si="159"/>
        <v/>
      </c>
      <c r="AP577" s="39">
        <f t="shared" si="160"/>
        <v>0</v>
      </c>
      <c r="AQ577" s="39">
        <f t="shared" si="161"/>
        <v>0</v>
      </c>
    </row>
    <row r="578" spans="14:43" x14ac:dyDescent="0.25">
      <c r="N578" s="105">
        <f t="shared" ref="N578:N641" si="162">IF($E578&lt;&gt;"timed",0,IF(ISNUMBER($H578),$H578,IFERROR(VALUE($H578),0)))</f>
        <v>0</v>
      </c>
      <c r="O578" s="106" t="str">
        <f>IF($F578="","",IF(ISNUMBER($F578),$F578+Settings!$C$7/24,IFERROR(DATEVALUE(LEFT($F578,10))+TIMEVALUE(MID($F578,12,8))+Settings!$C$7/24,"")))</f>
        <v/>
      </c>
      <c r="P578" s="106" t="str">
        <f>IF($G578="","",IF(ISNUMBER($G578),$G578+Settings!$C$7/24,IFERROR(DATEVALUE(LEFT($G578,10))+TIMEVALUE(MID($G578,12,8))+Settings!$C$7/24,"")))</f>
        <v/>
      </c>
      <c r="Q578" s="39" t="str">
        <f t="shared" ref="Q578:Q641" si="163">IF($O578="","",HOUR($O578))</f>
        <v/>
      </c>
      <c r="R578" s="39" t="str">
        <f t="shared" ref="R578:R641" si="164">IF($O578="","",WEEKDAY($O578,2))</f>
        <v/>
      </c>
      <c r="S578" s="107" t="str">
        <f t="shared" ref="S578:S641" si="165">IF($A578="","",IF(ISNUMBER($A578),INT($A578),IFERROR(DATEVALUE($A578),"")))</f>
        <v/>
      </c>
      <c r="T578" s="39" t="str">
        <f>IF($C578="","",IF(COUNTIF($C$2:$C578,$C578)=1,1,0))</f>
        <v/>
      </c>
      <c r="U578" s="39" t="str">
        <f>IF($T578=1,COUNTIF($T$2:$T578,1),"")</f>
        <v/>
      </c>
      <c r="V578" s="39" t="str">
        <f>IF($B578="","",IF(COUNTIF($B$2:$B578,$B578)=1,1,0))</f>
        <v/>
      </c>
      <c r="W578" s="39" t="str">
        <f>IF($V578=1,COUNTIF($V$2:$V578,1),"")</f>
        <v/>
      </c>
      <c r="X578" s="39" t="str">
        <f>IF($A578="","",IF(COUNTIF($A$2:$A578,$A578)=1,1,0))</f>
        <v/>
      </c>
      <c r="Y578" s="39" t="str">
        <f>IF($X578=1,COUNTIF($X$2:$X578,1),"")</f>
        <v/>
      </c>
      <c r="Z578" s="39">
        <f>IF(AND($E578="timed",$N578&gt;Settings!$C$8),1,0)</f>
        <v>0</v>
      </c>
      <c r="AA578" s="39">
        <f t="shared" ref="AA578:AA641" si="166">IF(AND($E578="timed",$G578=""),1,0)</f>
        <v>0</v>
      </c>
      <c r="AB578" s="39">
        <f t="shared" ref="AB578:AB641" si="167">IF($E578&lt;&gt;"timed",0,IF(ISNUMBER($I578),$I578,IFERROR(VALUE($I578),0)))</f>
        <v>0</v>
      </c>
      <c r="AC578" s="39" t="str">
        <f t="shared" ref="AC578:AC641" si="168">IF(OR($E578&lt;&gt;"timed",$O578=""),"",ROUND($O578*86400,0)*10000+ROW())</f>
        <v/>
      </c>
      <c r="AD578" s="39" t="str">
        <f t="shared" ref="AD578:AD641" si="169">IF($AC578="","",COUNTIF($AC$2:$AC$1201,"&lt;"&amp;$AC578)+1)</f>
        <v/>
      </c>
      <c r="AE578" s="39" t="str">
        <f t="shared" ref="AE578:AE641" si="170">IF($AD578="","",IFERROR(IF(INDEX($S$2:$S$1201,MATCH($AD578-1,$AD$2:$AD$1201,0))=$S578,INDEX($C$2:$C$1201,MATCH($AD578-1,$AD$2:$AD$1201,0)),""),""))</f>
        <v/>
      </c>
      <c r="AF578" s="106" t="str">
        <f t="shared" ref="AF578:AF641" si="171">IF($AD578="","",IFERROR(IF(INDEX($S$2:$S$1201,MATCH($AD578-1,$AD$2:$AD$1201,0))=$S578,INDEX($P$2:$P$1201,MATCH($AD578-1,$AD$2:$AD$1201,0)),""),""))</f>
        <v/>
      </c>
      <c r="AG578" s="39">
        <f t="shared" ref="AG578:AG641" si="172">IF(OR($E578&lt;&gt;"timed",$AE578=""),0,IF($AE578=$C578,0,1))</f>
        <v>0</v>
      </c>
      <c r="AH578" s="39" t="str">
        <f t="shared" ref="AH578:AH641" si="173">IF(OR($AF578="",$O578=""),"",MAX(0,ROUND(($O578-$AF578)*1440,0)))</f>
        <v/>
      </c>
      <c r="AI578" s="39">
        <f>IF(AND($E578="timed",$N578&gt;=Settings!$C$9),1,0)</f>
        <v>0</v>
      </c>
      <c r="AJ578" s="39" t="str">
        <f>IF(OR($S578="",Settings!$C$16=""),"",IF($S578&lt;=Settings!$C$16,1,2))</f>
        <v/>
      </c>
      <c r="AK578" s="39" t="str">
        <f>IF($C578="","",IFERROR(IF(INDEX(Settings!$C$20:$C$59,MATCH($C578,Settings!$B$20:$B$59,0))="",Settings!$C$10,INDEX(Settings!$C$20:$C$59,MATCH($C578,Settings!$B$20:$B$59,0))),Settings!$C$10))</f>
        <v/>
      </c>
      <c r="AL578" s="108">
        <f t="shared" ref="AL578:AL641" si="174">IF(OR($N578=0,$AK578=""),0,ROUND($N578/60*$AK578,2))</f>
        <v>0</v>
      </c>
      <c r="AM578" s="39" t="str">
        <f t="shared" ref="AM578:AM641" si="175">IF($AD578="","",IFERROR(INDEX($S$2:$S$1201,MATCH($AD578-1,$AD$2:$AD$1201,0)),""))</f>
        <v/>
      </c>
      <c r="AN578" s="39" t="str">
        <f t="shared" ref="AN578:AN641" si="176">IF($Z578=1,$N578+ROW()/1000000,"")</f>
        <v/>
      </c>
      <c r="AO578" s="39" t="str">
        <f t="shared" ref="AO578:AO641" si="177">IF(OR($E578&lt;&gt;"timed",$P578=""),"",ROUND($P578*86400,0)*10000+ROW())</f>
        <v/>
      </c>
      <c r="AP578" s="39">
        <f t="shared" ref="AP578:AP641" si="178">IF($AC578="",0,IF(COUNTIFS($S$2:$S$1201,$S578,$AC$2:$AC$1201,"&lt;"&amp;$AC578)=0,1,0))</f>
        <v>0</v>
      </c>
      <c r="AQ578" s="39">
        <f t="shared" ref="AQ578:AQ641" si="179">IF($AO578="",0,IF(COUNTIFS($S$2:$S$1201,$S578,$AO$2:$AO$1201,"&gt;"&amp;$AO578)=0,1,0))</f>
        <v>0</v>
      </c>
    </row>
    <row r="579" spans="14:43" x14ac:dyDescent="0.25">
      <c r="N579" s="105">
        <f t="shared" si="162"/>
        <v>0</v>
      </c>
      <c r="O579" s="106" t="str">
        <f>IF($F579="","",IF(ISNUMBER($F579),$F579+Settings!$C$7/24,IFERROR(DATEVALUE(LEFT($F579,10))+TIMEVALUE(MID($F579,12,8))+Settings!$C$7/24,"")))</f>
        <v/>
      </c>
      <c r="P579" s="106" t="str">
        <f>IF($G579="","",IF(ISNUMBER($G579),$G579+Settings!$C$7/24,IFERROR(DATEVALUE(LEFT($G579,10))+TIMEVALUE(MID($G579,12,8))+Settings!$C$7/24,"")))</f>
        <v/>
      </c>
      <c r="Q579" s="39" t="str">
        <f t="shared" si="163"/>
        <v/>
      </c>
      <c r="R579" s="39" t="str">
        <f t="shared" si="164"/>
        <v/>
      </c>
      <c r="S579" s="107" t="str">
        <f t="shared" si="165"/>
        <v/>
      </c>
      <c r="T579" s="39" t="str">
        <f>IF($C579="","",IF(COUNTIF($C$2:$C579,$C579)=1,1,0))</f>
        <v/>
      </c>
      <c r="U579" s="39" t="str">
        <f>IF($T579=1,COUNTIF($T$2:$T579,1),"")</f>
        <v/>
      </c>
      <c r="V579" s="39" t="str">
        <f>IF($B579="","",IF(COUNTIF($B$2:$B579,$B579)=1,1,0))</f>
        <v/>
      </c>
      <c r="W579" s="39" t="str">
        <f>IF($V579=1,COUNTIF($V$2:$V579,1),"")</f>
        <v/>
      </c>
      <c r="X579" s="39" t="str">
        <f>IF($A579="","",IF(COUNTIF($A$2:$A579,$A579)=1,1,0))</f>
        <v/>
      </c>
      <c r="Y579" s="39" t="str">
        <f>IF($X579=1,COUNTIF($X$2:$X579,1),"")</f>
        <v/>
      </c>
      <c r="Z579" s="39">
        <f>IF(AND($E579="timed",$N579&gt;Settings!$C$8),1,0)</f>
        <v>0</v>
      </c>
      <c r="AA579" s="39">
        <f t="shared" si="166"/>
        <v>0</v>
      </c>
      <c r="AB579" s="39">
        <f t="shared" si="167"/>
        <v>0</v>
      </c>
      <c r="AC579" s="39" t="str">
        <f t="shared" si="168"/>
        <v/>
      </c>
      <c r="AD579" s="39" t="str">
        <f t="shared" si="169"/>
        <v/>
      </c>
      <c r="AE579" s="39" t="str">
        <f t="shared" si="170"/>
        <v/>
      </c>
      <c r="AF579" s="106" t="str">
        <f t="shared" si="171"/>
        <v/>
      </c>
      <c r="AG579" s="39">
        <f t="shared" si="172"/>
        <v>0</v>
      </c>
      <c r="AH579" s="39" t="str">
        <f t="shared" si="173"/>
        <v/>
      </c>
      <c r="AI579" s="39">
        <f>IF(AND($E579="timed",$N579&gt;=Settings!$C$9),1,0)</f>
        <v>0</v>
      </c>
      <c r="AJ579" s="39" t="str">
        <f>IF(OR($S579="",Settings!$C$16=""),"",IF($S579&lt;=Settings!$C$16,1,2))</f>
        <v/>
      </c>
      <c r="AK579" s="39" t="str">
        <f>IF($C579="","",IFERROR(IF(INDEX(Settings!$C$20:$C$59,MATCH($C579,Settings!$B$20:$B$59,0))="",Settings!$C$10,INDEX(Settings!$C$20:$C$59,MATCH($C579,Settings!$B$20:$B$59,0))),Settings!$C$10))</f>
        <v/>
      </c>
      <c r="AL579" s="108">
        <f t="shared" si="174"/>
        <v>0</v>
      </c>
      <c r="AM579" s="39" t="str">
        <f t="shared" si="175"/>
        <v/>
      </c>
      <c r="AN579" s="39" t="str">
        <f t="shared" si="176"/>
        <v/>
      </c>
      <c r="AO579" s="39" t="str">
        <f t="shared" si="177"/>
        <v/>
      </c>
      <c r="AP579" s="39">
        <f t="shared" si="178"/>
        <v>0</v>
      </c>
      <c r="AQ579" s="39">
        <f t="shared" si="179"/>
        <v>0</v>
      </c>
    </row>
    <row r="580" spans="14:43" x14ac:dyDescent="0.25">
      <c r="N580" s="105">
        <f t="shared" si="162"/>
        <v>0</v>
      </c>
      <c r="O580" s="106" t="str">
        <f>IF($F580="","",IF(ISNUMBER($F580),$F580+Settings!$C$7/24,IFERROR(DATEVALUE(LEFT($F580,10))+TIMEVALUE(MID($F580,12,8))+Settings!$C$7/24,"")))</f>
        <v/>
      </c>
      <c r="P580" s="106" t="str">
        <f>IF($G580="","",IF(ISNUMBER($G580),$G580+Settings!$C$7/24,IFERROR(DATEVALUE(LEFT($G580,10))+TIMEVALUE(MID($G580,12,8))+Settings!$C$7/24,"")))</f>
        <v/>
      </c>
      <c r="Q580" s="39" t="str">
        <f t="shared" si="163"/>
        <v/>
      </c>
      <c r="R580" s="39" t="str">
        <f t="shared" si="164"/>
        <v/>
      </c>
      <c r="S580" s="107" t="str">
        <f t="shared" si="165"/>
        <v/>
      </c>
      <c r="T580" s="39" t="str">
        <f>IF($C580="","",IF(COUNTIF($C$2:$C580,$C580)=1,1,0))</f>
        <v/>
      </c>
      <c r="U580" s="39" t="str">
        <f>IF($T580=1,COUNTIF($T$2:$T580,1),"")</f>
        <v/>
      </c>
      <c r="V580" s="39" t="str">
        <f>IF($B580="","",IF(COUNTIF($B$2:$B580,$B580)=1,1,0))</f>
        <v/>
      </c>
      <c r="W580" s="39" t="str">
        <f>IF($V580=1,COUNTIF($V$2:$V580,1),"")</f>
        <v/>
      </c>
      <c r="X580" s="39" t="str">
        <f>IF($A580="","",IF(COUNTIF($A$2:$A580,$A580)=1,1,0))</f>
        <v/>
      </c>
      <c r="Y580" s="39" t="str">
        <f>IF($X580=1,COUNTIF($X$2:$X580,1),"")</f>
        <v/>
      </c>
      <c r="Z580" s="39">
        <f>IF(AND($E580="timed",$N580&gt;Settings!$C$8),1,0)</f>
        <v>0</v>
      </c>
      <c r="AA580" s="39">
        <f t="shared" si="166"/>
        <v>0</v>
      </c>
      <c r="AB580" s="39">
        <f t="shared" si="167"/>
        <v>0</v>
      </c>
      <c r="AC580" s="39" t="str">
        <f t="shared" si="168"/>
        <v/>
      </c>
      <c r="AD580" s="39" t="str">
        <f t="shared" si="169"/>
        <v/>
      </c>
      <c r="AE580" s="39" t="str">
        <f t="shared" si="170"/>
        <v/>
      </c>
      <c r="AF580" s="106" t="str">
        <f t="shared" si="171"/>
        <v/>
      </c>
      <c r="AG580" s="39">
        <f t="shared" si="172"/>
        <v>0</v>
      </c>
      <c r="AH580" s="39" t="str">
        <f t="shared" si="173"/>
        <v/>
      </c>
      <c r="AI580" s="39">
        <f>IF(AND($E580="timed",$N580&gt;=Settings!$C$9),1,0)</f>
        <v>0</v>
      </c>
      <c r="AJ580" s="39" t="str">
        <f>IF(OR($S580="",Settings!$C$16=""),"",IF($S580&lt;=Settings!$C$16,1,2))</f>
        <v/>
      </c>
      <c r="AK580" s="39" t="str">
        <f>IF($C580="","",IFERROR(IF(INDEX(Settings!$C$20:$C$59,MATCH($C580,Settings!$B$20:$B$59,0))="",Settings!$C$10,INDEX(Settings!$C$20:$C$59,MATCH($C580,Settings!$B$20:$B$59,0))),Settings!$C$10))</f>
        <v/>
      </c>
      <c r="AL580" s="108">
        <f t="shared" si="174"/>
        <v>0</v>
      </c>
      <c r="AM580" s="39" t="str">
        <f t="shared" si="175"/>
        <v/>
      </c>
      <c r="AN580" s="39" t="str">
        <f t="shared" si="176"/>
        <v/>
      </c>
      <c r="AO580" s="39" t="str">
        <f t="shared" si="177"/>
        <v/>
      </c>
      <c r="AP580" s="39">
        <f t="shared" si="178"/>
        <v>0</v>
      </c>
      <c r="AQ580" s="39">
        <f t="shared" si="179"/>
        <v>0</v>
      </c>
    </row>
    <row r="581" spans="14:43" x14ac:dyDescent="0.25">
      <c r="N581" s="105">
        <f t="shared" si="162"/>
        <v>0</v>
      </c>
      <c r="O581" s="106" t="str">
        <f>IF($F581="","",IF(ISNUMBER($F581),$F581+Settings!$C$7/24,IFERROR(DATEVALUE(LEFT($F581,10))+TIMEVALUE(MID($F581,12,8))+Settings!$C$7/24,"")))</f>
        <v/>
      </c>
      <c r="P581" s="106" t="str">
        <f>IF($G581="","",IF(ISNUMBER($G581),$G581+Settings!$C$7/24,IFERROR(DATEVALUE(LEFT($G581,10))+TIMEVALUE(MID($G581,12,8))+Settings!$C$7/24,"")))</f>
        <v/>
      </c>
      <c r="Q581" s="39" t="str">
        <f t="shared" si="163"/>
        <v/>
      </c>
      <c r="R581" s="39" t="str">
        <f t="shared" si="164"/>
        <v/>
      </c>
      <c r="S581" s="107" t="str">
        <f t="shared" si="165"/>
        <v/>
      </c>
      <c r="T581" s="39" t="str">
        <f>IF($C581="","",IF(COUNTIF($C$2:$C581,$C581)=1,1,0))</f>
        <v/>
      </c>
      <c r="U581" s="39" t="str">
        <f>IF($T581=1,COUNTIF($T$2:$T581,1),"")</f>
        <v/>
      </c>
      <c r="V581" s="39" t="str">
        <f>IF($B581="","",IF(COUNTIF($B$2:$B581,$B581)=1,1,0))</f>
        <v/>
      </c>
      <c r="W581" s="39" t="str">
        <f>IF($V581=1,COUNTIF($V$2:$V581,1),"")</f>
        <v/>
      </c>
      <c r="X581" s="39" t="str">
        <f>IF($A581="","",IF(COUNTIF($A$2:$A581,$A581)=1,1,0))</f>
        <v/>
      </c>
      <c r="Y581" s="39" t="str">
        <f>IF($X581=1,COUNTIF($X$2:$X581,1),"")</f>
        <v/>
      </c>
      <c r="Z581" s="39">
        <f>IF(AND($E581="timed",$N581&gt;Settings!$C$8),1,0)</f>
        <v>0</v>
      </c>
      <c r="AA581" s="39">
        <f t="shared" si="166"/>
        <v>0</v>
      </c>
      <c r="AB581" s="39">
        <f t="shared" si="167"/>
        <v>0</v>
      </c>
      <c r="AC581" s="39" t="str">
        <f t="shared" si="168"/>
        <v/>
      </c>
      <c r="AD581" s="39" t="str">
        <f t="shared" si="169"/>
        <v/>
      </c>
      <c r="AE581" s="39" t="str">
        <f t="shared" si="170"/>
        <v/>
      </c>
      <c r="AF581" s="106" t="str">
        <f t="shared" si="171"/>
        <v/>
      </c>
      <c r="AG581" s="39">
        <f t="shared" si="172"/>
        <v>0</v>
      </c>
      <c r="AH581" s="39" t="str">
        <f t="shared" si="173"/>
        <v/>
      </c>
      <c r="AI581" s="39">
        <f>IF(AND($E581="timed",$N581&gt;=Settings!$C$9),1,0)</f>
        <v>0</v>
      </c>
      <c r="AJ581" s="39" t="str">
        <f>IF(OR($S581="",Settings!$C$16=""),"",IF($S581&lt;=Settings!$C$16,1,2))</f>
        <v/>
      </c>
      <c r="AK581" s="39" t="str">
        <f>IF($C581="","",IFERROR(IF(INDEX(Settings!$C$20:$C$59,MATCH($C581,Settings!$B$20:$B$59,0))="",Settings!$C$10,INDEX(Settings!$C$20:$C$59,MATCH($C581,Settings!$B$20:$B$59,0))),Settings!$C$10))</f>
        <v/>
      </c>
      <c r="AL581" s="108">
        <f t="shared" si="174"/>
        <v>0</v>
      </c>
      <c r="AM581" s="39" t="str">
        <f t="shared" si="175"/>
        <v/>
      </c>
      <c r="AN581" s="39" t="str">
        <f t="shared" si="176"/>
        <v/>
      </c>
      <c r="AO581" s="39" t="str">
        <f t="shared" si="177"/>
        <v/>
      </c>
      <c r="AP581" s="39">
        <f t="shared" si="178"/>
        <v>0</v>
      </c>
      <c r="AQ581" s="39">
        <f t="shared" si="179"/>
        <v>0</v>
      </c>
    </row>
    <row r="582" spans="14:43" x14ac:dyDescent="0.25">
      <c r="N582" s="105">
        <f t="shared" si="162"/>
        <v>0</v>
      </c>
      <c r="O582" s="106" t="str">
        <f>IF($F582="","",IF(ISNUMBER($F582),$F582+Settings!$C$7/24,IFERROR(DATEVALUE(LEFT($F582,10))+TIMEVALUE(MID($F582,12,8))+Settings!$C$7/24,"")))</f>
        <v/>
      </c>
      <c r="P582" s="106" t="str">
        <f>IF($G582="","",IF(ISNUMBER($G582),$G582+Settings!$C$7/24,IFERROR(DATEVALUE(LEFT($G582,10))+TIMEVALUE(MID($G582,12,8))+Settings!$C$7/24,"")))</f>
        <v/>
      </c>
      <c r="Q582" s="39" t="str">
        <f t="shared" si="163"/>
        <v/>
      </c>
      <c r="R582" s="39" t="str">
        <f t="shared" si="164"/>
        <v/>
      </c>
      <c r="S582" s="107" t="str">
        <f t="shared" si="165"/>
        <v/>
      </c>
      <c r="T582" s="39" t="str">
        <f>IF($C582="","",IF(COUNTIF($C$2:$C582,$C582)=1,1,0))</f>
        <v/>
      </c>
      <c r="U582" s="39" t="str">
        <f>IF($T582=1,COUNTIF($T$2:$T582,1),"")</f>
        <v/>
      </c>
      <c r="V582" s="39" t="str">
        <f>IF($B582="","",IF(COUNTIF($B$2:$B582,$B582)=1,1,0))</f>
        <v/>
      </c>
      <c r="W582" s="39" t="str">
        <f>IF($V582=1,COUNTIF($V$2:$V582,1),"")</f>
        <v/>
      </c>
      <c r="X582" s="39" t="str">
        <f>IF($A582="","",IF(COUNTIF($A$2:$A582,$A582)=1,1,0))</f>
        <v/>
      </c>
      <c r="Y582" s="39" t="str">
        <f>IF($X582=1,COUNTIF($X$2:$X582,1),"")</f>
        <v/>
      </c>
      <c r="Z582" s="39">
        <f>IF(AND($E582="timed",$N582&gt;Settings!$C$8),1,0)</f>
        <v>0</v>
      </c>
      <c r="AA582" s="39">
        <f t="shared" si="166"/>
        <v>0</v>
      </c>
      <c r="AB582" s="39">
        <f t="shared" si="167"/>
        <v>0</v>
      </c>
      <c r="AC582" s="39" t="str">
        <f t="shared" si="168"/>
        <v/>
      </c>
      <c r="AD582" s="39" t="str">
        <f t="shared" si="169"/>
        <v/>
      </c>
      <c r="AE582" s="39" t="str">
        <f t="shared" si="170"/>
        <v/>
      </c>
      <c r="AF582" s="106" t="str">
        <f t="shared" si="171"/>
        <v/>
      </c>
      <c r="AG582" s="39">
        <f t="shared" si="172"/>
        <v>0</v>
      </c>
      <c r="AH582" s="39" t="str">
        <f t="shared" si="173"/>
        <v/>
      </c>
      <c r="AI582" s="39">
        <f>IF(AND($E582="timed",$N582&gt;=Settings!$C$9),1,0)</f>
        <v>0</v>
      </c>
      <c r="AJ582" s="39" t="str">
        <f>IF(OR($S582="",Settings!$C$16=""),"",IF($S582&lt;=Settings!$C$16,1,2))</f>
        <v/>
      </c>
      <c r="AK582" s="39" t="str">
        <f>IF($C582="","",IFERROR(IF(INDEX(Settings!$C$20:$C$59,MATCH($C582,Settings!$B$20:$B$59,0))="",Settings!$C$10,INDEX(Settings!$C$20:$C$59,MATCH($C582,Settings!$B$20:$B$59,0))),Settings!$C$10))</f>
        <v/>
      </c>
      <c r="AL582" s="108">
        <f t="shared" si="174"/>
        <v>0</v>
      </c>
      <c r="AM582" s="39" t="str">
        <f t="shared" si="175"/>
        <v/>
      </c>
      <c r="AN582" s="39" t="str">
        <f t="shared" si="176"/>
        <v/>
      </c>
      <c r="AO582" s="39" t="str">
        <f t="shared" si="177"/>
        <v/>
      </c>
      <c r="AP582" s="39">
        <f t="shared" si="178"/>
        <v>0</v>
      </c>
      <c r="AQ582" s="39">
        <f t="shared" si="179"/>
        <v>0</v>
      </c>
    </row>
    <row r="583" spans="14:43" x14ac:dyDescent="0.25">
      <c r="N583" s="105">
        <f t="shared" si="162"/>
        <v>0</v>
      </c>
      <c r="O583" s="106" t="str">
        <f>IF($F583="","",IF(ISNUMBER($F583),$F583+Settings!$C$7/24,IFERROR(DATEVALUE(LEFT($F583,10))+TIMEVALUE(MID($F583,12,8))+Settings!$C$7/24,"")))</f>
        <v/>
      </c>
      <c r="P583" s="106" t="str">
        <f>IF($G583="","",IF(ISNUMBER($G583),$G583+Settings!$C$7/24,IFERROR(DATEVALUE(LEFT($G583,10))+TIMEVALUE(MID($G583,12,8))+Settings!$C$7/24,"")))</f>
        <v/>
      </c>
      <c r="Q583" s="39" t="str">
        <f t="shared" si="163"/>
        <v/>
      </c>
      <c r="R583" s="39" t="str">
        <f t="shared" si="164"/>
        <v/>
      </c>
      <c r="S583" s="107" t="str">
        <f t="shared" si="165"/>
        <v/>
      </c>
      <c r="T583" s="39" t="str">
        <f>IF($C583="","",IF(COUNTIF($C$2:$C583,$C583)=1,1,0))</f>
        <v/>
      </c>
      <c r="U583" s="39" t="str">
        <f>IF($T583=1,COUNTIF($T$2:$T583,1),"")</f>
        <v/>
      </c>
      <c r="V583" s="39" t="str">
        <f>IF($B583="","",IF(COUNTIF($B$2:$B583,$B583)=1,1,0))</f>
        <v/>
      </c>
      <c r="W583" s="39" t="str">
        <f>IF($V583=1,COUNTIF($V$2:$V583,1),"")</f>
        <v/>
      </c>
      <c r="X583" s="39" t="str">
        <f>IF($A583="","",IF(COUNTIF($A$2:$A583,$A583)=1,1,0))</f>
        <v/>
      </c>
      <c r="Y583" s="39" t="str">
        <f>IF($X583=1,COUNTIF($X$2:$X583,1),"")</f>
        <v/>
      </c>
      <c r="Z583" s="39">
        <f>IF(AND($E583="timed",$N583&gt;Settings!$C$8),1,0)</f>
        <v>0</v>
      </c>
      <c r="AA583" s="39">
        <f t="shared" si="166"/>
        <v>0</v>
      </c>
      <c r="AB583" s="39">
        <f t="shared" si="167"/>
        <v>0</v>
      </c>
      <c r="AC583" s="39" t="str">
        <f t="shared" si="168"/>
        <v/>
      </c>
      <c r="AD583" s="39" t="str">
        <f t="shared" si="169"/>
        <v/>
      </c>
      <c r="AE583" s="39" t="str">
        <f t="shared" si="170"/>
        <v/>
      </c>
      <c r="AF583" s="106" t="str">
        <f t="shared" si="171"/>
        <v/>
      </c>
      <c r="AG583" s="39">
        <f t="shared" si="172"/>
        <v>0</v>
      </c>
      <c r="AH583" s="39" t="str">
        <f t="shared" si="173"/>
        <v/>
      </c>
      <c r="AI583" s="39">
        <f>IF(AND($E583="timed",$N583&gt;=Settings!$C$9),1,0)</f>
        <v>0</v>
      </c>
      <c r="AJ583" s="39" t="str">
        <f>IF(OR($S583="",Settings!$C$16=""),"",IF($S583&lt;=Settings!$C$16,1,2))</f>
        <v/>
      </c>
      <c r="AK583" s="39" t="str">
        <f>IF($C583="","",IFERROR(IF(INDEX(Settings!$C$20:$C$59,MATCH($C583,Settings!$B$20:$B$59,0))="",Settings!$C$10,INDEX(Settings!$C$20:$C$59,MATCH($C583,Settings!$B$20:$B$59,0))),Settings!$C$10))</f>
        <v/>
      </c>
      <c r="AL583" s="108">
        <f t="shared" si="174"/>
        <v>0</v>
      </c>
      <c r="AM583" s="39" t="str">
        <f t="shared" si="175"/>
        <v/>
      </c>
      <c r="AN583" s="39" t="str">
        <f t="shared" si="176"/>
        <v/>
      </c>
      <c r="AO583" s="39" t="str">
        <f t="shared" si="177"/>
        <v/>
      </c>
      <c r="AP583" s="39">
        <f t="shared" si="178"/>
        <v>0</v>
      </c>
      <c r="AQ583" s="39">
        <f t="shared" si="179"/>
        <v>0</v>
      </c>
    </row>
    <row r="584" spans="14:43" x14ac:dyDescent="0.25">
      <c r="N584" s="105">
        <f t="shared" si="162"/>
        <v>0</v>
      </c>
      <c r="O584" s="106" t="str">
        <f>IF($F584="","",IF(ISNUMBER($F584),$F584+Settings!$C$7/24,IFERROR(DATEVALUE(LEFT($F584,10))+TIMEVALUE(MID($F584,12,8))+Settings!$C$7/24,"")))</f>
        <v/>
      </c>
      <c r="P584" s="106" t="str">
        <f>IF($G584="","",IF(ISNUMBER($G584),$G584+Settings!$C$7/24,IFERROR(DATEVALUE(LEFT($G584,10))+TIMEVALUE(MID($G584,12,8))+Settings!$C$7/24,"")))</f>
        <v/>
      </c>
      <c r="Q584" s="39" t="str">
        <f t="shared" si="163"/>
        <v/>
      </c>
      <c r="R584" s="39" t="str">
        <f t="shared" si="164"/>
        <v/>
      </c>
      <c r="S584" s="107" t="str">
        <f t="shared" si="165"/>
        <v/>
      </c>
      <c r="T584" s="39" t="str">
        <f>IF($C584="","",IF(COUNTIF($C$2:$C584,$C584)=1,1,0))</f>
        <v/>
      </c>
      <c r="U584" s="39" t="str">
        <f>IF($T584=1,COUNTIF($T$2:$T584,1),"")</f>
        <v/>
      </c>
      <c r="V584" s="39" t="str">
        <f>IF($B584="","",IF(COUNTIF($B$2:$B584,$B584)=1,1,0))</f>
        <v/>
      </c>
      <c r="W584" s="39" t="str">
        <f>IF($V584=1,COUNTIF($V$2:$V584,1),"")</f>
        <v/>
      </c>
      <c r="X584" s="39" t="str">
        <f>IF($A584="","",IF(COUNTIF($A$2:$A584,$A584)=1,1,0))</f>
        <v/>
      </c>
      <c r="Y584" s="39" t="str">
        <f>IF($X584=1,COUNTIF($X$2:$X584,1),"")</f>
        <v/>
      </c>
      <c r="Z584" s="39">
        <f>IF(AND($E584="timed",$N584&gt;Settings!$C$8),1,0)</f>
        <v>0</v>
      </c>
      <c r="AA584" s="39">
        <f t="shared" si="166"/>
        <v>0</v>
      </c>
      <c r="AB584" s="39">
        <f t="shared" si="167"/>
        <v>0</v>
      </c>
      <c r="AC584" s="39" t="str">
        <f t="shared" si="168"/>
        <v/>
      </c>
      <c r="AD584" s="39" t="str">
        <f t="shared" si="169"/>
        <v/>
      </c>
      <c r="AE584" s="39" t="str">
        <f t="shared" si="170"/>
        <v/>
      </c>
      <c r="AF584" s="106" t="str">
        <f t="shared" si="171"/>
        <v/>
      </c>
      <c r="AG584" s="39">
        <f t="shared" si="172"/>
        <v>0</v>
      </c>
      <c r="AH584" s="39" t="str">
        <f t="shared" si="173"/>
        <v/>
      </c>
      <c r="AI584" s="39">
        <f>IF(AND($E584="timed",$N584&gt;=Settings!$C$9),1,0)</f>
        <v>0</v>
      </c>
      <c r="AJ584" s="39" t="str">
        <f>IF(OR($S584="",Settings!$C$16=""),"",IF($S584&lt;=Settings!$C$16,1,2))</f>
        <v/>
      </c>
      <c r="AK584" s="39" t="str">
        <f>IF($C584="","",IFERROR(IF(INDEX(Settings!$C$20:$C$59,MATCH($C584,Settings!$B$20:$B$59,0))="",Settings!$C$10,INDEX(Settings!$C$20:$C$59,MATCH($C584,Settings!$B$20:$B$59,0))),Settings!$C$10))</f>
        <v/>
      </c>
      <c r="AL584" s="108">
        <f t="shared" si="174"/>
        <v>0</v>
      </c>
      <c r="AM584" s="39" t="str">
        <f t="shared" si="175"/>
        <v/>
      </c>
      <c r="AN584" s="39" t="str">
        <f t="shared" si="176"/>
        <v/>
      </c>
      <c r="AO584" s="39" t="str">
        <f t="shared" si="177"/>
        <v/>
      </c>
      <c r="AP584" s="39">
        <f t="shared" si="178"/>
        <v>0</v>
      </c>
      <c r="AQ584" s="39">
        <f t="shared" si="179"/>
        <v>0</v>
      </c>
    </row>
    <row r="585" spans="14:43" x14ac:dyDescent="0.25">
      <c r="N585" s="105">
        <f t="shared" si="162"/>
        <v>0</v>
      </c>
      <c r="O585" s="106" t="str">
        <f>IF($F585="","",IF(ISNUMBER($F585),$F585+Settings!$C$7/24,IFERROR(DATEVALUE(LEFT($F585,10))+TIMEVALUE(MID($F585,12,8))+Settings!$C$7/24,"")))</f>
        <v/>
      </c>
      <c r="P585" s="106" t="str">
        <f>IF($G585="","",IF(ISNUMBER($G585),$G585+Settings!$C$7/24,IFERROR(DATEVALUE(LEFT($G585,10))+TIMEVALUE(MID($G585,12,8))+Settings!$C$7/24,"")))</f>
        <v/>
      </c>
      <c r="Q585" s="39" t="str">
        <f t="shared" si="163"/>
        <v/>
      </c>
      <c r="R585" s="39" t="str">
        <f t="shared" si="164"/>
        <v/>
      </c>
      <c r="S585" s="107" t="str">
        <f t="shared" si="165"/>
        <v/>
      </c>
      <c r="T585" s="39" t="str">
        <f>IF($C585="","",IF(COUNTIF($C$2:$C585,$C585)=1,1,0))</f>
        <v/>
      </c>
      <c r="U585" s="39" t="str">
        <f>IF($T585=1,COUNTIF($T$2:$T585,1),"")</f>
        <v/>
      </c>
      <c r="V585" s="39" t="str">
        <f>IF($B585="","",IF(COUNTIF($B$2:$B585,$B585)=1,1,0))</f>
        <v/>
      </c>
      <c r="W585" s="39" t="str">
        <f>IF($V585=1,COUNTIF($V$2:$V585,1),"")</f>
        <v/>
      </c>
      <c r="X585" s="39" t="str">
        <f>IF($A585="","",IF(COUNTIF($A$2:$A585,$A585)=1,1,0))</f>
        <v/>
      </c>
      <c r="Y585" s="39" t="str">
        <f>IF($X585=1,COUNTIF($X$2:$X585,1),"")</f>
        <v/>
      </c>
      <c r="Z585" s="39">
        <f>IF(AND($E585="timed",$N585&gt;Settings!$C$8),1,0)</f>
        <v>0</v>
      </c>
      <c r="AA585" s="39">
        <f t="shared" si="166"/>
        <v>0</v>
      </c>
      <c r="AB585" s="39">
        <f t="shared" si="167"/>
        <v>0</v>
      </c>
      <c r="AC585" s="39" t="str">
        <f t="shared" si="168"/>
        <v/>
      </c>
      <c r="AD585" s="39" t="str">
        <f t="shared" si="169"/>
        <v/>
      </c>
      <c r="AE585" s="39" t="str">
        <f t="shared" si="170"/>
        <v/>
      </c>
      <c r="AF585" s="106" t="str">
        <f t="shared" si="171"/>
        <v/>
      </c>
      <c r="AG585" s="39">
        <f t="shared" si="172"/>
        <v>0</v>
      </c>
      <c r="AH585" s="39" t="str">
        <f t="shared" si="173"/>
        <v/>
      </c>
      <c r="AI585" s="39">
        <f>IF(AND($E585="timed",$N585&gt;=Settings!$C$9),1,0)</f>
        <v>0</v>
      </c>
      <c r="AJ585" s="39" t="str">
        <f>IF(OR($S585="",Settings!$C$16=""),"",IF($S585&lt;=Settings!$C$16,1,2))</f>
        <v/>
      </c>
      <c r="AK585" s="39" t="str">
        <f>IF($C585="","",IFERROR(IF(INDEX(Settings!$C$20:$C$59,MATCH($C585,Settings!$B$20:$B$59,0))="",Settings!$C$10,INDEX(Settings!$C$20:$C$59,MATCH($C585,Settings!$B$20:$B$59,0))),Settings!$C$10))</f>
        <v/>
      </c>
      <c r="AL585" s="108">
        <f t="shared" si="174"/>
        <v>0</v>
      </c>
      <c r="AM585" s="39" t="str">
        <f t="shared" si="175"/>
        <v/>
      </c>
      <c r="AN585" s="39" t="str">
        <f t="shared" si="176"/>
        <v/>
      </c>
      <c r="AO585" s="39" t="str">
        <f t="shared" si="177"/>
        <v/>
      </c>
      <c r="AP585" s="39">
        <f t="shared" si="178"/>
        <v>0</v>
      </c>
      <c r="AQ585" s="39">
        <f t="shared" si="179"/>
        <v>0</v>
      </c>
    </row>
    <row r="586" spans="14:43" x14ac:dyDescent="0.25">
      <c r="N586" s="105">
        <f t="shared" si="162"/>
        <v>0</v>
      </c>
      <c r="O586" s="106" t="str">
        <f>IF($F586="","",IF(ISNUMBER($F586),$F586+Settings!$C$7/24,IFERROR(DATEVALUE(LEFT($F586,10))+TIMEVALUE(MID($F586,12,8))+Settings!$C$7/24,"")))</f>
        <v/>
      </c>
      <c r="P586" s="106" t="str">
        <f>IF($G586="","",IF(ISNUMBER($G586),$G586+Settings!$C$7/24,IFERROR(DATEVALUE(LEFT($G586,10))+TIMEVALUE(MID($G586,12,8))+Settings!$C$7/24,"")))</f>
        <v/>
      </c>
      <c r="Q586" s="39" t="str">
        <f t="shared" si="163"/>
        <v/>
      </c>
      <c r="R586" s="39" t="str">
        <f t="shared" si="164"/>
        <v/>
      </c>
      <c r="S586" s="107" t="str">
        <f t="shared" si="165"/>
        <v/>
      </c>
      <c r="T586" s="39" t="str">
        <f>IF($C586="","",IF(COUNTIF($C$2:$C586,$C586)=1,1,0))</f>
        <v/>
      </c>
      <c r="U586" s="39" t="str">
        <f>IF($T586=1,COUNTIF($T$2:$T586,1),"")</f>
        <v/>
      </c>
      <c r="V586" s="39" t="str">
        <f>IF($B586="","",IF(COUNTIF($B$2:$B586,$B586)=1,1,0))</f>
        <v/>
      </c>
      <c r="W586" s="39" t="str">
        <f>IF($V586=1,COUNTIF($V$2:$V586,1),"")</f>
        <v/>
      </c>
      <c r="X586" s="39" t="str">
        <f>IF($A586="","",IF(COUNTIF($A$2:$A586,$A586)=1,1,0))</f>
        <v/>
      </c>
      <c r="Y586" s="39" t="str">
        <f>IF($X586=1,COUNTIF($X$2:$X586,1),"")</f>
        <v/>
      </c>
      <c r="Z586" s="39">
        <f>IF(AND($E586="timed",$N586&gt;Settings!$C$8),1,0)</f>
        <v>0</v>
      </c>
      <c r="AA586" s="39">
        <f t="shared" si="166"/>
        <v>0</v>
      </c>
      <c r="AB586" s="39">
        <f t="shared" si="167"/>
        <v>0</v>
      </c>
      <c r="AC586" s="39" t="str">
        <f t="shared" si="168"/>
        <v/>
      </c>
      <c r="AD586" s="39" t="str">
        <f t="shared" si="169"/>
        <v/>
      </c>
      <c r="AE586" s="39" t="str">
        <f t="shared" si="170"/>
        <v/>
      </c>
      <c r="AF586" s="106" t="str">
        <f t="shared" si="171"/>
        <v/>
      </c>
      <c r="AG586" s="39">
        <f t="shared" si="172"/>
        <v>0</v>
      </c>
      <c r="AH586" s="39" t="str">
        <f t="shared" si="173"/>
        <v/>
      </c>
      <c r="AI586" s="39">
        <f>IF(AND($E586="timed",$N586&gt;=Settings!$C$9),1,0)</f>
        <v>0</v>
      </c>
      <c r="AJ586" s="39" t="str">
        <f>IF(OR($S586="",Settings!$C$16=""),"",IF($S586&lt;=Settings!$C$16,1,2))</f>
        <v/>
      </c>
      <c r="AK586" s="39" t="str">
        <f>IF($C586="","",IFERROR(IF(INDEX(Settings!$C$20:$C$59,MATCH($C586,Settings!$B$20:$B$59,0))="",Settings!$C$10,INDEX(Settings!$C$20:$C$59,MATCH($C586,Settings!$B$20:$B$59,0))),Settings!$C$10))</f>
        <v/>
      </c>
      <c r="AL586" s="108">
        <f t="shared" si="174"/>
        <v>0</v>
      </c>
      <c r="AM586" s="39" t="str">
        <f t="shared" si="175"/>
        <v/>
      </c>
      <c r="AN586" s="39" t="str">
        <f t="shared" si="176"/>
        <v/>
      </c>
      <c r="AO586" s="39" t="str">
        <f t="shared" si="177"/>
        <v/>
      </c>
      <c r="AP586" s="39">
        <f t="shared" si="178"/>
        <v>0</v>
      </c>
      <c r="AQ586" s="39">
        <f t="shared" si="179"/>
        <v>0</v>
      </c>
    </row>
    <row r="587" spans="14:43" x14ac:dyDescent="0.25">
      <c r="N587" s="105">
        <f t="shared" si="162"/>
        <v>0</v>
      </c>
      <c r="O587" s="106" t="str">
        <f>IF($F587="","",IF(ISNUMBER($F587),$F587+Settings!$C$7/24,IFERROR(DATEVALUE(LEFT($F587,10))+TIMEVALUE(MID($F587,12,8))+Settings!$C$7/24,"")))</f>
        <v/>
      </c>
      <c r="P587" s="106" t="str">
        <f>IF($G587="","",IF(ISNUMBER($G587),$G587+Settings!$C$7/24,IFERROR(DATEVALUE(LEFT($G587,10))+TIMEVALUE(MID($G587,12,8))+Settings!$C$7/24,"")))</f>
        <v/>
      </c>
      <c r="Q587" s="39" t="str">
        <f t="shared" si="163"/>
        <v/>
      </c>
      <c r="R587" s="39" t="str">
        <f t="shared" si="164"/>
        <v/>
      </c>
      <c r="S587" s="107" t="str">
        <f t="shared" si="165"/>
        <v/>
      </c>
      <c r="T587" s="39" t="str">
        <f>IF($C587="","",IF(COUNTIF($C$2:$C587,$C587)=1,1,0))</f>
        <v/>
      </c>
      <c r="U587" s="39" t="str">
        <f>IF($T587=1,COUNTIF($T$2:$T587,1),"")</f>
        <v/>
      </c>
      <c r="V587" s="39" t="str">
        <f>IF($B587="","",IF(COUNTIF($B$2:$B587,$B587)=1,1,0))</f>
        <v/>
      </c>
      <c r="W587" s="39" t="str">
        <f>IF($V587=1,COUNTIF($V$2:$V587,1),"")</f>
        <v/>
      </c>
      <c r="X587" s="39" t="str">
        <f>IF($A587="","",IF(COUNTIF($A$2:$A587,$A587)=1,1,0))</f>
        <v/>
      </c>
      <c r="Y587" s="39" t="str">
        <f>IF($X587=1,COUNTIF($X$2:$X587,1),"")</f>
        <v/>
      </c>
      <c r="Z587" s="39">
        <f>IF(AND($E587="timed",$N587&gt;Settings!$C$8),1,0)</f>
        <v>0</v>
      </c>
      <c r="AA587" s="39">
        <f t="shared" si="166"/>
        <v>0</v>
      </c>
      <c r="AB587" s="39">
        <f t="shared" si="167"/>
        <v>0</v>
      </c>
      <c r="AC587" s="39" t="str">
        <f t="shared" si="168"/>
        <v/>
      </c>
      <c r="AD587" s="39" t="str">
        <f t="shared" si="169"/>
        <v/>
      </c>
      <c r="AE587" s="39" t="str">
        <f t="shared" si="170"/>
        <v/>
      </c>
      <c r="AF587" s="106" t="str">
        <f t="shared" si="171"/>
        <v/>
      </c>
      <c r="AG587" s="39">
        <f t="shared" si="172"/>
        <v>0</v>
      </c>
      <c r="AH587" s="39" t="str">
        <f t="shared" si="173"/>
        <v/>
      </c>
      <c r="AI587" s="39">
        <f>IF(AND($E587="timed",$N587&gt;=Settings!$C$9),1,0)</f>
        <v>0</v>
      </c>
      <c r="AJ587" s="39" t="str">
        <f>IF(OR($S587="",Settings!$C$16=""),"",IF($S587&lt;=Settings!$C$16,1,2))</f>
        <v/>
      </c>
      <c r="AK587" s="39" t="str">
        <f>IF($C587="","",IFERROR(IF(INDEX(Settings!$C$20:$C$59,MATCH($C587,Settings!$B$20:$B$59,0))="",Settings!$C$10,INDEX(Settings!$C$20:$C$59,MATCH($C587,Settings!$B$20:$B$59,0))),Settings!$C$10))</f>
        <v/>
      </c>
      <c r="AL587" s="108">
        <f t="shared" si="174"/>
        <v>0</v>
      </c>
      <c r="AM587" s="39" t="str">
        <f t="shared" si="175"/>
        <v/>
      </c>
      <c r="AN587" s="39" t="str">
        <f t="shared" si="176"/>
        <v/>
      </c>
      <c r="AO587" s="39" t="str">
        <f t="shared" si="177"/>
        <v/>
      </c>
      <c r="AP587" s="39">
        <f t="shared" si="178"/>
        <v>0</v>
      </c>
      <c r="AQ587" s="39">
        <f t="shared" si="179"/>
        <v>0</v>
      </c>
    </row>
    <row r="588" spans="14:43" x14ac:dyDescent="0.25">
      <c r="N588" s="105">
        <f t="shared" si="162"/>
        <v>0</v>
      </c>
      <c r="O588" s="106" t="str">
        <f>IF($F588="","",IF(ISNUMBER($F588),$F588+Settings!$C$7/24,IFERROR(DATEVALUE(LEFT($F588,10))+TIMEVALUE(MID($F588,12,8))+Settings!$C$7/24,"")))</f>
        <v/>
      </c>
      <c r="P588" s="106" t="str">
        <f>IF($G588="","",IF(ISNUMBER($G588),$G588+Settings!$C$7/24,IFERROR(DATEVALUE(LEFT($G588,10))+TIMEVALUE(MID($G588,12,8))+Settings!$C$7/24,"")))</f>
        <v/>
      </c>
      <c r="Q588" s="39" t="str">
        <f t="shared" si="163"/>
        <v/>
      </c>
      <c r="R588" s="39" t="str">
        <f t="shared" si="164"/>
        <v/>
      </c>
      <c r="S588" s="107" t="str">
        <f t="shared" si="165"/>
        <v/>
      </c>
      <c r="T588" s="39" t="str">
        <f>IF($C588="","",IF(COUNTIF($C$2:$C588,$C588)=1,1,0))</f>
        <v/>
      </c>
      <c r="U588" s="39" t="str">
        <f>IF($T588=1,COUNTIF($T$2:$T588,1),"")</f>
        <v/>
      </c>
      <c r="V588" s="39" t="str">
        <f>IF($B588="","",IF(COUNTIF($B$2:$B588,$B588)=1,1,0))</f>
        <v/>
      </c>
      <c r="W588" s="39" t="str">
        <f>IF($V588=1,COUNTIF($V$2:$V588,1),"")</f>
        <v/>
      </c>
      <c r="X588" s="39" t="str">
        <f>IF($A588="","",IF(COUNTIF($A$2:$A588,$A588)=1,1,0))</f>
        <v/>
      </c>
      <c r="Y588" s="39" t="str">
        <f>IF($X588=1,COUNTIF($X$2:$X588,1),"")</f>
        <v/>
      </c>
      <c r="Z588" s="39">
        <f>IF(AND($E588="timed",$N588&gt;Settings!$C$8),1,0)</f>
        <v>0</v>
      </c>
      <c r="AA588" s="39">
        <f t="shared" si="166"/>
        <v>0</v>
      </c>
      <c r="AB588" s="39">
        <f t="shared" si="167"/>
        <v>0</v>
      </c>
      <c r="AC588" s="39" t="str">
        <f t="shared" si="168"/>
        <v/>
      </c>
      <c r="AD588" s="39" t="str">
        <f t="shared" si="169"/>
        <v/>
      </c>
      <c r="AE588" s="39" t="str">
        <f t="shared" si="170"/>
        <v/>
      </c>
      <c r="AF588" s="106" t="str">
        <f t="shared" si="171"/>
        <v/>
      </c>
      <c r="AG588" s="39">
        <f t="shared" si="172"/>
        <v>0</v>
      </c>
      <c r="AH588" s="39" t="str">
        <f t="shared" si="173"/>
        <v/>
      </c>
      <c r="AI588" s="39">
        <f>IF(AND($E588="timed",$N588&gt;=Settings!$C$9),1,0)</f>
        <v>0</v>
      </c>
      <c r="AJ588" s="39" t="str">
        <f>IF(OR($S588="",Settings!$C$16=""),"",IF($S588&lt;=Settings!$C$16,1,2))</f>
        <v/>
      </c>
      <c r="AK588" s="39" t="str">
        <f>IF($C588="","",IFERROR(IF(INDEX(Settings!$C$20:$C$59,MATCH($C588,Settings!$B$20:$B$59,0))="",Settings!$C$10,INDEX(Settings!$C$20:$C$59,MATCH($C588,Settings!$B$20:$B$59,0))),Settings!$C$10))</f>
        <v/>
      </c>
      <c r="AL588" s="108">
        <f t="shared" si="174"/>
        <v>0</v>
      </c>
      <c r="AM588" s="39" t="str">
        <f t="shared" si="175"/>
        <v/>
      </c>
      <c r="AN588" s="39" t="str">
        <f t="shared" si="176"/>
        <v/>
      </c>
      <c r="AO588" s="39" t="str">
        <f t="shared" si="177"/>
        <v/>
      </c>
      <c r="AP588" s="39">
        <f t="shared" si="178"/>
        <v>0</v>
      </c>
      <c r="AQ588" s="39">
        <f t="shared" si="179"/>
        <v>0</v>
      </c>
    </row>
    <row r="589" spans="14:43" x14ac:dyDescent="0.25">
      <c r="N589" s="105">
        <f t="shared" si="162"/>
        <v>0</v>
      </c>
      <c r="O589" s="106" t="str">
        <f>IF($F589="","",IF(ISNUMBER($F589),$F589+Settings!$C$7/24,IFERROR(DATEVALUE(LEFT($F589,10))+TIMEVALUE(MID($F589,12,8))+Settings!$C$7/24,"")))</f>
        <v/>
      </c>
      <c r="P589" s="106" t="str">
        <f>IF($G589="","",IF(ISNUMBER($G589),$G589+Settings!$C$7/24,IFERROR(DATEVALUE(LEFT($G589,10))+TIMEVALUE(MID($G589,12,8))+Settings!$C$7/24,"")))</f>
        <v/>
      </c>
      <c r="Q589" s="39" t="str">
        <f t="shared" si="163"/>
        <v/>
      </c>
      <c r="R589" s="39" t="str">
        <f t="shared" si="164"/>
        <v/>
      </c>
      <c r="S589" s="107" t="str">
        <f t="shared" si="165"/>
        <v/>
      </c>
      <c r="T589" s="39" t="str">
        <f>IF($C589="","",IF(COUNTIF($C$2:$C589,$C589)=1,1,0))</f>
        <v/>
      </c>
      <c r="U589" s="39" t="str">
        <f>IF($T589=1,COUNTIF($T$2:$T589,1),"")</f>
        <v/>
      </c>
      <c r="V589" s="39" t="str">
        <f>IF($B589="","",IF(COUNTIF($B$2:$B589,$B589)=1,1,0))</f>
        <v/>
      </c>
      <c r="W589" s="39" t="str">
        <f>IF($V589=1,COUNTIF($V$2:$V589,1),"")</f>
        <v/>
      </c>
      <c r="X589" s="39" t="str">
        <f>IF($A589="","",IF(COUNTIF($A$2:$A589,$A589)=1,1,0))</f>
        <v/>
      </c>
      <c r="Y589" s="39" t="str">
        <f>IF($X589=1,COUNTIF($X$2:$X589,1),"")</f>
        <v/>
      </c>
      <c r="Z589" s="39">
        <f>IF(AND($E589="timed",$N589&gt;Settings!$C$8),1,0)</f>
        <v>0</v>
      </c>
      <c r="AA589" s="39">
        <f t="shared" si="166"/>
        <v>0</v>
      </c>
      <c r="AB589" s="39">
        <f t="shared" si="167"/>
        <v>0</v>
      </c>
      <c r="AC589" s="39" t="str">
        <f t="shared" si="168"/>
        <v/>
      </c>
      <c r="AD589" s="39" t="str">
        <f t="shared" si="169"/>
        <v/>
      </c>
      <c r="AE589" s="39" t="str">
        <f t="shared" si="170"/>
        <v/>
      </c>
      <c r="AF589" s="106" t="str">
        <f t="shared" si="171"/>
        <v/>
      </c>
      <c r="AG589" s="39">
        <f t="shared" si="172"/>
        <v>0</v>
      </c>
      <c r="AH589" s="39" t="str">
        <f t="shared" si="173"/>
        <v/>
      </c>
      <c r="AI589" s="39">
        <f>IF(AND($E589="timed",$N589&gt;=Settings!$C$9),1,0)</f>
        <v>0</v>
      </c>
      <c r="AJ589" s="39" t="str">
        <f>IF(OR($S589="",Settings!$C$16=""),"",IF($S589&lt;=Settings!$C$16,1,2))</f>
        <v/>
      </c>
      <c r="AK589" s="39" t="str">
        <f>IF($C589="","",IFERROR(IF(INDEX(Settings!$C$20:$C$59,MATCH($C589,Settings!$B$20:$B$59,0))="",Settings!$C$10,INDEX(Settings!$C$20:$C$59,MATCH($C589,Settings!$B$20:$B$59,0))),Settings!$C$10))</f>
        <v/>
      </c>
      <c r="AL589" s="108">
        <f t="shared" si="174"/>
        <v>0</v>
      </c>
      <c r="AM589" s="39" t="str">
        <f t="shared" si="175"/>
        <v/>
      </c>
      <c r="AN589" s="39" t="str">
        <f t="shared" si="176"/>
        <v/>
      </c>
      <c r="AO589" s="39" t="str">
        <f t="shared" si="177"/>
        <v/>
      </c>
      <c r="AP589" s="39">
        <f t="shared" si="178"/>
        <v>0</v>
      </c>
      <c r="AQ589" s="39">
        <f t="shared" si="179"/>
        <v>0</v>
      </c>
    </row>
    <row r="590" spans="14:43" x14ac:dyDescent="0.25">
      <c r="N590" s="105">
        <f t="shared" si="162"/>
        <v>0</v>
      </c>
      <c r="O590" s="106" t="str">
        <f>IF($F590="","",IF(ISNUMBER($F590),$F590+Settings!$C$7/24,IFERROR(DATEVALUE(LEFT($F590,10))+TIMEVALUE(MID($F590,12,8))+Settings!$C$7/24,"")))</f>
        <v/>
      </c>
      <c r="P590" s="106" t="str">
        <f>IF($G590="","",IF(ISNUMBER($G590),$G590+Settings!$C$7/24,IFERROR(DATEVALUE(LEFT($G590,10))+TIMEVALUE(MID($G590,12,8))+Settings!$C$7/24,"")))</f>
        <v/>
      </c>
      <c r="Q590" s="39" t="str">
        <f t="shared" si="163"/>
        <v/>
      </c>
      <c r="R590" s="39" t="str">
        <f t="shared" si="164"/>
        <v/>
      </c>
      <c r="S590" s="107" t="str">
        <f t="shared" si="165"/>
        <v/>
      </c>
      <c r="T590" s="39" t="str">
        <f>IF($C590="","",IF(COUNTIF($C$2:$C590,$C590)=1,1,0))</f>
        <v/>
      </c>
      <c r="U590" s="39" t="str">
        <f>IF($T590=1,COUNTIF($T$2:$T590,1),"")</f>
        <v/>
      </c>
      <c r="V590" s="39" t="str">
        <f>IF($B590="","",IF(COUNTIF($B$2:$B590,$B590)=1,1,0))</f>
        <v/>
      </c>
      <c r="W590" s="39" t="str">
        <f>IF($V590=1,COUNTIF($V$2:$V590,1),"")</f>
        <v/>
      </c>
      <c r="X590" s="39" t="str">
        <f>IF($A590="","",IF(COUNTIF($A$2:$A590,$A590)=1,1,0))</f>
        <v/>
      </c>
      <c r="Y590" s="39" t="str">
        <f>IF($X590=1,COUNTIF($X$2:$X590,1),"")</f>
        <v/>
      </c>
      <c r="Z590" s="39">
        <f>IF(AND($E590="timed",$N590&gt;Settings!$C$8),1,0)</f>
        <v>0</v>
      </c>
      <c r="AA590" s="39">
        <f t="shared" si="166"/>
        <v>0</v>
      </c>
      <c r="AB590" s="39">
        <f t="shared" si="167"/>
        <v>0</v>
      </c>
      <c r="AC590" s="39" t="str">
        <f t="shared" si="168"/>
        <v/>
      </c>
      <c r="AD590" s="39" t="str">
        <f t="shared" si="169"/>
        <v/>
      </c>
      <c r="AE590" s="39" t="str">
        <f t="shared" si="170"/>
        <v/>
      </c>
      <c r="AF590" s="106" t="str">
        <f t="shared" si="171"/>
        <v/>
      </c>
      <c r="AG590" s="39">
        <f t="shared" si="172"/>
        <v>0</v>
      </c>
      <c r="AH590" s="39" t="str">
        <f t="shared" si="173"/>
        <v/>
      </c>
      <c r="AI590" s="39">
        <f>IF(AND($E590="timed",$N590&gt;=Settings!$C$9),1,0)</f>
        <v>0</v>
      </c>
      <c r="AJ590" s="39" t="str">
        <f>IF(OR($S590="",Settings!$C$16=""),"",IF($S590&lt;=Settings!$C$16,1,2))</f>
        <v/>
      </c>
      <c r="AK590" s="39" t="str">
        <f>IF($C590="","",IFERROR(IF(INDEX(Settings!$C$20:$C$59,MATCH($C590,Settings!$B$20:$B$59,0))="",Settings!$C$10,INDEX(Settings!$C$20:$C$59,MATCH($C590,Settings!$B$20:$B$59,0))),Settings!$C$10))</f>
        <v/>
      </c>
      <c r="AL590" s="108">
        <f t="shared" si="174"/>
        <v>0</v>
      </c>
      <c r="AM590" s="39" t="str">
        <f t="shared" si="175"/>
        <v/>
      </c>
      <c r="AN590" s="39" t="str">
        <f t="shared" si="176"/>
        <v/>
      </c>
      <c r="AO590" s="39" t="str">
        <f t="shared" si="177"/>
        <v/>
      </c>
      <c r="AP590" s="39">
        <f t="shared" si="178"/>
        <v>0</v>
      </c>
      <c r="AQ590" s="39">
        <f t="shared" si="179"/>
        <v>0</v>
      </c>
    </row>
    <row r="591" spans="14:43" x14ac:dyDescent="0.25">
      <c r="N591" s="105">
        <f t="shared" si="162"/>
        <v>0</v>
      </c>
      <c r="O591" s="106" t="str">
        <f>IF($F591="","",IF(ISNUMBER($F591),$F591+Settings!$C$7/24,IFERROR(DATEVALUE(LEFT($F591,10))+TIMEVALUE(MID($F591,12,8))+Settings!$C$7/24,"")))</f>
        <v/>
      </c>
      <c r="P591" s="106" t="str">
        <f>IF($G591="","",IF(ISNUMBER($G591),$G591+Settings!$C$7/24,IFERROR(DATEVALUE(LEFT($G591,10))+TIMEVALUE(MID($G591,12,8))+Settings!$C$7/24,"")))</f>
        <v/>
      </c>
      <c r="Q591" s="39" t="str">
        <f t="shared" si="163"/>
        <v/>
      </c>
      <c r="R591" s="39" t="str">
        <f t="shared" si="164"/>
        <v/>
      </c>
      <c r="S591" s="107" t="str">
        <f t="shared" si="165"/>
        <v/>
      </c>
      <c r="T591" s="39" t="str">
        <f>IF($C591="","",IF(COUNTIF($C$2:$C591,$C591)=1,1,0))</f>
        <v/>
      </c>
      <c r="U591" s="39" t="str">
        <f>IF($T591=1,COUNTIF($T$2:$T591,1),"")</f>
        <v/>
      </c>
      <c r="V591" s="39" t="str">
        <f>IF($B591="","",IF(COUNTIF($B$2:$B591,$B591)=1,1,0))</f>
        <v/>
      </c>
      <c r="W591" s="39" t="str">
        <f>IF($V591=1,COUNTIF($V$2:$V591,1),"")</f>
        <v/>
      </c>
      <c r="X591" s="39" t="str">
        <f>IF($A591="","",IF(COUNTIF($A$2:$A591,$A591)=1,1,0))</f>
        <v/>
      </c>
      <c r="Y591" s="39" t="str">
        <f>IF($X591=1,COUNTIF($X$2:$X591,1),"")</f>
        <v/>
      </c>
      <c r="Z591" s="39">
        <f>IF(AND($E591="timed",$N591&gt;Settings!$C$8),1,0)</f>
        <v>0</v>
      </c>
      <c r="AA591" s="39">
        <f t="shared" si="166"/>
        <v>0</v>
      </c>
      <c r="AB591" s="39">
        <f t="shared" si="167"/>
        <v>0</v>
      </c>
      <c r="AC591" s="39" t="str">
        <f t="shared" si="168"/>
        <v/>
      </c>
      <c r="AD591" s="39" t="str">
        <f t="shared" si="169"/>
        <v/>
      </c>
      <c r="AE591" s="39" t="str">
        <f t="shared" si="170"/>
        <v/>
      </c>
      <c r="AF591" s="106" t="str">
        <f t="shared" si="171"/>
        <v/>
      </c>
      <c r="AG591" s="39">
        <f t="shared" si="172"/>
        <v>0</v>
      </c>
      <c r="AH591" s="39" t="str">
        <f t="shared" si="173"/>
        <v/>
      </c>
      <c r="AI591" s="39">
        <f>IF(AND($E591="timed",$N591&gt;=Settings!$C$9),1,0)</f>
        <v>0</v>
      </c>
      <c r="AJ591" s="39" t="str">
        <f>IF(OR($S591="",Settings!$C$16=""),"",IF($S591&lt;=Settings!$C$16,1,2))</f>
        <v/>
      </c>
      <c r="AK591" s="39" t="str">
        <f>IF($C591="","",IFERROR(IF(INDEX(Settings!$C$20:$C$59,MATCH($C591,Settings!$B$20:$B$59,0))="",Settings!$C$10,INDEX(Settings!$C$20:$C$59,MATCH($C591,Settings!$B$20:$B$59,0))),Settings!$C$10))</f>
        <v/>
      </c>
      <c r="AL591" s="108">
        <f t="shared" si="174"/>
        <v>0</v>
      </c>
      <c r="AM591" s="39" t="str">
        <f t="shared" si="175"/>
        <v/>
      </c>
      <c r="AN591" s="39" t="str">
        <f t="shared" si="176"/>
        <v/>
      </c>
      <c r="AO591" s="39" t="str">
        <f t="shared" si="177"/>
        <v/>
      </c>
      <c r="AP591" s="39">
        <f t="shared" si="178"/>
        <v>0</v>
      </c>
      <c r="AQ591" s="39">
        <f t="shared" si="179"/>
        <v>0</v>
      </c>
    </row>
    <row r="592" spans="14:43" x14ac:dyDescent="0.25">
      <c r="N592" s="105">
        <f t="shared" si="162"/>
        <v>0</v>
      </c>
      <c r="O592" s="106" t="str">
        <f>IF($F592="","",IF(ISNUMBER($F592),$F592+Settings!$C$7/24,IFERROR(DATEVALUE(LEFT($F592,10))+TIMEVALUE(MID($F592,12,8))+Settings!$C$7/24,"")))</f>
        <v/>
      </c>
      <c r="P592" s="106" t="str">
        <f>IF($G592="","",IF(ISNUMBER($G592),$G592+Settings!$C$7/24,IFERROR(DATEVALUE(LEFT($G592,10))+TIMEVALUE(MID($G592,12,8))+Settings!$C$7/24,"")))</f>
        <v/>
      </c>
      <c r="Q592" s="39" t="str">
        <f t="shared" si="163"/>
        <v/>
      </c>
      <c r="R592" s="39" t="str">
        <f t="shared" si="164"/>
        <v/>
      </c>
      <c r="S592" s="107" t="str">
        <f t="shared" si="165"/>
        <v/>
      </c>
      <c r="T592" s="39" t="str">
        <f>IF($C592="","",IF(COUNTIF($C$2:$C592,$C592)=1,1,0))</f>
        <v/>
      </c>
      <c r="U592" s="39" t="str">
        <f>IF($T592=1,COUNTIF($T$2:$T592,1),"")</f>
        <v/>
      </c>
      <c r="V592" s="39" t="str">
        <f>IF($B592="","",IF(COUNTIF($B$2:$B592,$B592)=1,1,0))</f>
        <v/>
      </c>
      <c r="W592" s="39" t="str">
        <f>IF($V592=1,COUNTIF($V$2:$V592,1),"")</f>
        <v/>
      </c>
      <c r="X592" s="39" t="str">
        <f>IF($A592="","",IF(COUNTIF($A$2:$A592,$A592)=1,1,0))</f>
        <v/>
      </c>
      <c r="Y592" s="39" t="str">
        <f>IF($X592=1,COUNTIF($X$2:$X592,1),"")</f>
        <v/>
      </c>
      <c r="Z592" s="39">
        <f>IF(AND($E592="timed",$N592&gt;Settings!$C$8),1,0)</f>
        <v>0</v>
      </c>
      <c r="AA592" s="39">
        <f t="shared" si="166"/>
        <v>0</v>
      </c>
      <c r="AB592" s="39">
        <f t="shared" si="167"/>
        <v>0</v>
      </c>
      <c r="AC592" s="39" t="str">
        <f t="shared" si="168"/>
        <v/>
      </c>
      <c r="AD592" s="39" t="str">
        <f t="shared" si="169"/>
        <v/>
      </c>
      <c r="AE592" s="39" t="str">
        <f t="shared" si="170"/>
        <v/>
      </c>
      <c r="AF592" s="106" t="str">
        <f t="shared" si="171"/>
        <v/>
      </c>
      <c r="AG592" s="39">
        <f t="shared" si="172"/>
        <v>0</v>
      </c>
      <c r="AH592" s="39" t="str">
        <f t="shared" si="173"/>
        <v/>
      </c>
      <c r="AI592" s="39">
        <f>IF(AND($E592="timed",$N592&gt;=Settings!$C$9),1,0)</f>
        <v>0</v>
      </c>
      <c r="AJ592" s="39" t="str">
        <f>IF(OR($S592="",Settings!$C$16=""),"",IF($S592&lt;=Settings!$C$16,1,2))</f>
        <v/>
      </c>
      <c r="AK592" s="39" t="str">
        <f>IF($C592="","",IFERROR(IF(INDEX(Settings!$C$20:$C$59,MATCH($C592,Settings!$B$20:$B$59,0))="",Settings!$C$10,INDEX(Settings!$C$20:$C$59,MATCH($C592,Settings!$B$20:$B$59,0))),Settings!$C$10))</f>
        <v/>
      </c>
      <c r="AL592" s="108">
        <f t="shared" si="174"/>
        <v>0</v>
      </c>
      <c r="AM592" s="39" t="str">
        <f t="shared" si="175"/>
        <v/>
      </c>
      <c r="AN592" s="39" t="str">
        <f t="shared" si="176"/>
        <v/>
      </c>
      <c r="AO592" s="39" t="str">
        <f t="shared" si="177"/>
        <v/>
      </c>
      <c r="AP592" s="39">
        <f t="shared" si="178"/>
        <v>0</v>
      </c>
      <c r="AQ592" s="39">
        <f t="shared" si="179"/>
        <v>0</v>
      </c>
    </row>
    <row r="593" spans="14:43" x14ac:dyDescent="0.25">
      <c r="N593" s="105">
        <f t="shared" si="162"/>
        <v>0</v>
      </c>
      <c r="O593" s="106" t="str">
        <f>IF($F593="","",IF(ISNUMBER($F593),$F593+Settings!$C$7/24,IFERROR(DATEVALUE(LEFT($F593,10))+TIMEVALUE(MID($F593,12,8))+Settings!$C$7/24,"")))</f>
        <v/>
      </c>
      <c r="P593" s="106" t="str">
        <f>IF($G593="","",IF(ISNUMBER($G593),$G593+Settings!$C$7/24,IFERROR(DATEVALUE(LEFT($G593,10))+TIMEVALUE(MID($G593,12,8))+Settings!$C$7/24,"")))</f>
        <v/>
      </c>
      <c r="Q593" s="39" t="str">
        <f t="shared" si="163"/>
        <v/>
      </c>
      <c r="R593" s="39" t="str">
        <f t="shared" si="164"/>
        <v/>
      </c>
      <c r="S593" s="107" t="str">
        <f t="shared" si="165"/>
        <v/>
      </c>
      <c r="T593" s="39" t="str">
        <f>IF($C593="","",IF(COUNTIF($C$2:$C593,$C593)=1,1,0))</f>
        <v/>
      </c>
      <c r="U593" s="39" t="str">
        <f>IF($T593=1,COUNTIF($T$2:$T593,1),"")</f>
        <v/>
      </c>
      <c r="V593" s="39" t="str">
        <f>IF($B593="","",IF(COUNTIF($B$2:$B593,$B593)=1,1,0))</f>
        <v/>
      </c>
      <c r="W593" s="39" t="str">
        <f>IF($V593=1,COUNTIF($V$2:$V593,1),"")</f>
        <v/>
      </c>
      <c r="X593" s="39" t="str">
        <f>IF($A593="","",IF(COUNTIF($A$2:$A593,$A593)=1,1,0))</f>
        <v/>
      </c>
      <c r="Y593" s="39" t="str">
        <f>IF($X593=1,COUNTIF($X$2:$X593,1),"")</f>
        <v/>
      </c>
      <c r="Z593" s="39">
        <f>IF(AND($E593="timed",$N593&gt;Settings!$C$8),1,0)</f>
        <v>0</v>
      </c>
      <c r="AA593" s="39">
        <f t="shared" si="166"/>
        <v>0</v>
      </c>
      <c r="AB593" s="39">
        <f t="shared" si="167"/>
        <v>0</v>
      </c>
      <c r="AC593" s="39" t="str">
        <f t="shared" si="168"/>
        <v/>
      </c>
      <c r="AD593" s="39" t="str">
        <f t="shared" si="169"/>
        <v/>
      </c>
      <c r="AE593" s="39" t="str">
        <f t="shared" si="170"/>
        <v/>
      </c>
      <c r="AF593" s="106" t="str">
        <f t="shared" si="171"/>
        <v/>
      </c>
      <c r="AG593" s="39">
        <f t="shared" si="172"/>
        <v>0</v>
      </c>
      <c r="AH593" s="39" t="str">
        <f t="shared" si="173"/>
        <v/>
      </c>
      <c r="AI593" s="39">
        <f>IF(AND($E593="timed",$N593&gt;=Settings!$C$9),1,0)</f>
        <v>0</v>
      </c>
      <c r="AJ593" s="39" t="str">
        <f>IF(OR($S593="",Settings!$C$16=""),"",IF($S593&lt;=Settings!$C$16,1,2))</f>
        <v/>
      </c>
      <c r="AK593" s="39" t="str">
        <f>IF($C593="","",IFERROR(IF(INDEX(Settings!$C$20:$C$59,MATCH($C593,Settings!$B$20:$B$59,0))="",Settings!$C$10,INDEX(Settings!$C$20:$C$59,MATCH($C593,Settings!$B$20:$B$59,0))),Settings!$C$10))</f>
        <v/>
      </c>
      <c r="AL593" s="108">
        <f t="shared" si="174"/>
        <v>0</v>
      </c>
      <c r="AM593" s="39" t="str">
        <f t="shared" si="175"/>
        <v/>
      </c>
      <c r="AN593" s="39" t="str">
        <f t="shared" si="176"/>
        <v/>
      </c>
      <c r="AO593" s="39" t="str">
        <f t="shared" si="177"/>
        <v/>
      </c>
      <c r="AP593" s="39">
        <f t="shared" si="178"/>
        <v>0</v>
      </c>
      <c r="AQ593" s="39">
        <f t="shared" si="179"/>
        <v>0</v>
      </c>
    </row>
    <row r="594" spans="14:43" x14ac:dyDescent="0.25">
      <c r="N594" s="105">
        <f t="shared" si="162"/>
        <v>0</v>
      </c>
      <c r="O594" s="106" t="str">
        <f>IF($F594="","",IF(ISNUMBER($F594),$F594+Settings!$C$7/24,IFERROR(DATEVALUE(LEFT($F594,10))+TIMEVALUE(MID($F594,12,8))+Settings!$C$7/24,"")))</f>
        <v/>
      </c>
      <c r="P594" s="106" t="str">
        <f>IF($G594="","",IF(ISNUMBER($G594),$G594+Settings!$C$7/24,IFERROR(DATEVALUE(LEFT($G594,10))+TIMEVALUE(MID($G594,12,8))+Settings!$C$7/24,"")))</f>
        <v/>
      </c>
      <c r="Q594" s="39" t="str">
        <f t="shared" si="163"/>
        <v/>
      </c>
      <c r="R594" s="39" t="str">
        <f t="shared" si="164"/>
        <v/>
      </c>
      <c r="S594" s="107" t="str">
        <f t="shared" si="165"/>
        <v/>
      </c>
      <c r="T594" s="39" t="str">
        <f>IF($C594="","",IF(COUNTIF($C$2:$C594,$C594)=1,1,0))</f>
        <v/>
      </c>
      <c r="U594" s="39" t="str">
        <f>IF($T594=1,COUNTIF($T$2:$T594,1),"")</f>
        <v/>
      </c>
      <c r="V594" s="39" t="str">
        <f>IF($B594="","",IF(COUNTIF($B$2:$B594,$B594)=1,1,0))</f>
        <v/>
      </c>
      <c r="W594" s="39" t="str">
        <f>IF($V594=1,COUNTIF($V$2:$V594,1),"")</f>
        <v/>
      </c>
      <c r="X594" s="39" t="str">
        <f>IF($A594="","",IF(COUNTIF($A$2:$A594,$A594)=1,1,0))</f>
        <v/>
      </c>
      <c r="Y594" s="39" t="str">
        <f>IF($X594=1,COUNTIF($X$2:$X594,1),"")</f>
        <v/>
      </c>
      <c r="Z594" s="39">
        <f>IF(AND($E594="timed",$N594&gt;Settings!$C$8),1,0)</f>
        <v>0</v>
      </c>
      <c r="AA594" s="39">
        <f t="shared" si="166"/>
        <v>0</v>
      </c>
      <c r="AB594" s="39">
        <f t="shared" si="167"/>
        <v>0</v>
      </c>
      <c r="AC594" s="39" t="str">
        <f t="shared" si="168"/>
        <v/>
      </c>
      <c r="AD594" s="39" t="str">
        <f t="shared" si="169"/>
        <v/>
      </c>
      <c r="AE594" s="39" t="str">
        <f t="shared" si="170"/>
        <v/>
      </c>
      <c r="AF594" s="106" t="str">
        <f t="shared" si="171"/>
        <v/>
      </c>
      <c r="AG594" s="39">
        <f t="shared" si="172"/>
        <v>0</v>
      </c>
      <c r="AH594" s="39" t="str">
        <f t="shared" si="173"/>
        <v/>
      </c>
      <c r="AI594" s="39">
        <f>IF(AND($E594="timed",$N594&gt;=Settings!$C$9),1,0)</f>
        <v>0</v>
      </c>
      <c r="AJ594" s="39" t="str">
        <f>IF(OR($S594="",Settings!$C$16=""),"",IF($S594&lt;=Settings!$C$16,1,2))</f>
        <v/>
      </c>
      <c r="AK594" s="39" t="str">
        <f>IF($C594="","",IFERROR(IF(INDEX(Settings!$C$20:$C$59,MATCH($C594,Settings!$B$20:$B$59,0))="",Settings!$C$10,INDEX(Settings!$C$20:$C$59,MATCH($C594,Settings!$B$20:$B$59,0))),Settings!$C$10))</f>
        <v/>
      </c>
      <c r="AL594" s="108">
        <f t="shared" si="174"/>
        <v>0</v>
      </c>
      <c r="AM594" s="39" t="str">
        <f t="shared" si="175"/>
        <v/>
      </c>
      <c r="AN594" s="39" t="str">
        <f t="shared" si="176"/>
        <v/>
      </c>
      <c r="AO594" s="39" t="str">
        <f t="shared" si="177"/>
        <v/>
      </c>
      <c r="AP594" s="39">
        <f t="shared" si="178"/>
        <v>0</v>
      </c>
      <c r="AQ594" s="39">
        <f t="shared" si="179"/>
        <v>0</v>
      </c>
    </row>
    <row r="595" spans="14:43" x14ac:dyDescent="0.25">
      <c r="N595" s="105">
        <f t="shared" si="162"/>
        <v>0</v>
      </c>
      <c r="O595" s="106" t="str">
        <f>IF($F595="","",IF(ISNUMBER($F595),$F595+Settings!$C$7/24,IFERROR(DATEVALUE(LEFT($F595,10))+TIMEVALUE(MID($F595,12,8))+Settings!$C$7/24,"")))</f>
        <v/>
      </c>
      <c r="P595" s="106" t="str">
        <f>IF($G595="","",IF(ISNUMBER($G595),$G595+Settings!$C$7/24,IFERROR(DATEVALUE(LEFT($G595,10))+TIMEVALUE(MID($G595,12,8))+Settings!$C$7/24,"")))</f>
        <v/>
      </c>
      <c r="Q595" s="39" t="str">
        <f t="shared" si="163"/>
        <v/>
      </c>
      <c r="R595" s="39" t="str">
        <f t="shared" si="164"/>
        <v/>
      </c>
      <c r="S595" s="107" t="str">
        <f t="shared" si="165"/>
        <v/>
      </c>
      <c r="T595" s="39" t="str">
        <f>IF($C595="","",IF(COUNTIF($C$2:$C595,$C595)=1,1,0))</f>
        <v/>
      </c>
      <c r="U595" s="39" t="str">
        <f>IF($T595=1,COUNTIF($T$2:$T595,1),"")</f>
        <v/>
      </c>
      <c r="V595" s="39" t="str">
        <f>IF($B595="","",IF(COUNTIF($B$2:$B595,$B595)=1,1,0))</f>
        <v/>
      </c>
      <c r="W595" s="39" t="str">
        <f>IF($V595=1,COUNTIF($V$2:$V595,1),"")</f>
        <v/>
      </c>
      <c r="X595" s="39" t="str">
        <f>IF($A595="","",IF(COUNTIF($A$2:$A595,$A595)=1,1,0))</f>
        <v/>
      </c>
      <c r="Y595" s="39" t="str">
        <f>IF($X595=1,COUNTIF($X$2:$X595,1),"")</f>
        <v/>
      </c>
      <c r="Z595" s="39">
        <f>IF(AND($E595="timed",$N595&gt;Settings!$C$8),1,0)</f>
        <v>0</v>
      </c>
      <c r="AA595" s="39">
        <f t="shared" si="166"/>
        <v>0</v>
      </c>
      <c r="AB595" s="39">
        <f t="shared" si="167"/>
        <v>0</v>
      </c>
      <c r="AC595" s="39" t="str">
        <f t="shared" si="168"/>
        <v/>
      </c>
      <c r="AD595" s="39" t="str">
        <f t="shared" si="169"/>
        <v/>
      </c>
      <c r="AE595" s="39" t="str">
        <f t="shared" si="170"/>
        <v/>
      </c>
      <c r="AF595" s="106" t="str">
        <f t="shared" si="171"/>
        <v/>
      </c>
      <c r="AG595" s="39">
        <f t="shared" si="172"/>
        <v>0</v>
      </c>
      <c r="AH595" s="39" t="str">
        <f t="shared" si="173"/>
        <v/>
      </c>
      <c r="AI595" s="39">
        <f>IF(AND($E595="timed",$N595&gt;=Settings!$C$9),1,0)</f>
        <v>0</v>
      </c>
      <c r="AJ595" s="39" t="str">
        <f>IF(OR($S595="",Settings!$C$16=""),"",IF($S595&lt;=Settings!$C$16,1,2))</f>
        <v/>
      </c>
      <c r="AK595" s="39" t="str">
        <f>IF($C595="","",IFERROR(IF(INDEX(Settings!$C$20:$C$59,MATCH($C595,Settings!$B$20:$B$59,0))="",Settings!$C$10,INDEX(Settings!$C$20:$C$59,MATCH($C595,Settings!$B$20:$B$59,0))),Settings!$C$10))</f>
        <v/>
      </c>
      <c r="AL595" s="108">
        <f t="shared" si="174"/>
        <v>0</v>
      </c>
      <c r="AM595" s="39" t="str">
        <f t="shared" si="175"/>
        <v/>
      </c>
      <c r="AN595" s="39" t="str">
        <f t="shared" si="176"/>
        <v/>
      </c>
      <c r="AO595" s="39" t="str">
        <f t="shared" si="177"/>
        <v/>
      </c>
      <c r="AP595" s="39">
        <f t="shared" si="178"/>
        <v>0</v>
      </c>
      <c r="AQ595" s="39">
        <f t="shared" si="179"/>
        <v>0</v>
      </c>
    </row>
    <row r="596" spans="14:43" x14ac:dyDescent="0.25">
      <c r="N596" s="105">
        <f t="shared" si="162"/>
        <v>0</v>
      </c>
      <c r="O596" s="106" t="str">
        <f>IF($F596="","",IF(ISNUMBER($F596),$F596+Settings!$C$7/24,IFERROR(DATEVALUE(LEFT($F596,10))+TIMEVALUE(MID($F596,12,8))+Settings!$C$7/24,"")))</f>
        <v/>
      </c>
      <c r="P596" s="106" t="str">
        <f>IF($G596="","",IF(ISNUMBER($G596),$G596+Settings!$C$7/24,IFERROR(DATEVALUE(LEFT($G596,10))+TIMEVALUE(MID($G596,12,8))+Settings!$C$7/24,"")))</f>
        <v/>
      </c>
      <c r="Q596" s="39" t="str">
        <f t="shared" si="163"/>
        <v/>
      </c>
      <c r="R596" s="39" t="str">
        <f t="shared" si="164"/>
        <v/>
      </c>
      <c r="S596" s="107" t="str">
        <f t="shared" si="165"/>
        <v/>
      </c>
      <c r="T596" s="39" t="str">
        <f>IF($C596="","",IF(COUNTIF($C$2:$C596,$C596)=1,1,0))</f>
        <v/>
      </c>
      <c r="U596" s="39" t="str">
        <f>IF($T596=1,COUNTIF($T$2:$T596,1),"")</f>
        <v/>
      </c>
      <c r="V596" s="39" t="str">
        <f>IF($B596="","",IF(COUNTIF($B$2:$B596,$B596)=1,1,0))</f>
        <v/>
      </c>
      <c r="W596" s="39" t="str">
        <f>IF($V596=1,COUNTIF($V$2:$V596,1),"")</f>
        <v/>
      </c>
      <c r="X596" s="39" t="str">
        <f>IF($A596="","",IF(COUNTIF($A$2:$A596,$A596)=1,1,0))</f>
        <v/>
      </c>
      <c r="Y596" s="39" t="str">
        <f>IF($X596=1,COUNTIF($X$2:$X596,1),"")</f>
        <v/>
      </c>
      <c r="Z596" s="39">
        <f>IF(AND($E596="timed",$N596&gt;Settings!$C$8),1,0)</f>
        <v>0</v>
      </c>
      <c r="AA596" s="39">
        <f t="shared" si="166"/>
        <v>0</v>
      </c>
      <c r="AB596" s="39">
        <f t="shared" si="167"/>
        <v>0</v>
      </c>
      <c r="AC596" s="39" t="str">
        <f t="shared" si="168"/>
        <v/>
      </c>
      <c r="AD596" s="39" t="str">
        <f t="shared" si="169"/>
        <v/>
      </c>
      <c r="AE596" s="39" t="str">
        <f t="shared" si="170"/>
        <v/>
      </c>
      <c r="AF596" s="106" t="str">
        <f t="shared" si="171"/>
        <v/>
      </c>
      <c r="AG596" s="39">
        <f t="shared" si="172"/>
        <v>0</v>
      </c>
      <c r="AH596" s="39" t="str">
        <f t="shared" si="173"/>
        <v/>
      </c>
      <c r="AI596" s="39">
        <f>IF(AND($E596="timed",$N596&gt;=Settings!$C$9),1,0)</f>
        <v>0</v>
      </c>
      <c r="AJ596" s="39" t="str">
        <f>IF(OR($S596="",Settings!$C$16=""),"",IF($S596&lt;=Settings!$C$16,1,2))</f>
        <v/>
      </c>
      <c r="AK596" s="39" t="str">
        <f>IF($C596="","",IFERROR(IF(INDEX(Settings!$C$20:$C$59,MATCH($C596,Settings!$B$20:$B$59,0))="",Settings!$C$10,INDEX(Settings!$C$20:$C$59,MATCH($C596,Settings!$B$20:$B$59,0))),Settings!$C$10))</f>
        <v/>
      </c>
      <c r="AL596" s="108">
        <f t="shared" si="174"/>
        <v>0</v>
      </c>
      <c r="AM596" s="39" t="str">
        <f t="shared" si="175"/>
        <v/>
      </c>
      <c r="AN596" s="39" t="str">
        <f t="shared" si="176"/>
        <v/>
      </c>
      <c r="AO596" s="39" t="str">
        <f t="shared" si="177"/>
        <v/>
      </c>
      <c r="AP596" s="39">
        <f t="shared" si="178"/>
        <v>0</v>
      </c>
      <c r="AQ596" s="39">
        <f t="shared" si="179"/>
        <v>0</v>
      </c>
    </row>
    <row r="597" spans="14:43" x14ac:dyDescent="0.25">
      <c r="N597" s="105">
        <f t="shared" si="162"/>
        <v>0</v>
      </c>
      <c r="O597" s="106" t="str">
        <f>IF($F597="","",IF(ISNUMBER($F597),$F597+Settings!$C$7/24,IFERROR(DATEVALUE(LEFT($F597,10))+TIMEVALUE(MID($F597,12,8))+Settings!$C$7/24,"")))</f>
        <v/>
      </c>
      <c r="P597" s="106" t="str">
        <f>IF($G597="","",IF(ISNUMBER($G597),$G597+Settings!$C$7/24,IFERROR(DATEVALUE(LEFT($G597,10))+TIMEVALUE(MID($G597,12,8))+Settings!$C$7/24,"")))</f>
        <v/>
      </c>
      <c r="Q597" s="39" t="str">
        <f t="shared" si="163"/>
        <v/>
      </c>
      <c r="R597" s="39" t="str">
        <f t="shared" si="164"/>
        <v/>
      </c>
      <c r="S597" s="107" t="str">
        <f t="shared" si="165"/>
        <v/>
      </c>
      <c r="T597" s="39" t="str">
        <f>IF($C597="","",IF(COUNTIF($C$2:$C597,$C597)=1,1,0))</f>
        <v/>
      </c>
      <c r="U597" s="39" t="str">
        <f>IF($T597=1,COUNTIF($T$2:$T597,1),"")</f>
        <v/>
      </c>
      <c r="V597" s="39" t="str">
        <f>IF($B597="","",IF(COUNTIF($B$2:$B597,$B597)=1,1,0))</f>
        <v/>
      </c>
      <c r="W597" s="39" t="str">
        <f>IF($V597=1,COUNTIF($V$2:$V597,1),"")</f>
        <v/>
      </c>
      <c r="X597" s="39" t="str">
        <f>IF($A597="","",IF(COUNTIF($A$2:$A597,$A597)=1,1,0))</f>
        <v/>
      </c>
      <c r="Y597" s="39" t="str">
        <f>IF($X597=1,COUNTIF($X$2:$X597,1),"")</f>
        <v/>
      </c>
      <c r="Z597" s="39">
        <f>IF(AND($E597="timed",$N597&gt;Settings!$C$8),1,0)</f>
        <v>0</v>
      </c>
      <c r="AA597" s="39">
        <f t="shared" si="166"/>
        <v>0</v>
      </c>
      <c r="AB597" s="39">
        <f t="shared" si="167"/>
        <v>0</v>
      </c>
      <c r="AC597" s="39" t="str">
        <f t="shared" si="168"/>
        <v/>
      </c>
      <c r="AD597" s="39" t="str">
        <f t="shared" si="169"/>
        <v/>
      </c>
      <c r="AE597" s="39" t="str">
        <f t="shared" si="170"/>
        <v/>
      </c>
      <c r="AF597" s="106" t="str">
        <f t="shared" si="171"/>
        <v/>
      </c>
      <c r="AG597" s="39">
        <f t="shared" si="172"/>
        <v>0</v>
      </c>
      <c r="AH597" s="39" t="str">
        <f t="shared" si="173"/>
        <v/>
      </c>
      <c r="AI597" s="39">
        <f>IF(AND($E597="timed",$N597&gt;=Settings!$C$9),1,0)</f>
        <v>0</v>
      </c>
      <c r="AJ597" s="39" t="str">
        <f>IF(OR($S597="",Settings!$C$16=""),"",IF($S597&lt;=Settings!$C$16,1,2))</f>
        <v/>
      </c>
      <c r="AK597" s="39" t="str">
        <f>IF($C597="","",IFERROR(IF(INDEX(Settings!$C$20:$C$59,MATCH($C597,Settings!$B$20:$B$59,0))="",Settings!$C$10,INDEX(Settings!$C$20:$C$59,MATCH($C597,Settings!$B$20:$B$59,0))),Settings!$C$10))</f>
        <v/>
      </c>
      <c r="AL597" s="108">
        <f t="shared" si="174"/>
        <v>0</v>
      </c>
      <c r="AM597" s="39" t="str">
        <f t="shared" si="175"/>
        <v/>
      </c>
      <c r="AN597" s="39" t="str">
        <f t="shared" si="176"/>
        <v/>
      </c>
      <c r="AO597" s="39" t="str">
        <f t="shared" si="177"/>
        <v/>
      </c>
      <c r="AP597" s="39">
        <f t="shared" si="178"/>
        <v>0</v>
      </c>
      <c r="AQ597" s="39">
        <f t="shared" si="179"/>
        <v>0</v>
      </c>
    </row>
    <row r="598" spans="14:43" x14ac:dyDescent="0.25">
      <c r="N598" s="105">
        <f t="shared" si="162"/>
        <v>0</v>
      </c>
      <c r="O598" s="106" t="str">
        <f>IF($F598="","",IF(ISNUMBER($F598),$F598+Settings!$C$7/24,IFERROR(DATEVALUE(LEFT($F598,10))+TIMEVALUE(MID($F598,12,8))+Settings!$C$7/24,"")))</f>
        <v/>
      </c>
      <c r="P598" s="106" t="str">
        <f>IF($G598="","",IF(ISNUMBER($G598),$G598+Settings!$C$7/24,IFERROR(DATEVALUE(LEFT($G598,10))+TIMEVALUE(MID($G598,12,8))+Settings!$C$7/24,"")))</f>
        <v/>
      </c>
      <c r="Q598" s="39" t="str">
        <f t="shared" si="163"/>
        <v/>
      </c>
      <c r="R598" s="39" t="str">
        <f t="shared" si="164"/>
        <v/>
      </c>
      <c r="S598" s="107" t="str">
        <f t="shared" si="165"/>
        <v/>
      </c>
      <c r="T598" s="39" t="str">
        <f>IF($C598="","",IF(COUNTIF($C$2:$C598,$C598)=1,1,0))</f>
        <v/>
      </c>
      <c r="U598" s="39" t="str">
        <f>IF($T598=1,COUNTIF($T$2:$T598,1),"")</f>
        <v/>
      </c>
      <c r="V598" s="39" t="str">
        <f>IF($B598="","",IF(COUNTIF($B$2:$B598,$B598)=1,1,0))</f>
        <v/>
      </c>
      <c r="W598" s="39" t="str">
        <f>IF($V598=1,COUNTIF($V$2:$V598,1),"")</f>
        <v/>
      </c>
      <c r="X598" s="39" t="str">
        <f>IF($A598="","",IF(COUNTIF($A$2:$A598,$A598)=1,1,0))</f>
        <v/>
      </c>
      <c r="Y598" s="39" t="str">
        <f>IF($X598=1,COUNTIF($X$2:$X598,1),"")</f>
        <v/>
      </c>
      <c r="Z598" s="39">
        <f>IF(AND($E598="timed",$N598&gt;Settings!$C$8),1,0)</f>
        <v>0</v>
      </c>
      <c r="AA598" s="39">
        <f t="shared" si="166"/>
        <v>0</v>
      </c>
      <c r="AB598" s="39">
        <f t="shared" si="167"/>
        <v>0</v>
      </c>
      <c r="AC598" s="39" t="str">
        <f t="shared" si="168"/>
        <v/>
      </c>
      <c r="AD598" s="39" t="str">
        <f t="shared" si="169"/>
        <v/>
      </c>
      <c r="AE598" s="39" t="str">
        <f t="shared" si="170"/>
        <v/>
      </c>
      <c r="AF598" s="106" t="str">
        <f t="shared" si="171"/>
        <v/>
      </c>
      <c r="AG598" s="39">
        <f t="shared" si="172"/>
        <v>0</v>
      </c>
      <c r="AH598" s="39" t="str">
        <f t="shared" si="173"/>
        <v/>
      </c>
      <c r="AI598" s="39">
        <f>IF(AND($E598="timed",$N598&gt;=Settings!$C$9),1,0)</f>
        <v>0</v>
      </c>
      <c r="AJ598" s="39" t="str">
        <f>IF(OR($S598="",Settings!$C$16=""),"",IF($S598&lt;=Settings!$C$16,1,2))</f>
        <v/>
      </c>
      <c r="AK598" s="39" t="str">
        <f>IF($C598="","",IFERROR(IF(INDEX(Settings!$C$20:$C$59,MATCH($C598,Settings!$B$20:$B$59,0))="",Settings!$C$10,INDEX(Settings!$C$20:$C$59,MATCH($C598,Settings!$B$20:$B$59,0))),Settings!$C$10))</f>
        <v/>
      </c>
      <c r="AL598" s="108">
        <f t="shared" si="174"/>
        <v>0</v>
      </c>
      <c r="AM598" s="39" t="str">
        <f t="shared" si="175"/>
        <v/>
      </c>
      <c r="AN598" s="39" t="str">
        <f t="shared" si="176"/>
        <v/>
      </c>
      <c r="AO598" s="39" t="str">
        <f t="shared" si="177"/>
        <v/>
      </c>
      <c r="AP598" s="39">
        <f t="shared" si="178"/>
        <v>0</v>
      </c>
      <c r="AQ598" s="39">
        <f t="shared" si="179"/>
        <v>0</v>
      </c>
    </row>
    <row r="599" spans="14:43" x14ac:dyDescent="0.25">
      <c r="N599" s="105">
        <f t="shared" si="162"/>
        <v>0</v>
      </c>
      <c r="O599" s="106" t="str">
        <f>IF($F599="","",IF(ISNUMBER($F599),$F599+Settings!$C$7/24,IFERROR(DATEVALUE(LEFT($F599,10))+TIMEVALUE(MID($F599,12,8))+Settings!$C$7/24,"")))</f>
        <v/>
      </c>
      <c r="P599" s="106" t="str">
        <f>IF($G599="","",IF(ISNUMBER($G599),$G599+Settings!$C$7/24,IFERROR(DATEVALUE(LEFT($G599,10))+TIMEVALUE(MID($G599,12,8))+Settings!$C$7/24,"")))</f>
        <v/>
      </c>
      <c r="Q599" s="39" t="str">
        <f t="shared" si="163"/>
        <v/>
      </c>
      <c r="R599" s="39" t="str">
        <f t="shared" si="164"/>
        <v/>
      </c>
      <c r="S599" s="107" t="str">
        <f t="shared" si="165"/>
        <v/>
      </c>
      <c r="T599" s="39" t="str">
        <f>IF($C599="","",IF(COUNTIF($C$2:$C599,$C599)=1,1,0))</f>
        <v/>
      </c>
      <c r="U599" s="39" t="str">
        <f>IF($T599=1,COUNTIF($T$2:$T599,1),"")</f>
        <v/>
      </c>
      <c r="V599" s="39" t="str">
        <f>IF($B599="","",IF(COUNTIF($B$2:$B599,$B599)=1,1,0))</f>
        <v/>
      </c>
      <c r="W599" s="39" t="str">
        <f>IF($V599=1,COUNTIF($V$2:$V599,1),"")</f>
        <v/>
      </c>
      <c r="X599" s="39" t="str">
        <f>IF($A599="","",IF(COUNTIF($A$2:$A599,$A599)=1,1,0))</f>
        <v/>
      </c>
      <c r="Y599" s="39" t="str">
        <f>IF($X599=1,COUNTIF($X$2:$X599,1),"")</f>
        <v/>
      </c>
      <c r="Z599" s="39">
        <f>IF(AND($E599="timed",$N599&gt;Settings!$C$8),1,0)</f>
        <v>0</v>
      </c>
      <c r="AA599" s="39">
        <f t="shared" si="166"/>
        <v>0</v>
      </c>
      <c r="AB599" s="39">
        <f t="shared" si="167"/>
        <v>0</v>
      </c>
      <c r="AC599" s="39" t="str">
        <f t="shared" si="168"/>
        <v/>
      </c>
      <c r="AD599" s="39" t="str">
        <f t="shared" si="169"/>
        <v/>
      </c>
      <c r="AE599" s="39" t="str">
        <f t="shared" si="170"/>
        <v/>
      </c>
      <c r="AF599" s="106" t="str">
        <f t="shared" si="171"/>
        <v/>
      </c>
      <c r="AG599" s="39">
        <f t="shared" si="172"/>
        <v>0</v>
      </c>
      <c r="AH599" s="39" t="str">
        <f t="shared" si="173"/>
        <v/>
      </c>
      <c r="AI599" s="39">
        <f>IF(AND($E599="timed",$N599&gt;=Settings!$C$9),1,0)</f>
        <v>0</v>
      </c>
      <c r="AJ599" s="39" t="str">
        <f>IF(OR($S599="",Settings!$C$16=""),"",IF($S599&lt;=Settings!$C$16,1,2))</f>
        <v/>
      </c>
      <c r="AK599" s="39" t="str">
        <f>IF($C599="","",IFERROR(IF(INDEX(Settings!$C$20:$C$59,MATCH($C599,Settings!$B$20:$B$59,0))="",Settings!$C$10,INDEX(Settings!$C$20:$C$59,MATCH($C599,Settings!$B$20:$B$59,0))),Settings!$C$10))</f>
        <v/>
      </c>
      <c r="AL599" s="108">
        <f t="shared" si="174"/>
        <v>0</v>
      </c>
      <c r="AM599" s="39" t="str">
        <f t="shared" si="175"/>
        <v/>
      </c>
      <c r="AN599" s="39" t="str">
        <f t="shared" si="176"/>
        <v/>
      </c>
      <c r="AO599" s="39" t="str">
        <f t="shared" si="177"/>
        <v/>
      </c>
      <c r="AP599" s="39">
        <f t="shared" si="178"/>
        <v>0</v>
      </c>
      <c r="AQ599" s="39">
        <f t="shared" si="179"/>
        <v>0</v>
      </c>
    </row>
    <row r="600" spans="14:43" x14ac:dyDescent="0.25">
      <c r="N600" s="105">
        <f t="shared" si="162"/>
        <v>0</v>
      </c>
      <c r="O600" s="106" t="str">
        <f>IF($F600="","",IF(ISNUMBER($F600),$F600+Settings!$C$7/24,IFERROR(DATEVALUE(LEFT($F600,10))+TIMEVALUE(MID($F600,12,8))+Settings!$C$7/24,"")))</f>
        <v/>
      </c>
      <c r="P600" s="106" t="str">
        <f>IF($G600="","",IF(ISNUMBER($G600),$G600+Settings!$C$7/24,IFERROR(DATEVALUE(LEFT($G600,10))+TIMEVALUE(MID($G600,12,8))+Settings!$C$7/24,"")))</f>
        <v/>
      </c>
      <c r="Q600" s="39" t="str">
        <f t="shared" si="163"/>
        <v/>
      </c>
      <c r="R600" s="39" t="str">
        <f t="shared" si="164"/>
        <v/>
      </c>
      <c r="S600" s="107" t="str">
        <f t="shared" si="165"/>
        <v/>
      </c>
      <c r="T600" s="39" t="str">
        <f>IF($C600="","",IF(COUNTIF($C$2:$C600,$C600)=1,1,0))</f>
        <v/>
      </c>
      <c r="U600" s="39" t="str">
        <f>IF($T600=1,COUNTIF($T$2:$T600,1),"")</f>
        <v/>
      </c>
      <c r="V600" s="39" t="str">
        <f>IF($B600="","",IF(COUNTIF($B$2:$B600,$B600)=1,1,0))</f>
        <v/>
      </c>
      <c r="W600" s="39" t="str">
        <f>IF($V600=1,COUNTIF($V$2:$V600,1),"")</f>
        <v/>
      </c>
      <c r="X600" s="39" t="str">
        <f>IF($A600="","",IF(COUNTIF($A$2:$A600,$A600)=1,1,0))</f>
        <v/>
      </c>
      <c r="Y600" s="39" t="str">
        <f>IF($X600=1,COUNTIF($X$2:$X600,1),"")</f>
        <v/>
      </c>
      <c r="Z600" s="39">
        <f>IF(AND($E600="timed",$N600&gt;Settings!$C$8),1,0)</f>
        <v>0</v>
      </c>
      <c r="AA600" s="39">
        <f t="shared" si="166"/>
        <v>0</v>
      </c>
      <c r="AB600" s="39">
        <f t="shared" si="167"/>
        <v>0</v>
      </c>
      <c r="AC600" s="39" t="str">
        <f t="shared" si="168"/>
        <v/>
      </c>
      <c r="AD600" s="39" t="str">
        <f t="shared" si="169"/>
        <v/>
      </c>
      <c r="AE600" s="39" t="str">
        <f t="shared" si="170"/>
        <v/>
      </c>
      <c r="AF600" s="106" t="str">
        <f t="shared" si="171"/>
        <v/>
      </c>
      <c r="AG600" s="39">
        <f t="shared" si="172"/>
        <v>0</v>
      </c>
      <c r="AH600" s="39" t="str">
        <f t="shared" si="173"/>
        <v/>
      </c>
      <c r="AI600" s="39">
        <f>IF(AND($E600="timed",$N600&gt;=Settings!$C$9),1,0)</f>
        <v>0</v>
      </c>
      <c r="AJ600" s="39" t="str">
        <f>IF(OR($S600="",Settings!$C$16=""),"",IF($S600&lt;=Settings!$C$16,1,2))</f>
        <v/>
      </c>
      <c r="AK600" s="39" t="str">
        <f>IF($C600="","",IFERROR(IF(INDEX(Settings!$C$20:$C$59,MATCH($C600,Settings!$B$20:$B$59,0))="",Settings!$C$10,INDEX(Settings!$C$20:$C$59,MATCH($C600,Settings!$B$20:$B$59,0))),Settings!$C$10))</f>
        <v/>
      </c>
      <c r="AL600" s="108">
        <f t="shared" si="174"/>
        <v>0</v>
      </c>
      <c r="AM600" s="39" t="str">
        <f t="shared" si="175"/>
        <v/>
      </c>
      <c r="AN600" s="39" t="str">
        <f t="shared" si="176"/>
        <v/>
      </c>
      <c r="AO600" s="39" t="str">
        <f t="shared" si="177"/>
        <v/>
      </c>
      <c r="AP600" s="39">
        <f t="shared" si="178"/>
        <v>0</v>
      </c>
      <c r="AQ600" s="39">
        <f t="shared" si="179"/>
        <v>0</v>
      </c>
    </row>
    <row r="601" spans="14:43" x14ac:dyDescent="0.25">
      <c r="N601" s="105">
        <f t="shared" si="162"/>
        <v>0</v>
      </c>
      <c r="O601" s="106" t="str">
        <f>IF($F601="","",IF(ISNUMBER($F601),$F601+Settings!$C$7/24,IFERROR(DATEVALUE(LEFT($F601,10))+TIMEVALUE(MID($F601,12,8))+Settings!$C$7/24,"")))</f>
        <v/>
      </c>
      <c r="P601" s="106" t="str">
        <f>IF($G601="","",IF(ISNUMBER($G601),$G601+Settings!$C$7/24,IFERROR(DATEVALUE(LEFT($G601,10))+TIMEVALUE(MID($G601,12,8))+Settings!$C$7/24,"")))</f>
        <v/>
      </c>
      <c r="Q601" s="39" t="str">
        <f t="shared" si="163"/>
        <v/>
      </c>
      <c r="R601" s="39" t="str">
        <f t="shared" si="164"/>
        <v/>
      </c>
      <c r="S601" s="107" t="str">
        <f t="shared" si="165"/>
        <v/>
      </c>
      <c r="T601" s="39" t="str">
        <f>IF($C601="","",IF(COUNTIF($C$2:$C601,$C601)=1,1,0))</f>
        <v/>
      </c>
      <c r="U601" s="39" t="str">
        <f>IF($T601=1,COUNTIF($T$2:$T601,1),"")</f>
        <v/>
      </c>
      <c r="V601" s="39" t="str">
        <f>IF($B601="","",IF(COUNTIF($B$2:$B601,$B601)=1,1,0))</f>
        <v/>
      </c>
      <c r="W601" s="39" t="str">
        <f>IF($V601=1,COUNTIF($V$2:$V601,1),"")</f>
        <v/>
      </c>
      <c r="X601" s="39" t="str">
        <f>IF($A601="","",IF(COUNTIF($A$2:$A601,$A601)=1,1,0))</f>
        <v/>
      </c>
      <c r="Y601" s="39" t="str">
        <f>IF($X601=1,COUNTIF($X$2:$X601,1),"")</f>
        <v/>
      </c>
      <c r="Z601" s="39">
        <f>IF(AND($E601="timed",$N601&gt;Settings!$C$8),1,0)</f>
        <v>0</v>
      </c>
      <c r="AA601" s="39">
        <f t="shared" si="166"/>
        <v>0</v>
      </c>
      <c r="AB601" s="39">
        <f t="shared" si="167"/>
        <v>0</v>
      </c>
      <c r="AC601" s="39" t="str">
        <f t="shared" si="168"/>
        <v/>
      </c>
      <c r="AD601" s="39" t="str">
        <f t="shared" si="169"/>
        <v/>
      </c>
      <c r="AE601" s="39" t="str">
        <f t="shared" si="170"/>
        <v/>
      </c>
      <c r="AF601" s="106" t="str">
        <f t="shared" si="171"/>
        <v/>
      </c>
      <c r="AG601" s="39">
        <f t="shared" si="172"/>
        <v>0</v>
      </c>
      <c r="AH601" s="39" t="str">
        <f t="shared" si="173"/>
        <v/>
      </c>
      <c r="AI601" s="39">
        <f>IF(AND($E601="timed",$N601&gt;=Settings!$C$9),1,0)</f>
        <v>0</v>
      </c>
      <c r="AJ601" s="39" t="str">
        <f>IF(OR($S601="",Settings!$C$16=""),"",IF($S601&lt;=Settings!$C$16,1,2))</f>
        <v/>
      </c>
      <c r="AK601" s="39" t="str">
        <f>IF($C601="","",IFERROR(IF(INDEX(Settings!$C$20:$C$59,MATCH($C601,Settings!$B$20:$B$59,0))="",Settings!$C$10,INDEX(Settings!$C$20:$C$59,MATCH($C601,Settings!$B$20:$B$59,0))),Settings!$C$10))</f>
        <v/>
      </c>
      <c r="AL601" s="108">
        <f t="shared" si="174"/>
        <v>0</v>
      </c>
      <c r="AM601" s="39" t="str">
        <f t="shared" si="175"/>
        <v/>
      </c>
      <c r="AN601" s="39" t="str">
        <f t="shared" si="176"/>
        <v/>
      </c>
      <c r="AO601" s="39" t="str">
        <f t="shared" si="177"/>
        <v/>
      </c>
      <c r="AP601" s="39">
        <f t="shared" si="178"/>
        <v>0</v>
      </c>
      <c r="AQ601" s="39">
        <f t="shared" si="179"/>
        <v>0</v>
      </c>
    </row>
    <row r="602" spans="14:43" x14ac:dyDescent="0.25">
      <c r="N602" s="105">
        <f t="shared" si="162"/>
        <v>0</v>
      </c>
      <c r="O602" s="106" t="str">
        <f>IF($F602="","",IF(ISNUMBER($F602),$F602+Settings!$C$7/24,IFERROR(DATEVALUE(LEFT($F602,10))+TIMEVALUE(MID($F602,12,8))+Settings!$C$7/24,"")))</f>
        <v/>
      </c>
      <c r="P602" s="106" t="str">
        <f>IF($G602="","",IF(ISNUMBER($G602),$G602+Settings!$C$7/24,IFERROR(DATEVALUE(LEFT($G602,10))+TIMEVALUE(MID($G602,12,8))+Settings!$C$7/24,"")))</f>
        <v/>
      </c>
      <c r="Q602" s="39" t="str">
        <f t="shared" si="163"/>
        <v/>
      </c>
      <c r="R602" s="39" t="str">
        <f t="shared" si="164"/>
        <v/>
      </c>
      <c r="S602" s="107" t="str">
        <f t="shared" si="165"/>
        <v/>
      </c>
      <c r="T602" s="39" t="str">
        <f>IF($C602="","",IF(COUNTIF($C$2:$C602,$C602)=1,1,0))</f>
        <v/>
      </c>
      <c r="U602" s="39" t="str">
        <f>IF($T602=1,COUNTIF($T$2:$T602,1),"")</f>
        <v/>
      </c>
      <c r="V602" s="39" t="str">
        <f>IF($B602="","",IF(COUNTIF($B$2:$B602,$B602)=1,1,0))</f>
        <v/>
      </c>
      <c r="W602" s="39" t="str">
        <f>IF($V602=1,COUNTIF($V$2:$V602,1),"")</f>
        <v/>
      </c>
      <c r="X602" s="39" t="str">
        <f>IF($A602="","",IF(COUNTIF($A$2:$A602,$A602)=1,1,0))</f>
        <v/>
      </c>
      <c r="Y602" s="39" t="str">
        <f>IF($X602=1,COUNTIF($X$2:$X602,1),"")</f>
        <v/>
      </c>
      <c r="Z602" s="39">
        <f>IF(AND($E602="timed",$N602&gt;Settings!$C$8),1,0)</f>
        <v>0</v>
      </c>
      <c r="AA602" s="39">
        <f t="shared" si="166"/>
        <v>0</v>
      </c>
      <c r="AB602" s="39">
        <f t="shared" si="167"/>
        <v>0</v>
      </c>
      <c r="AC602" s="39" t="str">
        <f t="shared" si="168"/>
        <v/>
      </c>
      <c r="AD602" s="39" t="str">
        <f t="shared" si="169"/>
        <v/>
      </c>
      <c r="AE602" s="39" t="str">
        <f t="shared" si="170"/>
        <v/>
      </c>
      <c r="AF602" s="106" t="str">
        <f t="shared" si="171"/>
        <v/>
      </c>
      <c r="AG602" s="39">
        <f t="shared" si="172"/>
        <v>0</v>
      </c>
      <c r="AH602" s="39" t="str">
        <f t="shared" si="173"/>
        <v/>
      </c>
      <c r="AI602" s="39">
        <f>IF(AND($E602="timed",$N602&gt;=Settings!$C$9),1,0)</f>
        <v>0</v>
      </c>
      <c r="AJ602" s="39" t="str">
        <f>IF(OR($S602="",Settings!$C$16=""),"",IF($S602&lt;=Settings!$C$16,1,2))</f>
        <v/>
      </c>
      <c r="AK602" s="39" t="str">
        <f>IF($C602="","",IFERROR(IF(INDEX(Settings!$C$20:$C$59,MATCH($C602,Settings!$B$20:$B$59,0))="",Settings!$C$10,INDEX(Settings!$C$20:$C$59,MATCH($C602,Settings!$B$20:$B$59,0))),Settings!$C$10))</f>
        <v/>
      </c>
      <c r="AL602" s="108">
        <f t="shared" si="174"/>
        <v>0</v>
      </c>
      <c r="AM602" s="39" t="str">
        <f t="shared" si="175"/>
        <v/>
      </c>
      <c r="AN602" s="39" t="str">
        <f t="shared" si="176"/>
        <v/>
      </c>
      <c r="AO602" s="39" t="str">
        <f t="shared" si="177"/>
        <v/>
      </c>
      <c r="AP602" s="39">
        <f t="shared" si="178"/>
        <v>0</v>
      </c>
      <c r="AQ602" s="39">
        <f t="shared" si="179"/>
        <v>0</v>
      </c>
    </row>
    <row r="603" spans="14:43" x14ac:dyDescent="0.25">
      <c r="N603" s="105">
        <f t="shared" si="162"/>
        <v>0</v>
      </c>
      <c r="O603" s="106" t="str">
        <f>IF($F603="","",IF(ISNUMBER($F603),$F603+Settings!$C$7/24,IFERROR(DATEVALUE(LEFT($F603,10))+TIMEVALUE(MID($F603,12,8))+Settings!$C$7/24,"")))</f>
        <v/>
      </c>
      <c r="P603" s="106" t="str">
        <f>IF($G603="","",IF(ISNUMBER($G603),$G603+Settings!$C$7/24,IFERROR(DATEVALUE(LEFT($G603,10))+TIMEVALUE(MID($G603,12,8))+Settings!$C$7/24,"")))</f>
        <v/>
      </c>
      <c r="Q603" s="39" t="str">
        <f t="shared" si="163"/>
        <v/>
      </c>
      <c r="R603" s="39" t="str">
        <f t="shared" si="164"/>
        <v/>
      </c>
      <c r="S603" s="107" t="str">
        <f t="shared" si="165"/>
        <v/>
      </c>
      <c r="T603" s="39" t="str">
        <f>IF($C603="","",IF(COUNTIF($C$2:$C603,$C603)=1,1,0))</f>
        <v/>
      </c>
      <c r="U603" s="39" t="str">
        <f>IF($T603=1,COUNTIF($T$2:$T603,1),"")</f>
        <v/>
      </c>
      <c r="V603" s="39" t="str">
        <f>IF($B603="","",IF(COUNTIF($B$2:$B603,$B603)=1,1,0))</f>
        <v/>
      </c>
      <c r="W603" s="39" t="str">
        <f>IF($V603=1,COUNTIF($V$2:$V603,1),"")</f>
        <v/>
      </c>
      <c r="X603" s="39" t="str">
        <f>IF($A603="","",IF(COUNTIF($A$2:$A603,$A603)=1,1,0))</f>
        <v/>
      </c>
      <c r="Y603" s="39" t="str">
        <f>IF($X603=1,COUNTIF($X$2:$X603,1),"")</f>
        <v/>
      </c>
      <c r="Z603" s="39">
        <f>IF(AND($E603="timed",$N603&gt;Settings!$C$8),1,0)</f>
        <v>0</v>
      </c>
      <c r="AA603" s="39">
        <f t="shared" si="166"/>
        <v>0</v>
      </c>
      <c r="AB603" s="39">
        <f t="shared" si="167"/>
        <v>0</v>
      </c>
      <c r="AC603" s="39" t="str">
        <f t="shared" si="168"/>
        <v/>
      </c>
      <c r="AD603" s="39" t="str">
        <f t="shared" si="169"/>
        <v/>
      </c>
      <c r="AE603" s="39" t="str">
        <f t="shared" si="170"/>
        <v/>
      </c>
      <c r="AF603" s="106" t="str">
        <f t="shared" si="171"/>
        <v/>
      </c>
      <c r="AG603" s="39">
        <f t="shared" si="172"/>
        <v>0</v>
      </c>
      <c r="AH603" s="39" t="str">
        <f t="shared" si="173"/>
        <v/>
      </c>
      <c r="AI603" s="39">
        <f>IF(AND($E603="timed",$N603&gt;=Settings!$C$9),1,0)</f>
        <v>0</v>
      </c>
      <c r="AJ603" s="39" t="str">
        <f>IF(OR($S603="",Settings!$C$16=""),"",IF($S603&lt;=Settings!$C$16,1,2))</f>
        <v/>
      </c>
      <c r="AK603" s="39" t="str">
        <f>IF($C603="","",IFERROR(IF(INDEX(Settings!$C$20:$C$59,MATCH($C603,Settings!$B$20:$B$59,0))="",Settings!$C$10,INDEX(Settings!$C$20:$C$59,MATCH($C603,Settings!$B$20:$B$59,0))),Settings!$C$10))</f>
        <v/>
      </c>
      <c r="AL603" s="108">
        <f t="shared" si="174"/>
        <v>0</v>
      </c>
      <c r="AM603" s="39" t="str">
        <f t="shared" si="175"/>
        <v/>
      </c>
      <c r="AN603" s="39" t="str">
        <f t="shared" si="176"/>
        <v/>
      </c>
      <c r="AO603" s="39" t="str">
        <f t="shared" si="177"/>
        <v/>
      </c>
      <c r="AP603" s="39">
        <f t="shared" si="178"/>
        <v>0</v>
      </c>
      <c r="AQ603" s="39">
        <f t="shared" si="179"/>
        <v>0</v>
      </c>
    </row>
    <row r="604" spans="14:43" x14ac:dyDescent="0.25">
      <c r="N604" s="105">
        <f t="shared" si="162"/>
        <v>0</v>
      </c>
      <c r="O604" s="106" t="str">
        <f>IF($F604="","",IF(ISNUMBER($F604),$F604+Settings!$C$7/24,IFERROR(DATEVALUE(LEFT($F604,10))+TIMEVALUE(MID($F604,12,8))+Settings!$C$7/24,"")))</f>
        <v/>
      </c>
      <c r="P604" s="106" t="str">
        <f>IF($G604="","",IF(ISNUMBER($G604),$G604+Settings!$C$7/24,IFERROR(DATEVALUE(LEFT($G604,10))+TIMEVALUE(MID($G604,12,8))+Settings!$C$7/24,"")))</f>
        <v/>
      </c>
      <c r="Q604" s="39" t="str">
        <f t="shared" si="163"/>
        <v/>
      </c>
      <c r="R604" s="39" t="str">
        <f t="shared" si="164"/>
        <v/>
      </c>
      <c r="S604" s="107" t="str">
        <f t="shared" si="165"/>
        <v/>
      </c>
      <c r="T604" s="39" t="str">
        <f>IF($C604="","",IF(COUNTIF($C$2:$C604,$C604)=1,1,0))</f>
        <v/>
      </c>
      <c r="U604" s="39" t="str">
        <f>IF($T604=1,COUNTIF($T$2:$T604,1),"")</f>
        <v/>
      </c>
      <c r="V604" s="39" t="str">
        <f>IF($B604="","",IF(COUNTIF($B$2:$B604,$B604)=1,1,0))</f>
        <v/>
      </c>
      <c r="W604" s="39" t="str">
        <f>IF($V604=1,COUNTIF($V$2:$V604,1),"")</f>
        <v/>
      </c>
      <c r="X604" s="39" t="str">
        <f>IF($A604="","",IF(COUNTIF($A$2:$A604,$A604)=1,1,0))</f>
        <v/>
      </c>
      <c r="Y604" s="39" t="str">
        <f>IF($X604=1,COUNTIF($X$2:$X604,1),"")</f>
        <v/>
      </c>
      <c r="Z604" s="39">
        <f>IF(AND($E604="timed",$N604&gt;Settings!$C$8),1,0)</f>
        <v>0</v>
      </c>
      <c r="AA604" s="39">
        <f t="shared" si="166"/>
        <v>0</v>
      </c>
      <c r="AB604" s="39">
        <f t="shared" si="167"/>
        <v>0</v>
      </c>
      <c r="AC604" s="39" t="str">
        <f t="shared" si="168"/>
        <v/>
      </c>
      <c r="AD604" s="39" t="str">
        <f t="shared" si="169"/>
        <v/>
      </c>
      <c r="AE604" s="39" t="str">
        <f t="shared" si="170"/>
        <v/>
      </c>
      <c r="AF604" s="106" t="str">
        <f t="shared" si="171"/>
        <v/>
      </c>
      <c r="AG604" s="39">
        <f t="shared" si="172"/>
        <v>0</v>
      </c>
      <c r="AH604" s="39" t="str">
        <f t="shared" si="173"/>
        <v/>
      </c>
      <c r="AI604" s="39">
        <f>IF(AND($E604="timed",$N604&gt;=Settings!$C$9),1,0)</f>
        <v>0</v>
      </c>
      <c r="AJ604" s="39" t="str">
        <f>IF(OR($S604="",Settings!$C$16=""),"",IF($S604&lt;=Settings!$C$16,1,2))</f>
        <v/>
      </c>
      <c r="AK604" s="39" t="str">
        <f>IF($C604="","",IFERROR(IF(INDEX(Settings!$C$20:$C$59,MATCH($C604,Settings!$B$20:$B$59,0))="",Settings!$C$10,INDEX(Settings!$C$20:$C$59,MATCH($C604,Settings!$B$20:$B$59,0))),Settings!$C$10))</f>
        <v/>
      </c>
      <c r="AL604" s="108">
        <f t="shared" si="174"/>
        <v>0</v>
      </c>
      <c r="AM604" s="39" t="str">
        <f t="shared" si="175"/>
        <v/>
      </c>
      <c r="AN604" s="39" t="str">
        <f t="shared" si="176"/>
        <v/>
      </c>
      <c r="AO604" s="39" t="str">
        <f t="shared" si="177"/>
        <v/>
      </c>
      <c r="AP604" s="39">
        <f t="shared" si="178"/>
        <v>0</v>
      </c>
      <c r="AQ604" s="39">
        <f t="shared" si="179"/>
        <v>0</v>
      </c>
    </row>
    <row r="605" spans="14:43" x14ac:dyDescent="0.25">
      <c r="N605" s="105">
        <f t="shared" si="162"/>
        <v>0</v>
      </c>
      <c r="O605" s="106" t="str">
        <f>IF($F605="","",IF(ISNUMBER($F605),$F605+Settings!$C$7/24,IFERROR(DATEVALUE(LEFT($F605,10))+TIMEVALUE(MID($F605,12,8))+Settings!$C$7/24,"")))</f>
        <v/>
      </c>
      <c r="P605" s="106" t="str">
        <f>IF($G605="","",IF(ISNUMBER($G605),$G605+Settings!$C$7/24,IFERROR(DATEVALUE(LEFT($G605,10))+TIMEVALUE(MID($G605,12,8))+Settings!$C$7/24,"")))</f>
        <v/>
      </c>
      <c r="Q605" s="39" t="str">
        <f t="shared" si="163"/>
        <v/>
      </c>
      <c r="R605" s="39" t="str">
        <f t="shared" si="164"/>
        <v/>
      </c>
      <c r="S605" s="107" t="str">
        <f t="shared" si="165"/>
        <v/>
      </c>
      <c r="T605" s="39" t="str">
        <f>IF($C605="","",IF(COUNTIF($C$2:$C605,$C605)=1,1,0))</f>
        <v/>
      </c>
      <c r="U605" s="39" t="str">
        <f>IF($T605=1,COUNTIF($T$2:$T605,1),"")</f>
        <v/>
      </c>
      <c r="V605" s="39" t="str">
        <f>IF($B605="","",IF(COUNTIF($B$2:$B605,$B605)=1,1,0))</f>
        <v/>
      </c>
      <c r="W605" s="39" t="str">
        <f>IF($V605=1,COUNTIF($V$2:$V605,1),"")</f>
        <v/>
      </c>
      <c r="X605" s="39" t="str">
        <f>IF($A605="","",IF(COUNTIF($A$2:$A605,$A605)=1,1,0))</f>
        <v/>
      </c>
      <c r="Y605" s="39" t="str">
        <f>IF($X605=1,COUNTIF($X$2:$X605,1),"")</f>
        <v/>
      </c>
      <c r="Z605" s="39">
        <f>IF(AND($E605="timed",$N605&gt;Settings!$C$8),1,0)</f>
        <v>0</v>
      </c>
      <c r="AA605" s="39">
        <f t="shared" si="166"/>
        <v>0</v>
      </c>
      <c r="AB605" s="39">
        <f t="shared" si="167"/>
        <v>0</v>
      </c>
      <c r="AC605" s="39" t="str">
        <f t="shared" si="168"/>
        <v/>
      </c>
      <c r="AD605" s="39" t="str">
        <f t="shared" si="169"/>
        <v/>
      </c>
      <c r="AE605" s="39" t="str">
        <f t="shared" si="170"/>
        <v/>
      </c>
      <c r="AF605" s="106" t="str">
        <f t="shared" si="171"/>
        <v/>
      </c>
      <c r="AG605" s="39">
        <f t="shared" si="172"/>
        <v>0</v>
      </c>
      <c r="AH605" s="39" t="str">
        <f t="shared" si="173"/>
        <v/>
      </c>
      <c r="AI605" s="39">
        <f>IF(AND($E605="timed",$N605&gt;=Settings!$C$9),1,0)</f>
        <v>0</v>
      </c>
      <c r="AJ605" s="39" t="str">
        <f>IF(OR($S605="",Settings!$C$16=""),"",IF($S605&lt;=Settings!$C$16,1,2))</f>
        <v/>
      </c>
      <c r="AK605" s="39" t="str">
        <f>IF($C605="","",IFERROR(IF(INDEX(Settings!$C$20:$C$59,MATCH($C605,Settings!$B$20:$B$59,0))="",Settings!$C$10,INDEX(Settings!$C$20:$C$59,MATCH($C605,Settings!$B$20:$B$59,0))),Settings!$C$10))</f>
        <v/>
      </c>
      <c r="AL605" s="108">
        <f t="shared" si="174"/>
        <v>0</v>
      </c>
      <c r="AM605" s="39" t="str">
        <f t="shared" si="175"/>
        <v/>
      </c>
      <c r="AN605" s="39" t="str">
        <f t="shared" si="176"/>
        <v/>
      </c>
      <c r="AO605" s="39" t="str">
        <f t="shared" si="177"/>
        <v/>
      </c>
      <c r="AP605" s="39">
        <f t="shared" si="178"/>
        <v>0</v>
      </c>
      <c r="AQ605" s="39">
        <f t="shared" si="179"/>
        <v>0</v>
      </c>
    </row>
    <row r="606" spans="14:43" x14ac:dyDescent="0.25">
      <c r="N606" s="105">
        <f t="shared" si="162"/>
        <v>0</v>
      </c>
      <c r="O606" s="106" t="str">
        <f>IF($F606="","",IF(ISNUMBER($F606),$F606+Settings!$C$7/24,IFERROR(DATEVALUE(LEFT($F606,10))+TIMEVALUE(MID($F606,12,8))+Settings!$C$7/24,"")))</f>
        <v/>
      </c>
      <c r="P606" s="106" t="str">
        <f>IF($G606="","",IF(ISNUMBER($G606),$G606+Settings!$C$7/24,IFERROR(DATEVALUE(LEFT($G606,10))+TIMEVALUE(MID($G606,12,8))+Settings!$C$7/24,"")))</f>
        <v/>
      </c>
      <c r="Q606" s="39" t="str">
        <f t="shared" si="163"/>
        <v/>
      </c>
      <c r="R606" s="39" t="str">
        <f t="shared" si="164"/>
        <v/>
      </c>
      <c r="S606" s="107" t="str">
        <f t="shared" si="165"/>
        <v/>
      </c>
      <c r="T606" s="39" t="str">
        <f>IF($C606="","",IF(COUNTIF($C$2:$C606,$C606)=1,1,0))</f>
        <v/>
      </c>
      <c r="U606" s="39" t="str">
        <f>IF($T606=1,COUNTIF($T$2:$T606,1),"")</f>
        <v/>
      </c>
      <c r="V606" s="39" t="str">
        <f>IF($B606="","",IF(COUNTIF($B$2:$B606,$B606)=1,1,0))</f>
        <v/>
      </c>
      <c r="W606" s="39" t="str">
        <f>IF($V606=1,COUNTIF($V$2:$V606,1),"")</f>
        <v/>
      </c>
      <c r="X606" s="39" t="str">
        <f>IF($A606="","",IF(COUNTIF($A$2:$A606,$A606)=1,1,0))</f>
        <v/>
      </c>
      <c r="Y606" s="39" t="str">
        <f>IF($X606=1,COUNTIF($X$2:$X606,1),"")</f>
        <v/>
      </c>
      <c r="Z606" s="39">
        <f>IF(AND($E606="timed",$N606&gt;Settings!$C$8),1,0)</f>
        <v>0</v>
      </c>
      <c r="AA606" s="39">
        <f t="shared" si="166"/>
        <v>0</v>
      </c>
      <c r="AB606" s="39">
        <f t="shared" si="167"/>
        <v>0</v>
      </c>
      <c r="AC606" s="39" t="str">
        <f t="shared" si="168"/>
        <v/>
      </c>
      <c r="AD606" s="39" t="str">
        <f t="shared" si="169"/>
        <v/>
      </c>
      <c r="AE606" s="39" t="str">
        <f t="shared" si="170"/>
        <v/>
      </c>
      <c r="AF606" s="106" t="str">
        <f t="shared" si="171"/>
        <v/>
      </c>
      <c r="AG606" s="39">
        <f t="shared" si="172"/>
        <v>0</v>
      </c>
      <c r="AH606" s="39" t="str">
        <f t="shared" si="173"/>
        <v/>
      </c>
      <c r="AI606" s="39">
        <f>IF(AND($E606="timed",$N606&gt;=Settings!$C$9),1,0)</f>
        <v>0</v>
      </c>
      <c r="AJ606" s="39" t="str">
        <f>IF(OR($S606="",Settings!$C$16=""),"",IF($S606&lt;=Settings!$C$16,1,2))</f>
        <v/>
      </c>
      <c r="AK606" s="39" t="str">
        <f>IF($C606="","",IFERROR(IF(INDEX(Settings!$C$20:$C$59,MATCH($C606,Settings!$B$20:$B$59,0))="",Settings!$C$10,INDEX(Settings!$C$20:$C$59,MATCH($C606,Settings!$B$20:$B$59,0))),Settings!$C$10))</f>
        <v/>
      </c>
      <c r="AL606" s="108">
        <f t="shared" si="174"/>
        <v>0</v>
      </c>
      <c r="AM606" s="39" t="str">
        <f t="shared" si="175"/>
        <v/>
      </c>
      <c r="AN606" s="39" t="str">
        <f t="shared" si="176"/>
        <v/>
      </c>
      <c r="AO606" s="39" t="str">
        <f t="shared" si="177"/>
        <v/>
      </c>
      <c r="AP606" s="39">
        <f t="shared" si="178"/>
        <v>0</v>
      </c>
      <c r="AQ606" s="39">
        <f t="shared" si="179"/>
        <v>0</v>
      </c>
    </row>
    <row r="607" spans="14:43" x14ac:dyDescent="0.25">
      <c r="N607" s="105">
        <f t="shared" si="162"/>
        <v>0</v>
      </c>
      <c r="O607" s="106" t="str">
        <f>IF($F607="","",IF(ISNUMBER($F607),$F607+Settings!$C$7/24,IFERROR(DATEVALUE(LEFT($F607,10))+TIMEVALUE(MID($F607,12,8))+Settings!$C$7/24,"")))</f>
        <v/>
      </c>
      <c r="P607" s="106" t="str">
        <f>IF($G607="","",IF(ISNUMBER($G607),$G607+Settings!$C$7/24,IFERROR(DATEVALUE(LEFT($G607,10))+TIMEVALUE(MID($G607,12,8))+Settings!$C$7/24,"")))</f>
        <v/>
      </c>
      <c r="Q607" s="39" t="str">
        <f t="shared" si="163"/>
        <v/>
      </c>
      <c r="R607" s="39" t="str">
        <f t="shared" si="164"/>
        <v/>
      </c>
      <c r="S607" s="107" t="str">
        <f t="shared" si="165"/>
        <v/>
      </c>
      <c r="T607" s="39" t="str">
        <f>IF($C607="","",IF(COUNTIF($C$2:$C607,$C607)=1,1,0))</f>
        <v/>
      </c>
      <c r="U607" s="39" t="str">
        <f>IF($T607=1,COUNTIF($T$2:$T607,1),"")</f>
        <v/>
      </c>
      <c r="V607" s="39" t="str">
        <f>IF($B607="","",IF(COUNTIF($B$2:$B607,$B607)=1,1,0))</f>
        <v/>
      </c>
      <c r="W607" s="39" t="str">
        <f>IF($V607=1,COUNTIF($V$2:$V607,1),"")</f>
        <v/>
      </c>
      <c r="X607" s="39" t="str">
        <f>IF($A607="","",IF(COUNTIF($A$2:$A607,$A607)=1,1,0))</f>
        <v/>
      </c>
      <c r="Y607" s="39" t="str">
        <f>IF($X607=1,COUNTIF($X$2:$X607,1),"")</f>
        <v/>
      </c>
      <c r="Z607" s="39">
        <f>IF(AND($E607="timed",$N607&gt;Settings!$C$8),1,0)</f>
        <v>0</v>
      </c>
      <c r="AA607" s="39">
        <f t="shared" si="166"/>
        <v>0</v>
      </c>
      <c r="AB607" s="39">
        <f t="shared" si="167"/>
        <v>0</v>
      </c>
      <c r="AC607" s="39" t="str">
        <f t="shared" si="168"/>
        <v/>
      </c>
      <c r="AD607" s="39" t="str">
        <f t="shared" si="169"/>
        <v/>
      </c>
      <c r="AE607" s="39" t="str">
        <f t="shared" si="170"/>
        <v/>
      </c>
      <c r="AF607" s="106" t="str">
        <f t="shared" si="171"/>
        <v/>
      </c>
      <c r="AG607" s="39">
        <f t="shared" si="172"/>
        <v>0</v>
      </c>
      <c r="AH607" s="39" t="str">
        <f t="shared" si="173"/>
        <v/>
      </c>
      <c r="AI607" s="39">
        <f>IF(AND($E607="timed",$N607&gt;=Settings!$C$9),1,0)</f>
        <v>0</v>
      </c>
      <c r="AJ607" s="39" t="str">
        <f>IF(OR($S607="",Settings!$C$16=""),"",IF($S607&lt;=Settings!$C$16,1,2))</f>
        <v/>
      </c>
      <c r="AK607" s="39" t="str">
        <f>IF($C607="","",IFERROR(IF(INDEX(Settings!$C$20:$C$59,MATCH($C607,Settings!$B$20:$B$59,0))="",Settings!$C$10,INDEX(Settings!$C$20:$C$59,MATCH($C607,Settings!$B$20:$B$59,0))),Settings!$C$10))</f>
        <v/>
      </c>
      <c r="AL607" s="108">
        <f t="shared" si="174"/>
        <v>0</v>
      </c>
      <c r="AM607" s="39" t="str">
        <f t="shared" si="175"/>
        <v/>
      </c>
      <c r="AN607" s="39" t="str">
        <f t="shared" si="176"/>
        <v/>
      </c>
      <c r="AO607" s="39" t="str">
        <f t="shared" si="177"/>
        <v/>
      </c>
      <c r="AP607" s="39">
        <f t="shared" si="178"/>
        <v>0</v>
      </c>
      <c r="AQ607" s="39">
        <f t="shared" si="179"/>
        <v>0</v>
      </c>
    </row>
    <row r="608" spans="14:43" x14ac:dyDescent="0.25">
      <c r="N608" s="105">
        <f t="shared" si="162"/>
        <v>0</v>
      </c>
      <c r="O608" s="106" t="str">
        <f>IF($F608="","",IF(ISNUMBER($F608),$F608+Settings!$C$7/24,IFERROR(DATEVALUE(LEFT($F608,10))+TIMEVALUE(MID($F608,12,8))+Settings!$C$7/24,"")))</f>
        <v/>
      </c>
      <c r="P608" s="106" t="str">
        <f>IF($G608="","",IF(ISNUMBER($G608),$G608+Settings!$C$7/24,IFERROR(DATEVALUE(LEFT($G608,10))+TIMEVALUE(MID($G608,12,8))+Settings!$C$7/24,"")))</f>
        <v/>
      </c>
      <c r="Q608" s="39" t="str">
        <f t="shared" si="163"/>
        <v/>
      </c>
      <c r="R608" s="39" t="str">
        <f t="shared" si="164"/>
        <v/>
      </c>
      <c r="S608" s="107" t="str">
        <f t="shared" si="165"/>
        <v/>
      </c>
      <c r="T608" s="39" t="str">
        <f>IF($C608="","",IF(COUNTIF($C$2:$C608,$C608)=1,1,0))</f>
        <v/>
      </c>
      <c r="U608" s="39" t="str">
        <f>IF($T608=1,COUNTIF($T$2:$T608,1),"")</f>
        <v/>
      </c>
      <c r="V608" s="39" t="str">
        <f>IF($B608="","",IF(COUNTIF($B$2:$B608,$B608)=1,1,0))</f>
        <v/>
      </c>
      <c r="W608" s="39" t="str">
        <f>IF($V608=1,COUNTIF($V$2:$V608,1),"")</f>
        <v/>
      </c>
      <c r="X608" s="39" t="str">
        <f>IF($A608="","",IF(COUNTIF($A$2:$A608,$A608)=1,1,0))</f>
        <v/>
      </c>
      <c r="Y608" s="39" t="str">
        <f>IF($X608=1,COUNTIF($X$2:$X608,1),"")</f>
        <v/>
      </c>
      <c r="Z608" s="39">
        <f>IF(AND($E608="timed",$N608&gt;Settings!$C$8),1,0)</f>
        <v>0</v>
      </c>
      <c r="AA608" s="39">
        <f t="shared" si="166"/>
        <v>0</v>
      </c>
      <c r="AB608" s="39">
        <f t="shared" si="167"/>
        <v>0</v>
      </c>
      <c r="AC608" s="39" t="str">
        <f t="shared" si="168"/>
        <v/>
      </c>
      <c r="AD608" s="39" t="str">
        <f t="shared" si="169"/>
        <v/>
      </c>
      <c r="AE608" s="39" t="str">
        <f t="shared" si="170"/>
        <v/>
      </c>
      <c r="AF608" s="106" t="str">
        <f t="shared" si="171"/>
        <v/>
      </c>
      <c r="AG608" s="39">
        <f t="shared" si="172"/>
        <v>0</v>
      </c>
      <c r="AH608" s="39" t="str">
        <f t="shared" si="173"/>
        <v/>
      </c>
      <c r="AI608" s="39">
        <f>IF(AND($E608="timed",$N608&gt;=Settings!$C$9),1,0)</f>
        <v>0</v>
      </c>
      <c r="AJ608" s="39" t="str">
        <f>IF(OR($S608="",Settings!$C$16=""),"",IF($S608&lt;=Settings!$C$16,1,2))</f>
        <v/>
      </c>
      <c r="AK608" s="39" t="str">
        <f>IF($C608="","",IFERROR(IF(INDEX(Settings!$C$20:$C$59,MATCH($C608,Settings!$B$20:$B$59,0))="",Settings!$C$10,INDEX(Settings!$C$20:$C$59,MATCH($C608,Settings!$B$20:$B$59,0))),Settings!$C$10))</f>
        <v/>
      </c>
      <c r="AL608" s="108">
        <f t="shared" si="174"/>
        <v>0</v>
      </c>
      <c r="AM608" s="39" t="str">
        <f t="shared" si="175"/>
        <v/>
      </c>
      <c r="AN608" s="39" t="str">
        <f t="shared" si="176"/>
        <v/>
      </c>
      <c r="AO608" s="39" t="str">
        <f t="shared" si="177"/>
        <v/>
      </c>
      <c r="AP608" s="39">
        <f t="shared" si="178"/>
        <v>0</v>
      </c>
      <c r="AQ608" s="39">
        <f t="shared" si="179"/>
        <v>0</v>
      </c>
    </row>
    <row r="609" spans="14:43" x14ac:dyDescent="0.25">
      <c r="N609" s="105">
        <f t="shared" si="162"/>
        <v>0</v>
      </c>
      <c r="O609" s="106" t="str">
        <f>IF($F609="","",IF(ISNUMBER($F609),$F609+Settings!$C$7/24,IFERROR(DATEVALUE(LEFT($F609,10))+TIMEVALUE(MID($F609,12,8))+Settings!$C$7/24,"")))</f>
        <v/>
      </c>
      <c r="P609" s="106" t="str">
        <f>IF($G609="","",IF(ISNUMBER($G609),$G609+Settings!$C$7/24,IFERROR(DATEVALUE(LEFT($G609,10))+TIMEVALUE(MID($G609,12,8))+Settings!$C$7/24,"")))</f>
        <v/>
      </c>
      <c r="Q609" s="39" t="str">
        <f t="shared" si="163"/>
        <v/>
      </c>
      <c r="R609" s="39" t="str">
        <f t="shared" si="164"/>
        <v/>
      </c>
      <c r="S609" s="107" t="str">
        <f t="shared" si="165"/>
        <v/>
      </c>
      <c r="T609" s="39" t="str">
        <f>IF($C609="","",IF(COUNTIF($C$2:$C609,$C609)=1,1,0))</f>
        <v/>
      </c>
      <c r="U609" s="39" t="str">
        <f>IF($T609=1,COUNTIF($T$2:$T609,1),"")</f>
        <v/>
      </c>
      <c r="V609" s="39" t="str">
        <f>IF($B609="","",IF(COUNTIF($B$2:$B609,$B609)=1,1,0))</f>
        <v/>
      </c>
      <c r="W609" s="39" t="str">
        <f>IF($V609=1,COUNTIF($V$2:$V609,1),"")</f>
        <v/>
      </c>
      <c r="X609" s="39" t="str">
        <f>IF($A609="","",IF(COUNTIF($A$2:$A609,$A609)=1,1,0))</f>
        <v/>
      </c>
      <c r="Y609" s="39" t="str">
        <f>IF($X609=1,COUNTIF($X$2:$X609,1),"")</f>
        <v/>
      </c>
      <c r="Z609" s="39">
        <f>IF(AND($E609="timed",$N609&gt;Settings!$C$8),1,0)</f>
        <v>0</v>
      </c>
      <c r="AA609" s="39">
        <f t="shared" si="166"/>
        <v>0</v>
      </c>
      <c r="AB609" s="39">
        <f t="shared" si="167"/>
        <v>0</v>
      </c>
      <c r="AC609" s="39" t="str">
        <f t="shared" si="168"/>
        <v/>
      </c>
      <c r="AD609" s="39" t="str">
        <f t="shared" si="169"/>
        <v/>
      </c>
      <c r="AE609" s="39" t="str">
        <f t="shared" si="170"/>
        <v/>
      </c>
      <c r="AF609" s="106" t="str">
        <f t="shared" si="171"/>
        <v/>
      </c>
      <c r="AG609" s="39">
        <f t="shared" si="172"/>
        <v>0</v>
      </c>
      <c r="AH609" s="39" t="str">
        <f t="shared" si="173"/>
        <v/>
      </c>
      <c r="AI609" s="39">
        <f>IF(AND($E609="timed",$N609&gt;=Settings!$C$9),1,0)</f>
        <v>0</v>
      </c>
      <c r="AJ609" s="39" t="str">
        <f>IF(OR($S609="",Settings!$C$16=""),"",IF($S609&lt;=Settings!$C$16,1,2))</f>
        <v/>
      </c>
      <c r="AK609" s="39" t="str">
        <f>IF($C609="","",IFERROR(IF(INDEX(Settings!$C$20:$C$59,MATCH($C609,Settings!$B$20:$B$59,0))="",Settings!$C$10,INDEX(Settings!$C$20:$C$59,MATCH($C609,Settings!$B$20:$B$59,0))),Settings!$C$10))</f>
        <v/>
      </c>
      <c r="AL609" s="108">
        <f t="shared" si="174"/>
        <v>0</v>
      </c>
      <c r="AM609" s="39" t="str">
        <f t="shared" si="175"/>
        <v/>
      </c>
      <c r="AN609" s="39" t="str">
        <f t="shared" si="176"/>
        <v/>
      </c>
      <c r="AO609" s="39" t="str">
        <f t="shared" si="177"/>
        <v/>
      </c>
      <c r="AP609" s="39">
        <f t="shared" si="178"/>
        <v>0</v>
      </c>
      <c r="AQ609" s="39">
        <f t="shared" si="179"/>
        <v>0</v>
      </c>
    </row>
    <row r="610" spans="14:43" x14ac:dyDescent="0.25">
      <c r="N610" s="105">
        <f t="shared" si="162"/>
        <v>0</v>
      </c>
      <c r="O610" s="106" t="str">
        <f>IF($F610="","",IF(ISNUMBER($F610),$F610+Settings!$C$7/24,IFERROR(DATEVALUE(LEFT($F610,10))+TIMEVALUE(MID($F610,12,8))+Settings!$C$7/24,"")))</f>
        <v/>
      </c>
      <c r="P610" s="106" t="str">
        <f>IF($G610="","",IF(ISNUMBER($G610),$G610+Settings!$C$7/24,IFERROR(DATEVALUE(LEFT($G610,10))+TIMEVALUE(MID($G610,12,8))+Settings!$C$7/24,"")))</f>
        <v/>
      </c>
      <c r="Q610" s="39" t="str">
        <f t="shared" si="163"/>
        <v/>
      </c>
      <c r="R610" s="39" t="str">
        <f t="shared" si="164"/>
        <v/>
      </c>
      <c r="S610" s="107" t="str">
        <f t="shared" si="165"/>
        <v/>
      </c>
      <c r="T610" s="39" t="str">
        <f>IF($C610="","",IF(COUNTIF($C$2:$C610,$C610)=1,1,0))</f>
        <v/>
      </c>
      <c r="U610" s="39" t="str">
        <f>IF($T610=1,COUNTIF($T$2:$T610,1),"")</f>
        <v/>
      </c>
      <c r="V610" s="39" t="str">
        <f>IF($B610="","",IF(COUNTIF($B$2:$B610,$B610)=1,1,0))</f>
        <v/>
      </c>
      <c r="W610" s="39" t="str">
        <f>IF($V610=1,COUNTIF($V$2:$V610,1),"")</f>
        <v/>
      </c>
      <c r="X610" s="39" t="str">
        <f>IF($A610="","",IF(COUNTIF($A$2:$A610,$A610)=1,1,0))</f>
        <v/>
      </c>
      <c r="Y610" s="39" t="str">
        <f>IF($X610=1,COUNTIF($X$2:$X610,1),"")</f>
        <v/>
      </c>
      <c r="Z610" s="39">
        <f>IF(AND($E610="timed",$N610&gt;Settings!$C$8),1,0)</f>
        <v>0</v>
      </c>
      <c r="AA610" s="39">
        <f t="shared" si="166"/>
        <v>0</v>
      </c>
      <c r="AB610" s="39">
        <f t="shared" si="167"/>
        <v>0</v>
      </c>
      <c r="AC610" s="39" t="str">
        <f t="shared" si="168"/>
        <v/>
      </c>
      <c r="AD610" s="39" t="str">
        <f t="shared" si="169"/>
        <v/>
      </c>
      <c r="AE610" s="39" t="str">
        <f t="shared" si="170"/>
        <v/>
      </c>
      <c r="AF610" s="106" t="str">
        <f t="shared" si="171"/>
        <v/>
      </c>
      <c r="AG610" s="39">
        <f t="shared" si="172"/>
        <v>0</v>
      </c>
      <c r="AH610" s="39" t="str">
        <f t="shared" si="173"/>
        <v/>
      </c>
      <c r="AI610" s="39">
        <f>IF(AND($E610="timed",$N610&gt;=Settings!$C$9),1,0)</f>
        <v>0</v>
      </c>
      <c r="AJ610" s="39" t="str">
        <f>IF(OR($S610="",Settings!$C$16=""),"",IF($S610&lt;=Settings!$C$16,1,2))</f>
        <v/>
      </c>
      <c r="AK610" s="39" t="str">
        <f>IF($C610="","",IFERROR(IF(INDEX(Settings!$C$20:$C$59,MATCH($C610,Settings!$B$20:$B$59,0))="",Settings!$C$10,INDEX(Settings!$C$20:$C$59,MATCH($C610,Settings!$B$20:$B$59,0))),Settings!$C$10))</f>
        <v/>
      </c>
      <c r="AL610" s="108">
        <f t="shared" si="174"/>
        <v>0</v>
      </c>
      <c r="AM610" s="39" t="str">
        <f t="shared" si="175"/>
        <v/>
      </c>
      <c r="AN610" s="39" t="str">
        <f t="shared" si="176"/>
        <v/>
      </c>
      <c r="AO610" s="39" t="str">
        <f t="shared" si="177"/>
        <v/>
      </c>
      <c r="AP610" s="39">
        <f t="shared" si="178"/>
        <v>0</v>
      </c>
      <c r="AQ610" s="39">
        <f t="shared" si="179"/>
        <v>0</v>
      </c>
    </row>
    <row r="611" spans="14:43" x14ac:dyDescent="0.25">
      <c r="N611" s="105">
        <f t="shared" si="162"/>
        <v>0</v>
      </c>
      <c r="O611" s="106" t="str">
        <f>IF($F611="","",IF(ISNUMBER($F611),$F611+Settings!$C$7/24,IFERROR(DATEVALUE(LEFT($F611,10))+TIMEVALUE(MID($F611,12,8))+Settings!$C$7/24,"")))</f>
        <v/>
      </c>
      <c r="P611" s="106" t="str">
        <f>IF($G611="","",IF(ISNUMBER($G611),$G611+Settings!$C$7/24,IFERROR(DATEVALUE(LEFT($G611,10))+TIMEVALUE(MID($G611,12,8))+Settings!$C$7/24,"")))</f>
        <v/>
      </c>
      <c r="Q611" s="39" t="str">
        <f t="shared" si="163"/>
        <v/>
      </c>
      <c r="R611" s="39" t="str">
        <f t="shared" si="164"/>
        <v/>
      </c>
      <c r="S611" s="107" t="str">
        <f t="shared" si="165"/>
        <v/>
      </c>
      <c r="T611" s="39" t="str">
        <f>IF($C611="","",IF(COUNTIF($C$2:$C611,$C611)=1,1,0))</f>
        <v/>
      </c>
      <c r="U611" s="39" t="str">
        <f>IF($T611=1,COUNTIF($T$2:$T611,1),"")</f>
        <v/>
      </c>
      <c r="V611" s="39" t="str">
        <f>IF($B611="","",IF(COUNTIF($B$2:$B611,$B611)=1,1,0))</f>
        <v/>
      </c>
      <c r="W611" s="39" t="str">
        <f>IF($V611=1,COUNTIF($V$2:$V611,1),"")</f>
        <v/>
      </c>
      <c r="X611" s="39" t="str">
        <f>IF($A611="","",IF(COUNTIF($A$2:$A611,$A611)=1,1,0))</f>
        <v/>
      </c>
      <c r="Y611" s="39" t="str">
        <f>IF($X611=1,COUNTIF($X$2:$X611,1),"")</f>
        <v/>
      </c>
      <c r="Z611" s="39">
        <f>IF(AND($E611="timed",$N611&gt;Settings!$C$8),1,0)</f>
        <v>0</v>
      </c>
      <c r="AA611" s="39">
        <f t="shared" si="166"/>
        <v>0</v>
      </c>
      <c r="AB611" s="39">
        <f t="shared" si="167"/>
        <v>0</v>
      </c>
      <c r="AC611" s="39" t="str">
        <f t="shared" si="168"/>
        <v/>
      </c>
      <c r="AD611" s="39" t="str">
        <f t="shared" si="169"/>
        <v/>
      </c>
      <c r="AE611" s="39" t="str">
        <f t="shared" si="170"/>
        <v/>
      </c>
      <c r="AF611" s="106" t="str">
        <f t="shared" si="171"/>
        <v/>
      </c>
      <c r="AG611" s="39">
        <f t="shared" si="172"/>
        <v>0</v>
      </c>
      <c r="AH611" s="39" t="str">
        <f t="shared" si="173"/>
        <v/>
      </c>
      <c r="AI611" s="39">
        <f>IF(AND($E611="timed",$N611&gt;=Settings!$C$9),1,0)</f>
        <v>0</v>
      </c>
      <c r="AJ611" s="39" t="str">
        <f>IF(OR($S611="",Settings!$C$16=""),"",IF($S611&lt;=Settings!$C$16,1,2))</f>
        <v/>
      </c>
      <c r="AK611" s="39" t="str">
        <f>IF($C611="","",IFERROR(IF(INDEX(Settings!$C$20:$C$59,MATCH($C611,Settings!$B$20:$B$59,0))="",Settings!$C$10,INDEX(Settings!$C$20:$C$59,MATCH($C611,Settings!$B$20:$B$59,0))),Settings!$C$10))</f>
        <v/>
      </c>
      <c r="AL611" s="108">
        <f t="shared" si="174"/>
        <v>0</v>
      </c>
      <c r="AM611" s="39" t="str">
        <f t="shared" si="175"/>
        <v/>
      </c>
      <c r="AN611" s="39" t="str">
        <f t="shared" si="176"/>
        <v/>
      </c>
      <c r="AO611" s="39" t="str">
        <f t="shared" si="177"/>
        <v/>
      </c>
      <c r="AP611" s="39">
        <f t="shared" si="178"/>
        <v>0</v>
      </c>
      <c r="AQ611" s="39">
        <f t="shared" si="179"/>
        <v>0</v>
      </c>
    </row>
    <row r="612" spans="14:43" x14ac:dyDescent="0.25">
      <c r="N612" s="105">
        <f t="shared" si="162"/>
        <v>0</v>
      </c>
      <c r="O612" s="106" t="str">
        <f>IF($F612="","",IF(ISNUMBER($F612),$F612+Settings!$C$7/24,IFERROR(DATEVALUE(LEFT($F612,10))+TIMEVALUE(MID($F612,12,8))+Settings!$C$7/24,"")))</f>
        <v/>
      </c>
      <c r="P612" s="106" t="str">
        <f>IF($G612="","",IF(ISNUMBER($G612),$G612+Settings!$C$7/24,IFERROR(DATEVALUE(LEFT($G612,10))+TIMEVALUE(MID($G612,12,8))+Settings!$C$7/24,"")))</f>
        <v/>
      </c>
      <c r="Q612" s="39" t="str">
        <f t="shared" si="163"/>
        <v/>
      </c>
      <c r="R612" s="39" t="str">
        <f t="shared" si="164"/>
        <v/>
      </c>
      <c r="S612" s="107" t="str">
        <f t="shared" si="165"/>
        <v/>
      </c>
      <c r="T612" s="39" t="str">
        <f>IF($C612="","",IF(COUNTIF($C$2:$C612,$C612)=1,1,0))</f>
        <v/>
      </c>
      <c r="U612" s="39" t="str">
        <f>IF($T612=1,COUNTIF($T$2:$T612,1),"")</f>
        <v/>
      </c>
      <c r="V612" s="39" t="str">
        <f>IF($B612="","",IF(COUNTIF($B$2:$B612,$B612)=1,1,0))</f>
        <v/>
      </c>
      <c r="W612" s="39" t="str">
        <f>IF($V612=1,COUNTIF($V$2:$V612,1),"")</f>
        <v/>
      </c>
      <c r="X612" s="39" t="str">
        <f>IF($A612="","",IF(COUNTIF($A$2:$A612,$A612)=1,1,0))</f>
        <v/>
      </c>
      <c r="Y612" s="39" t="str">
        <f>IF($X612=1,COUNTIF($X$2:$X612,1),"")</f>
        <v/>
      </c>
      <c r="Z612" s="39">
        <f>IF(AND($E612="timed",$N612&gt;Settings!$C$8),1,0)</f>
        <v>0</v>
      </c>
      <c r="AA612" s="39">
        <f t="shared" si="166"/>
        <v>0</v>
      </c>
      <c r="AB612" s="39">
        <f t="shared" si="167"/>
        <v>0</v>
      </c>
      <c r="AC612" s="39" t="str">
        <f t="shared" si="168"/>
        <v/>
      </c>
      <c r="AD612" s="39" t="str">
        <f t="shared" si="169"/>
        <v/>
      </c>
      <c r="AE612" s="39" t="str">
        <f t="shared" si="170"/>
        <v/>
      </c>
      <c r="AF612" s="106" t="str">
        <f t="shared" si="171"/>
        <v/>
      </c>
      <c r="AG612" s="39">
        <f t="shared" si="172"/>
        <v>0</v>
      </c>
      <c r="AH612" s="39" t="str">
        <f t="shared" si="173"/>
        <v/>
      </c>
      <c r="AI612" s="39">
        <f>IF(AND($E612="timed",$N612&gt;=Settings!$C$9),1,0)</f>
        <v>0</v>
      </c>
      <c r="AJ612" s="39" t="str">
        <f>IF(OR($S612="",Settings!$C$16=""),"",IF($S612&lt;=Settings!$C$16,1,2))</f>
        <v/>
      </c>
      <c r="AK612" s="39" t="str">
        <f>IF($C612="","",IFERROR(IF(INDEX(Settings!$C$20:$C$59,MATCH($C612,Settings!$B$20:$B$59,0))="",Settings!$C$10,INDEX(Settings!$C$20:$C$59,MATCH($C612,Settings!$B$20:$B$59,0))),Settings!$C$10))</f>
        <v/>
      </c>
      <c r="AL612" s="108">
        <f t="shared" si="174"/>
        <v>0</v>
      </c>
      <c r="AM612" s="39" t="str">
        <f t="shared" si="175"/>
        <v/>
      </c>
      <c r="AN612" s="39" t="str">
        <f t="shared" si="176"/>
        <v/>
      </c>
      <c r="AO612" s="39" t="str">
        <f t="shared" si="177"/>
        <v/>
      </c>
      <c r="AP612" s="39">
        <f t="shared" si="178"/>
        <v>0</v>
      </c>
      <c r="AQ612" s="39">
        <f t="shared" si="179"/>
        <v>0</v>
      </c>
    </row>
    <row r="613" spans="14:43" x14ac:dyDescent="0.25">
      <c r="N613" s="105">
        <f t="shared" si="162"/>
        <v>0</v>
      </c>
      <c r="O613" s="106" t="str">
        <f>IF($F613="","",IF(ISNUMBER($F613),$F613+Settings!$C$7/24,IFERROR(DATEVALUE(LEFT($F613,10))+TIMEVALUE(MID($F613,12,8))+Settings!$C$7/24,"")))</f>
        <v/>
      </c>
      <c r="P613" s="106" t="str">
        <f>IF($G613="","",IF(ISNUMBER($G613),$G613+Settings!$C$7/24,IFERROR(DATEVALUE(LEFT($G613,10))+TIMEVALUE(MID($G613,12,8))+Settings!$C$7/24,"")))</f>
        <v/>
      </c>
      <c r="Q613" s="39" t="str">
        <f t="shared" si="163"/>
        <v/>
      </c>
      <c r="R613" s="39" t="str">
        <f t="shared" si="164"/>
        <v/>
      </c>
      <c r="S613" s="107" t="str">
        <f t="shared" si="165"/>
        <v/>
      </c>
      <c r="T613" s="39" t="str">
        <f>IF($C613="","",IF(COUNTIF($C$2:$C613,$C613)=1,1,0))</f>
        <v/>
      </c>
      <c r="U613" s="39" t="str">
        <f>IF($T613=1,COUNTIF($T$2:$T613,1),"")</f>
        <v/>
      </c>
      <c r="V613" s="39" t="str">
        <f>IF($B613="","",IF(COUNTIF($B$2:$B613,$B613)=1,1,0))</f>
        <v/>
      </c>
      <c r="W613" s="39" t="str">
        <f>IF($V613=1,COUNTIF($V$2:$V613,1),"")</f>
        <v/>
      </c>
      <c r="X613" s="39" t="str">
        <f>IF($A613="","",IF(COUNTIF($A$2:$A613,$A613)=1,1,0))</f>
        <v/>
      </c>
      <c r="Y613" s="39" t="str">
        <f>IF($X613=1,COUNTIF($X$2:$X613,1),"")</f>
        <v/>
      </c>
      <c r="Z613" s="39">
        <f>IF(AND($E613="timed",$N613&gt;Settings!$C$8),1,0)</f>
        <v>0</v>
      </c>
      <c r="AA613" s="39">
        <f t="shared" si="166"/>
        <v>0</v>
      </c>
      <c r="AB613" s="39">
        <f t="shared" si="167"/>
        <v>0</v>
      </c>
      <c r="AC613" s="39" t="str">
        <f t="shared" si="168"/>
        <v/>
      </c>
      <c r="AD613" s="39" t="str">
        <f t="shared" si="169"/>
        <v/>
      </c>
      <c r="AE613" s="39" t="str">
        <f t="shared" si="170"/>
        <v/>
      </c>
      <c r="AF613" s="106" t="str">
        <f t="shared" si="171"/>
        <v/>
      </c>
      <c r="AG613" s="39">
        <f t="shared" si="172"/>
        <v>0</v>
      </c>
      <c r="AH613" s="39" t="str">
        <f t="shared" si="173"/>
        <v/>
      </c>
      <c r="AI613" s="39">
        <f>IF(AND($E613="timed",$N613&gt;=Settings!$C$9),1,0)</f>
        <v>0</v>
      </c>
      <c r="AJ613" s="39" t="str">
        <f>IF(OR($S613="",Settings!$C$16=""),"",IF($S613&lt;=Settings!$C$16,1,2))</f>
        <v/>
      </c>
      <c r="AK613" s="39" t="str">
        <f>IF($C613="","",IFERROR(IF(INDEX(Settings!$C$20:$C$59,MATCH($C613,Settings!$B$20:$B$59,0))="",Settings!$C$10,INDEX(Settings!$C$20:$C$59,MATCH($C613,Settings!$B$20:$B$59,0))),Settings!$C$10))</f>
        <v/>
      </c>
      <c r="AL613" s="108">
        <f t="shared" si="174"/>
        <v>0</v>
      </c>
      <c r="AM613" s="39" t="str">
        <f t="shared" si="175"/>
        <v/>
      </c>
      <c r="AN613" s="39" t="str">
        <f t="shared" si="176"/>
        <v/>
      </c>
      <c r="AO613" s="39" t="str">
        <f t="shared" si="177"/>
        <v/>
      </c>
      <c r="AP613" s="39">
        <f t="shared" si="178"/>
        <v>0</v>
      </c>
      <c r="AQ613" s="39">
        <f t="shared" si="179"/>
        <v>0</v>
      </c>
    </row>
    <row r="614" spans="14:43" x14ac:dyDescent="0.25">
      <c r="N614" s="105">
        <f t="shared" si="162"/>
        <v>0</v>
      </c>
      <c r="O614" s="106" t="str">
        <f>IF($F614="","",IF(ISNUMBER($F614),$F614+Settings!$C$7/24,IFERROR(DATEVALUE(LEFT($F614,10))+TIMEVALUE(MID($F614,12,8))+Settings!$C$7/24,"")))</f>
        <v/>
      </c>
      <c r="P614" s="106" t="str">
        <f>IF($G614="","",IF(ISNUMBER($G614),$G614+Settings!$C$7/24,IFERROR(DATEVALUE(LEFT($G614,10))+TIMEVALUE(MID($G614,12,8))+Settings!$C$7/24,"")))</f>
        <v/>
      </c>
      <c r="Q614" s="39" t="str">
        <f t="shared" si="163"/>
        <v/>
      </c>
      <c r="R614" s="39" t="str">
        <f t="shared" si="164"/>
        <v/>
      </c>
      <c r="S614" s="107" t="str">
        <f t="shared" si="165"/>
        <v/>
      </c>
      <c r="T614" s="39" t="str">
        <f>IF($C614="","",IF(COUNTIF($C$2:$C614,$C614)=1,1,0))</f>
        <v/>
      </c>
      <c r="U614" s="39" t="str">
        <f>IF($T614=1,COUNTIF($T$2:$T614,1),"")</f>
        <v/>
      </c>
      <c r="V614" s="39" t="str">
        <f>IF($B614="","",IF(COUNTIF($B$2:$B614,$B614)=1,1,0))</f>
        <v/>
      </c>
      <c r="W614" s="39" t="str">
        <f>IF($V614=1,COUNTIF($V$2:$V614,1),"")</f>
        <v/>
      </c>
      <c r="X614" s="39" t="str">
        <f>IF($A614="","",IF(COUNTIF($A$2:$A614,$A614)=1,1,0))</f>
        <v/>
      </c>
      <c r="Y614" s="39" t="str">
        <f>IF($X614=1,COUNTIF($X$2:$X614,1),"")</f>
        <v/>
      </c>
      <c r="Z614" s="39">
        <f>IF(AND($E614="timed",$N614&gt;Settings!$C$8),1,0)</f>
        <v>0</v>
      </c>
      <c r="AA614" s="39">
        <f t="shared" si="166"/>
        <v>0</v>
      </c>
      <c r="AB614" s="39">
        <f t="shared" si="167"/>
        <v>0</v>
      </c>
      <c r="AC614" s="39" t="str">
        <f t="shared" si="168"/>
        <v/>
      </c>
      <c r="AD614" s="39" t="str">
        <f t="shared" si="169"/>
        <v/>
      </c>
      <c r="AE614" s="39" t="str">
        <f t="shared" si="170"/>
        <v/>
      </c>
      <c r="AF614" s="106" t="str">
        <f t="shared" si="171"/>
        <v/>
      </c>
      <c r="AG614" s="39">
        <f t="shared" si="172"/>
        <v>0</v>
      </c>
      <c r="AH614" s="39" t="str">
        <f t="shared" si="173"/>
        <v/>
      </c>
      <c r="AI614" s="39">
        <f>IF(AND($E614="timed",$N614&gt;=Settings!$C$9),1,0)</f>
        <v>0</v>
      </c>
      <c r="AJ614" s="39" t="str">
        <f>IF(OR($S614="",Settings!$C$16=""),"",IF($S614&lt;=Settings!$C$16,1,2))</f>
        <v/>
      </c>
      <c r="AK614" s="39" t="str">
        <f>IF($C614="","",IFERROR(IF(INDEX(Settings!$C$20:$C$59,MATCH($C614,Settings!$B$20:$B$59,0))="",Settings!$C$10,INDEX(Settings!$C$20:$C$59,MATCH($C614,Settings!$B$20:$B$59,0))),Settings!$C$10))</f>
        <v/>
      </c>
      <c r="AL614" s="108">
        <f t="shared" si="174"/>
        <v>0</v>
      </c>
      <c r="AM614" s="39" t="str">
        <f t="shared" si="175"/>
        <v/>
      </c>
      <c r="AN614" s="39" t="str">
        <f t="shared" si="176"/>
        <v/>
      </c>
      <c r="AO614" s="39" t="str">
        <f t="shared" si="177"/>
        <v/>
      </c>
      <c r="AP614" s="39">
        <f t="shared" si="178"/>
        <v>0</v>
      </c>
      <c r="AQ614" s="39">
        <f t="shared" si="179"/>
        <v>0</v>
      </c>
    </row>
    <row r="615" spans="14:43" x14ac:dyDescent="0.25">
      <c r="N615" s="105">
        <f t="shared" si="162"/>
        <v>0</v>
      </c>
      <c r="O615" s="106" t="str">
        <f>IF($F615="","",IF(ISNUMBER($F615),$F615+Settings!$C$7/24,IFERROR(DATEVALUE(LEFT($F615,10))+TIMEVALUE(MID($F615,12,8))+Settings!$C$7/24,"")))</f>
        <v/>
      </c>
      <c r="P615" s="106" t="str">
        <f>IF($G615="","",IF(ISNUMBER($G615),$G615+Settings!$C$7/24,IFERROR(DATEVALUE(LEFT($G615,10))+TIMEVALUE(MID($G615,12,8))+Settings!$C$7/24,"")))</f>
        <v/>
      </c>
      <c r="Q615" s="39" t="str">
        <f t="shared" si="163"/>
        <v/>
      </c>
      <c r="R615" s="39" t="str">
        <f t="shared" si="164"/>
        <v/>
      </c>
      <c r="S615" s="107" t="str">
        <f t="shared" si="165"/>
        <v/>
      </c>
      <c r="T615" s="39" t="str">
        <f>IF($C615="","",IF(COUNTIF($C$2:$C615,$C615)=1,1,0))</f>
        <v/>
      </c>
      <c r="U615" s="39" t="str">
        <f>IF($T615=1,COUNTIF($T$2:$T615,1),"")</f>
        <v/>
      </c>
      <c r="V615" s="39" t="str">
        <f>IF($B615="","",IF(COUNTIF($B$2:$B615,$B615)=1,1,0))</f>
        <v/>
      </c>
      <c r="W615" s="39" t="str">
        <f>IF($V615=1,COUNTIF($V$2:$V615,1),"")</f>
        <v/>
      </c>
      <c r="X615" s="39" t="str">
        <f>IF($A615="","",IF(COUNTIF($A$2:$A615,$A615)=1,1,0))</f>
        <v/>
      </c>
      <c r="Y615" s="39" t="str">
        <f>IF($X615=1,COUNTIF($X$2:$X615,1),"")</f>
        <v/>
      </c>
      <c r="Z615" s="39">
        <f>IF(AND($E615="timed",$N615&gt;Settings!$C$8),1,0)</f>
        <v>0</v>
      </c>
      <c r="AA615" s="39">
        <f t="shared" si="166"/>
        <v>0</v>
      </c>
      <c r="AB615" s="39">
        <f t="shared" si="167"/>
        <v>0</v>
      </c>
      <c r="AC615" s="39" t="str">
        <f t="shared" si="168"/>
        <v/>
      </c>
      <c r="AD615" s="39" t="str">
        <f t="shared" si="169"/>
        <v/>
      </c>
      <c r="AE615" s="39" t="str">
        <f t="shared" si="170"/>
        <v/>
      </c>
      <c r="AF615" s="106" t="str">
        <f t="shared" si="171"/>
        <v/>
      </c>
      <c r="AG615" s="39">
        <f t="shared" si="172"/>
        <v>0</v>
      </c>
      <c r="AH615" s="39" t="str">
        <f t="shared" si="173"/>
        <v/>
      </c>
      <c r="AI615" s="39">
        <f>IF(AND($E615="timed",$N615&gt;=Settings!$C$9),1,0)</f>
        <v>0</v>
      </c>
      <c r="AJ615" s="39" t="str">
        <f>IF(OR($S615="",Settings!$C$16=""),"",IF($S615&lt;=Settings!$C$16,1,2))</f>
        <v/>
      </c>
      <c r="AK615" s="39" t="str">
        <f>IF($C615="","",IFERROR(IF(INDEX(Settings!$C$20:$C$59,MATCH($C615,Settings!$B$20:$B$59,0))="",Settings!$C$10,INDEX(Settings!$C$20:$C$59,MATCH($C615,Settings!$B$20:$B$59,0))),Settings!$C$10))</f>
        <v/>
      </c>
      <c r="AL615" s="108">
        <f t="shared" si="174"/>
        <v>0</v>
      </c>
      <c r="AM615" s="39" t="str">
        <f t="shared" si="175"/>
        <v/>
      </c>
      <c r="AN615" s="39" t="str">
        <f t="shared" si="176"/>
        <v/>
      </c>
      <c r="AO615" s="39" t="str">
        <f t="shared" si="177"/>
        <v/>
      </c>
      <c r="AP615" s="39">
        <f t="shared" si="178"/>
        <v>0</v>
      </c>
      <c r="AQ615" s="39">
        <f t="shared" si="179"/>
        <v>0</v>
      </c>
    </row>
    <row r="616" spans="14:43" x14ac:dyDescent="0.25">
      <c r="N616" s="105">
        <f t="shared" si="162"/>
        <v>0</v>
      </c>
      <c r="O616" s="106" t="str">
        <f>IF($F616="","",IF(ISNUMBER($F616),$F616+Settings!$C$7/24,IFERROR(DATEVALUE(LEFT($F616,10))+TIMEVALUE(MID($F616,12,8))+Settings!$C$7/24,"")))</f>
        <v/>
      </c>
      <c r="P616" s="106" t="str">
        <f>IF($G616="","",IF(ISNUMBER($G616),$G616+Settings!$C$7/24,IFERROR(DATEVALUE(LEFT($G616,10))+TIMEVALUE(MID($G616,12,8))+Settings!$C$7/24,"")))</f>
        <v/>
      </c>
      <c r="Q616" s="39" t="str">
        <f t="shared" si="163"/>
        <v/>
      </c>
      <c r="R616" s="39" t="str">
        <f t="shared" si="164"/>
        <v/>
      </c>
      <c r="S616" s="107" t="str">
        <f t="shared" si="165"/>
        <v/>
      </c>
      <c r="T616" s="39" t="str">
        <f>IF($C616="","",IF(COUNTIF($C$2:$C616,$C616)=1,1,0))</f>
        <v/>
      </c>
      <c r="U616" s="39" t="str">
        <f>IF($T616=1,COUNTIF($T$2:$T616,1),"")</f>
        <v/>
      </c>
      <c r="V616" s="39" t="str">
        <f>IF($B616="","",IF(COUNTIF($B$2:$B616,$B616)=1,1,0))</f>
        <v/>
      </c>
      <c r="W616" s="39" t="str">
        <f>IF($V616=1,COUNTIF($V$2:$V616,1),"")</f>
        <v/>
      </c>
      <c r="X616" s="39" t="str">
        <f>IF($A616="","",IF(COUNTIF($A$2:$A616,$A616)=1,1,0))</f>
        <v/>
      </c>
      <c r="Y616" s="39" t="str">
        <f>IF($X616=1,COUNTIF($X$2:$X616,1),"")</f>
        <v/>
      </c>
      <c r="Z616" s="39">
        <f>IF(AND($E616="timed",$N616&gt;Settings!$C$8),1,0)</f>
        <v>0</v>
      </c>
      <c r="AA616" s="39">
        <f t="shared" si="166"/>
        <v>0</v>
      </c>
      <c r="AB616" s="39">
        <f t="shared" si="167"/>
        <v>0</v>
      </c>
      <c r="AC616" s="39" t="str">
        <f t="shared" si="168"/>
        <v/>
      </c>
      <c r="AD616" s="39" t="str">
        <f t="shared" si="169"/>
        <v/>
      </c>
      <c r="AE616" s="39" t="str">
        <f t="shared" si="170"/>
        <v/>
      </c>
      <c r="AF616" s="106" t="str">
        <f t="shared" si="171"/>
        <v/>
      </c>
      <c r="AG616" s="39">
        <f t="shared" si="172"/>
        <v>0</v>
      </c>
      <c r="AH616" s="39" t="str">
        <f t="shared" si="173"/>
        <v/>
      </c>
      <c r="AI616" s="39">
        <f>IF(AND($E616="timed",$N616&gt;=Settings!$C$9),1,0)</f>
        <v>0</v>
      </c>
      <c r="AJ616" s="39" t="str">
        <f>IF(OR($S616="",Settings!$C$16=""),"",IF($S616&lt;=Settings!$C$16,1,2))</f>
        <v/>
      </c>
      <c r="AK616" s="39" t="str">
        <f>IF($C616="","",IFERROR(IF(INDEX(Settings!$C$20:$C$59,MATCH($C616,Settings!$B$20:$B$59,0))="",Settings!$C$10,INDEX(Settings!$C$20:$C$59,MATCH($C616,Settings!$B$20:$B$59,0))),Settings!$C$10))</f>
        <v/>
      </c>
      <c r="AL616" s="108">
        <f t="shared" si="174"/>
        <v>0</v>
      </c>
      <c r="AM616" s="39" t="str">
        <f t="shared" si="175"/>
        <v/>
      </c>
      <c r="AN616" s="39" t="str">
        <f t="shared" si="176"/>
        <v/>
      </c>
      <c r="AO616" s="39" t="str">
        <f t="shared" si="177"/>
        <v/>
      </c>
      <c r="AP616" s="39">
        <f t="shared" si="178"/>
        <v>0</v>
      </c>
      <c r="AQ616" s="39">
        <f t="shared" si="179"/>
        <v>0</v>
      </c>
    </row>
    <row r="617" spans="14:43" x14ac:dyDescent="0.25">
      <c r="N617" s="105">
        <f t="shared" si="162"/>
        <v>0</v>
      </c>
      <c r="O617" s="106" t="str">
        <f>IF($F617="","",IF(ISNUMBER($F617),$F617+Settings!$C$7/24,IFERROR(DATEVALUE(LEFT($F617,10))+TIMEVALUE(MID($F617,12,8))+Settings!$C$7/24,"")))</f>
        <v/>
      </c>
      <c r="P617" s="106" t="str">
        <f>IF($G617="","",IF(ISNUMBER($G617),$G617+Settings!$C$7/24,IFERROR(DATEVALUE(LEFT($G617,10))+TIMEVALUE(MID($G617,12,8))+Settings!$C$7/24,"")))</f>
        <v/>
      </c>
      <c r="Q617" s="39" t="str">
        <f t="shared" si="163"/>
        <v/>
      </c>
      <c r="R617" s="39" t="str">
        <f t="shared" si="164"/>
        <v/>
      </c>
      <c r="S617" s="107" t="str">
        <f t="shared" si="165"/>
        <v/>
      </c>
      <c r="T617" s="39" t="str">
        <f>IF($C617="","",IF(COUNTIF($C$2:$C617,$C617)=1,1,0))</f>
        <v/>
      </c>
      <c r="U617" s="39" t="str">
        <f>IF($T617=1,COUNTIF($T$2:$T617,1),"")</f>
        <v/>
      </c>
      <c r="V617" s="39" t="str">
        <f>IF($B617="","",IF(COUNTIF($B$2:$B617,$B617)=1,1,0))</f>
        <v/>
      </c>
      <c r="W617" s="39" t="str">
        <f>IF($V617=1,COUNTIF($V$2:$V617,1),"")</f>
        <v/>
      </c>
      <c r="X617" s="39" t="str">
        <f>IF($A617="","",IF(COUNTIF($A$2:$A617,$A617)=1,1,0))</f>
        <v/>
      </c>
      <c r="Y617" s="39" t="str">
        <f>IF($X617=1,COUNTIF($X$2:$X617,1),"")</f>
        <v/>
      </c>
      <c r="Z617" s="39">
        <f>IF(AND($E617="timed",$N617&gt;Settings!$C$8),1,0)</f>
        <v>0</v>
      </c>
      <c r="AA617" s="39">
        <f t="shared" si="166"/>
        <v>0</v>
      </c>
      <c r="AB617" s="39">
        <f t="shared" si="167"/>
        <v>0</v>
      </c>
      <c r="AC617" s="39" t="str">
        <f t="shared" si="168"/>
        <v/>
      </c>
      <c r="AD617" s="39" t="str">
        <f t="shared" si="169"/>
        <v/>
      </c>
      <c r="AE617" s="39" t="str">
        <f t="shared" si="170"/>
        <v/>
      </c>
      <c r="AF617" s="106" t="str">
        <f t="shared" si="171"/>
        <v/>
      </c>
      <c r="AG617" s="39">
        <f t="shared" si="172"/>
        <v>0</v>
      </c>
      <c r="AH617" s="39" t="str">
        <f t="shared" si="173"/>
        <v/>
      </c>
      <c r="AI617" s="39">
        <f>IF(AND($E617="timed",$N617&gt;=Settings!$C$9),1,0)</f>
        <v>0</v>
      </c>
      <c r="AJ617" s="39" t="str">
        <f>IF(OR($S617="",Settings!$C$16=""),"",IF($S617&lt;=Settings!$C$16,1,2))</f>
        <v/>
      </c>
      <c r="AK617" s="39" t="str">
        <f>IF($C617="","",IFERROR(IF(INDEX(Settings!$C$20:$C$59,MATCH($C617,Settings!$B$20:$B$59,0))="",Settings!$C$10,INDEX(Settings!$C$20:$C$59,MATCH($C617,Settings!$B$20:$B$59,0))),Settings!$C$10))</f>
        <v/>
      </c>
      <c r="AL617" s="108">
        <f t="shared" si="174"/>
        <v>0</v>
      </c>
      <c r="AM617" s="39" t="str">
        <f t="shared" si="175"/>
        <v/>
      </c>
      <c r="AN617" s="39" t="str">
        <f t="shared" si="176"/>
        <v/>
      </c>
      <c r="AO617" s="39" t="str">
        <f t="shared" si="177"/>
        <v/>
      </c>
      <c r="AP617" s="39">
        <f t="shared" si="178"/>
        <v>0</v>
      </c>
      <c r="AQ617" s="39">
        <f t="shared" si="179"/>
        <v>0</v>
      </c>
    </row>
    <row r="618" spans="14:43" x14ac:dyDescent="0.25">
      <c r="N618" s="105">
        <f t="shared" si="162"/>
        <v>0</v>
      </c>
      <c r="O618" s="106" t="str">
        <f>IF($F618="","",IF(ISNUMBER($F618),$F618+Settings!$C$7/24,IFERROR(DATEVALUE(LEFT($F618,10))+TIMEVALUE(MID($F618,12,8))+Settings!$C$7/24,"")))</f>
        <v/>
      </c>
      <c r="P618" s="106" t="str">
        <f>IF($G618="","",IF(ISNUMBER($G618),$G618+Settings!$C$7/24,IFERROR(DATEVALUE(LEFT($G618,10))+TIMEVALUE(MID($G618,12,8))+Settings!$C$7/24,"")))</f>
        <v/>
      </c>
      <c r="Q618" s="39" t="str">
        <f t="shared" si="163"/>
        <v/>
      </c>
      <c r="R618" s="39" t="str">
        <f t="shared" si="164"/>
        <v/>
      </c>
      <c r="S618" s="107" t="str">
        <f t="shared" si="165"/>
        <v/>
      </c>
      <c r="T618" s="39" t="str">
        <f>IF($C618="","",IF(COUNTIF($C$2:$C618,$C618)=1,1,0))</f>
        <v/>
      </c>
      <c r="U618" s="39" t="str">
        <f>IF($T618=1,COUNTIF($T$2:$T618,1),"")</f>
        <v/>
      </c>
      <c r="V618" s="39" t="str">
        <f>IF($B618="","",IF(COUNTIF($B$2:$B618,$B618)=1,1,0))</f>
        <v/>
      </c>
      <c r="W618" s="39" t="str">
        <f>IF($V618=1,COUNTIF($V$2:$V618,1),"")</f>
        <v/>
      </c>
      <c r="X618" s="39" t="str">
        <f>IF($A618="","",IF(COUNTIF($A$2:$A618,$A618)=1,1,0))</f>
        <v/>
      </c>
      <c r="Y618" s="39" t="str">
        <f>IF($X618=1,COUNTIF($X$2:$X618,1),"")</f>
        <v/>
      </c>
      <c r="Z618" s="39">
        <f>IF(AND($E618="timed",$N618&gt;Settings!$C$8),1,0)</f>
        <v>0</v>
      </c>
      <c r="AA618" s="39">
        <f t="shared" si="166"/>
        <v>0</v>
      </c>
      <c r="AB618" s="39">
        <f t="shared" si="167"/>
        <v>0</v>
      </c>
      <c r="AC618" s="39" t="str">
        <f t="shared" si="168"/>
        <v/>
      </c>
      <c r="AD618" s="39" t="str">
        <f t="shared" si="169"/>
        <v/>
      </c>
      <c r="AE618" s="39" t="str">
        <f t="shared" si="170"/>
        <v/>
      </c>
      <c r="AF618" s="106" t="str">
        <f t="shared" si="171"/>
        <v/>
      </c>
      <c r="AG618" s="39">
        <f t="shared" si="172"/>
        <v>0</v>
      </c>
      <c r="AH618" s="39" t="str">
        <f t="shared" si="173"/>
        <v/>
      </c>
      <c r="AI618" s="39">
        <f>IF(AND($E618="timed",$N618&gt;=Settings!$C$9),1,0)</f>
        <v>0</v>
      </c>
      <c r="AJ618" s="39" t="str">
        <f>IF(OR($S618="",Settings!$C$16=""),"",IF($S618&lt;=Settings!$C$16,1,2))</f>
        <v/>
      </c>
      <c r="AK618" s="39" t="str">
        <f>IF($C618="","",IFERROR(IF(INDEX(Settings!$C$20:$C$59,MATCH($C618,Settings!$B$20:$B$59,0))="",Settings!$C$10,INDEX(Settings!$C$20:$C$59,MATCH($C618,Settings!$B$20:$B$59,0))),Settings!$C$10))</f>
        <v/>
      </c>
      <c r="AL618" s="108">
        <f t="shared" si="174"/>
        <v>0</v>
      </c>
      <c r="AM618" s="39" t="str">
        <f t="shared" si="175"/>
        <v/>
      </c>
      <c r="AN618" s="39" t="str">
        <f t="shared" si="176"/>
        <v/>
      </c>
      <c r="AO618" s="39" t="str">
        <f t="shared" si="177"/>
        <v/>
      </c>
      <c r="AP618" s="39">
        <f t="shared" si="178"/>
        <v>0</v>
      </c>
      <c r="AQ618" s="39">
        <f t="shared" si="179"/>
        <v>0</v>
      </c>
    </row>
    <row r="619" spans="14:43" x14ac:dyDescent="0.25">
      <c r="N619" s="105">
        <f t="shared" si="162"/>
        <v>0</v>
      </c>
      <c r="O619" s="106" t="str">
        <f>IF($F619="","",IF(ISNUMBER($F619),$F619+Settings!$C$7/24,IFERROR(DATEVALUE(LEFT($F619,10))+TIMEVALUE(MID($F619,12,8))+Settings!$C$7/24,"")))</f>
        <v/>
      </c>
      <c r="P619" s="106" t="str">
        <f>IF($G619="","",IF(ISNUMBER($G619),$G619+Settings!$C$7/24,IFERROR(DATEVALUE(LEFT($G619,10))+TIMEVALUE(MID($G619,12,8))+Settings!$C$7/24,"")))</f>
        <v/>
      </c>
      <c r="Q619" s="39" t="str">
        <f t="shared" si="163"/>
        <v/>
      </c>
      <c r="R619" s="39" t="str">
        <f t="shared" si="164"/>
        <v/>
      </c>
      <c r="S619" s="107" t="str">
        <f t="shared" si="165"/>
        <v/>
      </c>
      <c r="T619" s="39" t="str">
        <f>IF($C619="","",IF(COUNTIF($C$2:$C619,$C619)=1,1,0))</f>
        <v/>
      </c>
      <c r="U619" s="39" t="str">
        <f>IF($T619=1,COUNTIF($T$2:$T619,1),"")</f>
        <v/>
      </c>
      <c r="V619" s="39" t="str">
        <f>IF($B619="","",IF(COUNTIF($B$2:$B619,$B619)=1,1,0))</f>
        <v/>
      </c>
      <c r="W619" s="39" t="str">
        <f>IF($V619=1,COUNTIF($V$2:$V619,1),"")</f>
        <v/>
      </c>
      <c r="X619" s="39" t="str">
        <f>IF($A619="","",IF(COUNTIF($A$2:$A619,$A619)=1,1,0))</f>
        <v/>
      </c>
      <c r="Y619" s="39" t="str">
        <f>IF($X619=1,COUNTIF($X$2:$X619,1),"")</f>
        <v/>
      </c>
      <c r="Z619" s="39">
        <f>IF(AND($E619="timed",$N619&gt;Settings!$C$8),1,0)</f>
        <v>0</v>
      </c>
      <c r="AA619" s="39">
        <f t="shared" si="166"/>
        <v>0</v>
      </c>
      <c r="AB619" s="39">
        <f t="shared" si="167"/>
        <v>0</v>
      </c>
      <c r="AC619" s="39" t="str">
        <f t="shared" si="168"/>
        <v/>
      </c>
      <c r="AD619" s="39" t="str">
        <f t="shared" si="169"/>
        <v/>
      </c>
      <c r="AE619" s="39" t="str">
        <f t="shared" si="170"/>
        <v/>
      </c>
      <c r="AF619" s="106" t="str">
        <f t="shared" si="171"/>
        <v/>
      </c>
      <c r="AG619" s="39">
        <f t="shared" si="172"/>
        <v>0</v>
      </c>
      <c r="AH619" s="39" t="str">
        <f t="shared" si="173"/>
        <v/>
      </c>
      <c r="AI619" s="39">
        <f>IF(AND($E619="timed",$N619&gt;=Settings!$C$9),1,0)</f>
        <v>0</v>
      </c>
      <c r="AJ619" s="39" t="str">
        <f>IF(OR($S619="",Settings!$C$16=""),"",IF($S619&lt;=Settings!$C$16,1,2))</f>
        <v/>
      </c>
      <c r="AK619" s="39" t="str">
        <f>IF($C619="","",IFERROR(IF(INDEX(Settings!$C$20:$C$59,MATCH($C619,Settings!$B$20:$B$59,0))="",Settings!$C$10,INDEX(Settings!$C$20:$C$59,MATCH($C619,Settings!$B$20:$B$59,0))),Settings!$C$10))</f>
        <v/>
      </c>
      <c r="AL619" s="108">
        <f t="shared" si="174"/>
        <v>0</v>
      </c>
      <c r="AM619" s="39" t="str">
        <f t="shared" si="175"/>
        <v/>
      </c>
      <c r="AN619" s="39" t="str">
        <f t="shared" si="176"/>
        <v/>
      </c>
      <c r="AO619" s="39" t="str">
        <f t="shared" si="177"/>
        <v/>
      </c>
      <c r="AP619" s="39">
        <f t="shared" si="178"/>
        <v>0</v>
      </c>
      <c r="AQ619" s="39">
        <f t="shared" si="179"/>
        <v>0</v>
      </c>
    </row>
    <row r="620" spans="14:43" x14ac:dyDescent="0.25">
      <c r="N620" s="105">
        <f t="shared" si="162"/>
        <v>0</v>
      </c>
      <c r="O620" s="106" t="str">
        <f>IF($F620="","",IF(ISNUMBER($F620),$F620+Settings!$C$7/24,IFERROR(DATEVALUE(LEFT($F620,10))+TIMEVALUE(MID($F620,12,8))+Settings!$C$7/24,"")))</f>
        <v/>
      </c>
      <c r="P620" s="106" t="str">
        <f>IF($G620="","",IF(ISNUMBER($G620),$G620+Settings!$C$7/24,IFERROR(DATEVALUE(LEFT($G620,10))+TIMEVALUE(MID($G620,12,8))+Settings!$C$7/24,"")))</f>
        <v/>
      </c>
      <c r="Q620" s="39" t="str">
        <f t="shared" si="163"/>
        <v/>
      </c>
      <c r="R620" s="39" t="str">
        <f t="shared" si="164"/>
        <v/>
      </c>
      <c r="S620" s="107" t="str">
        <f t="shared" si="165"/>
        <v/>
      </c>
      <c r="T620" s="39" t="str">
        <f>IF($C620="","",IF(COUNTIF($C$2:$C620,$C620)=1,1,0))</f>
        <v/>
      </c>
      <c r="U620" s="39" t="str">
        <f>IF($T620=1,COUNTIF($T$2:$T620,1),"")</f>
        <v/>
      </c>
      <c r="V620" s="39" t="str">
        <f>IF($B620="","",IF(COUNTIF($B$2:$B620,$B620)=1,1,0))</f>
        <v/>
      </c>
      <c r="W620" s="39" t="str">
        <f>IF($V620=1,COUNTIF($V$2:$V620,1),"")</f>
        <v/>
      </c>
      <c r="X620" s="39" t="str">
        <f>IF($A620="","",IF(COUNTIF($A$2:$A620,$A620)=1,1,0))</f>
        <v/>
      </c>
      <c r="Y620" s="39" t="str">
        <f>IF($X620=1,COUNTIF($X$2:$X620,1),"")</f>
        <v/>
      </c>
      <c r="Z620" s="39">
        <f>IF(AND($E620="timed",$N620&gt;Settings!$C$8),1,0)</f>
        <v>0</v>
      </c>
      <c r="AA620" s="39">
        <f t="shared" si="166"/>
        <v>0</v>
      </c>
      <c r="AB620" s="39">
        <f t="shared" si="167"/>
        <v>0</v>
      </c>
      <c r="AC620" s="39" t="str">
        <f t="shared" si="168"/>
        <v/>
      </c>
      <c r="AD620" s="39" t="str">
        <f t="shared" si="169"/>
        <v/>
      </c>
      <c r="AE620" s="39" t="str">
        <f t="shared" si="170"/>
        <v/>
      </c>
      <c r="AF620" s="106" t="str">
        <f t="shared" si="171"/>
        <v/>
      </c>
      <c r="AG620" s="39">
        <f t="shared" si="172"/>
        <v>0</v>
      </c>
      <c r="AH620" s="39" t="str">
        <f t="shared" si="173"/>
        <v/>
      </c>
      <c r="AI620" s="39">
        <f>IF(AND($E620="timed",$N620&gt;=Settings!$C$9),1,0)</f>
        <v>0</v>
      </c>
      <c r="AJ620" s="39" t="str">
        <f>IF(OR($S620="",Settings!$C$16=""),"",IF($S620&lt;=Settings!$C$16,1,2))</f>
        <v/>
      </c>
      <c r="AK620" s="39" t="str">
        <f>IF($C620="","",IFERROR(IF(INDEX(Settings!$C$20:$C$59,MATCH($C620,Settings!$B$20:$B$59,0))="",Settings!$C$10,INDEX(Settings!$C$20:$C$59,MATCH($C620,Settings!$B$20:$B$59,0))),Settings!$C$10))</f>
        <v/>
      </c>
      <c r="AL620" s="108">
        <f t="shared" si="174"/>
        <v>0</v>
      </c>
      <c r="AM620" s="39" t="str">
        <f t="shared" si="175"/>
        <v/>
      </c>
      <c r="AN620" s="39" t="str">
        <f t="shared" si="176"/>
        <v/>
      </c>
      <c r="AO620" s="39" t="str">
        <f t="shared" si="177"/>
        <v/>
      </c>
      <c r="AP620" s="39">
        <f t="shared" si="178"/>
        <v>0</v>
      </c>
      <c r="AQ620" s="39">
        <f t="shared" si="179"/>
        <v>0</v>
      </c>
    </row>
    <row r="621" spans="14:43" x14ac:dyDescent="0.25">
      <c r="N621" s="105">
        <f t="shared" si="162"/>
        <v>0</v>
      </c>
      <c r="O621" s="106" t="str">
        <f>IF($F621="","",IF(ISNUMBER($F621),$F621+Settings!$C$7/24,IFERROR(DATEVALUE(LEFT($F621,10))+TIMEVALUE(MID($F621,12,8))+Settings!$C$7/24,"")))</f>
        <v/>
      </c>
      <c r="P621" s="106" t="str">
        <f>IF($G621="","",IF(ISNUMBER($G621),$G621+Settings!$C$7/24,IFERROR(DATEVALUE(LEFT($G621,10))+TIMEVALUE(MID($G621,12,8))+Settings!$C$7/24,"")))</f>
        <v/>
      </c>
      <c r="Q621" s="39" t="str">
        <f t="shared" si="163"/>
        <v/>
      </c>
      <c r="R621" s="39" t="str">
        <f t="shared" si="164"/>
        <v/>
      </c>
      <c r="S621" s="107" t="str">
        <f t="shared" si="165"/>
        <v/>
      </c>
      <c r="T621" s="39" t="str">
        <f>IF($C621="","",IF(COUNTIF($C$2:$C621,$C621)=1,1,0))</f>
        <v/>
      </c>
      <c r="U621" s="39" t="str">
        <f>IF($T621=1,COUNTIF($T$2:$T621,1),"")</f>
        <v/>
      </c>
      <c r="V621" s="39" t="str">
        <f>IF($B621="","",IF(COUNTIF($B$2:$B621,$B621)=1,1,0))</f>
        <v/>
      </c>
      <c r="W621" s="39" t="str">
        <f>IF($V621=1,COUNTIF($V$2:$V621,1),"")</f>
        <v/>
      </c>
      <c r="X621" s="39" t="str">
        <f>IF($A621="","",IF(COUNTIF($A$2:$A621,$A621)=1,1,0))</f>
        <v/>
      </c>
      <c r="Y621" s="39" t="str">
        <f>IF($X621=1,COUNTIF($X$2:$X621,1),"")</f>
        <v/>
      </c>
      <c r="Z621" s="39">
        <f>IF(AND($E621="timed",$N621&gt;Settings!$C$8),1,0)</f>
        <v>0</v>
      </c>
      <c r="AA621" s="39">
        <f t="shared" si="166"/>
        <v>0</v>
      </c>
      <c r="AB621" s="39">
        <f t="shared" si="167"/>
        <v>0</v>
      </c>
      <c r="AC621" s="39" t="str">
        <f t="shared" si="168"/>
        <v/>
      </c>
      <c r="AD621" s="39" t="str">
        <f t="shared" si="169"/>
        <v/>
      </c>
      <c r="AE621" s="39" t="str">
        <f t="shared" si="170"/>
        <v/>
      </c>
      <c r="AF621" s="106" t="str">
        <f t="shared" si="171"/>
        <v/>
      </c>
      <c r="AG621" s="39">
        <f t="shared" si="172"/>
        <v>0</v>
      </c>
      <c r="AH621" s="39" t="str">
        <f t="shared" si="173"/>
        <v/>
      </c>
      <c r="AI621" s="39">
        <f>IF(AND($E621="timed",$N621&gt;=Settings!$C$9),1,0)</f>
        <v>0</v>
      </c>
      <c r="AJ621" s="39" t="str">
        <f>IF(OR($S621="",Settings!$C$16=""),"",IF($S621&lt;=Settings!$C$16,1,2))</f>
        <v/>
      </c>
      <c r="AK621" s="39" t="str">
        <f>IF($C621="","",IFERROR(IF(INDEX(Settings!$C$20:$C$59,MATCH($C621,Settings!$B$20:$B$59,0))="",Settings!$C$10,INDEX(Settings!$C$20:$C$59,MATCH($C621,Settings!$B$20:$B$59,0))),Settings!$C$10))</f>
        <v/>
      </c>
      <c r="AL621" s="108">
        <f t="shared" si="174"/>
        <v>0</v>
      </c>
      <c r="AM621" s="39" t="str">
        <f t="shared" si="175"/>
        <v/>
      </c>
      <c r="AN621" s="39" t="str">
        <f t="shared" si="176"/>
        <v/>
      </c>
      <c r="AO621" s="39" t="str">
        <f t="shared" si="177"/>
        <v/>
      </c>
      <c r="AP621" s="39">
        <f t="shared" si="178"/>
        <v>0</v>
      </c>
      <c r="AQ621" s="39">
        <f t="shared" si="179"/>
        <v>0</v>
      </c>
    </row>
    <row r="622" spans="14:43" x14ac:dyDescent="0.25">
      <c r="N622" s="105">
        <f t="shared" si="162"/>
        <v>0</v>
      </c>
      <c r="O622" s="106" t="str">
        <f>IF($F622="","",IF(ISNUMBER($F622),$F622+Settings!$C$7/24,IFERROR(DATEVALUE(LEFT($F622,10))+TIMEVALUE(MID($F622,12,8))+Settings!$C$7/24,"")))</f>
        <v/>
      </c>
      <c r="P622" s="106" t="str">
        <f>IF($G622="","",IF(ISNUMBER($G622),$G622+Settings!$C$7/24,IFERROR(DATEVALUE(LEFT($G622,10))+TIMEVALUE(MID($G622,12,8))+Settings!$C$7/24,"")))</f>
        <v/>
      </c>
      <c r="Q622" s="39" t="str">
        <f t="shared" si="163"/>
        <v/>
      </c>
      <c r="R622" s="39" t="str">
        <f t="shared" si="164"/>
        <v/>
      </c>
      <c r="S622" s="107" t="str">
        <f t="shared" si="165"/>
        <v/>
      </c>
      <c r="T622" s="39" t="str">
        <f>IF($C622="","",IF(COUNTIF($C$2:$C622,$C622)=1,1,0))</f>
        <v/>
      </c>
      <c r="U622" s="39" t="str">
        <f>IF($T622=1,COUNTIF($T$2:$T622,1),"")</f>
        <v/>
      </c>
      <c r="V622" s="39" t="str">
        <f>IF($B622="","",IF(COUNTIF($B$2:$B622,$B622)=1,1,0))</f>
        <v/>
      </c>
      <c r="W622" s="39" t="str">
        <f>IF($V622=1,COUNTIF($V$2:$V622,1),"")</f>
        <v/>
      </c>
      <c r="X622" s="39" t="str">
        <f>IF($A622="","",IF(COUNTIF($A$2:$A622,$A622)=1,1,0))</f>
        <v/>
      </c>
      <c r="Y622" s="39" t="str">
        <f>IF($X622=1,COUNTIF($X$2:$X622,1),"")</f>
        <v/>
      </c>
      <c r="Z622" s="39">
        <f>IF(AND($E622="timed",$N622&gt;Settings!$C$8),1,0)</f>
        <v>0</v>
      </c>
      <c r="AA622" s="39">
        <f t="shared" si="166"/>
        <v>0</v>
      </c>
      <c r="AB622" s="39">
        <f t="shared" si="167"/>
        <v>0</v>
      </c>
      <c r="AC622" s="39" t="str">
        <f t="shared" si="168"/>
        <v/>
      </c>
      <c r="AD622" s="39" t="str">
        <f t="shared" si="169"/>
        <v/>
      </c>
      <c r="AE622" s="39" t="str">
        <f t="shared" si="170"/>
        <v/>
      </c>
      <c r="AF622" s="106" t="str">
        <f t="shared" si="171"/>
        <v/>
      </c>
      <c r="AG622" s="39">
        <f t="shared" si="172"/>
        <v>0</v>
      </c>
      <c r="AH622" s="39" t="str">
        <f t="shared" si="173"/>
        <v/>
      </c>
      <c r="AI622" s="39">
        <f>IF(AND($E622="timed",$N622&gt;=Settings!$C$9),1,0)</f>
        <v>0</v>
      </c>
      <c r="AJ622" s="39" t="str">
        <f>IF(OR($S622="",Settings!$C$16=""),"",IF($S622&lt;=Settings!$C$16,1,2))</f>
        <v/>
      </c>
      <c r="AK622" s="39" t="str">
        <f>IF($C622="","",IFERROR(IF(INDEX(Settings!$C$20:$C$59,MATCH($C622,Settings!$B$20:$B$59,0))="",Settings!$C$10,INDEX(Settings!$C$20:$C$59,MATCH($C622,Settings!$B$20:$B$59,0))),Settings!$C$10))</f>
        <v/>
      </c>
      <c r="AL622" s="108">
        <f t="shared" si="174"/>
        <v>0</v>
      </c>
      <c r="AM622" s="39" t="str">
        <f t="shared" si="175"/>
        <v/>
      </c>
      <c r="AN622" s="39" t="str">
        <f t="shared" si="176"/>
        <v/>
      </c>
      <c r="AO622" s="39" t="str">
        <f t="shared" si="177"/>
        <v/>
      </c>
      <c r="AP622" s="39">
        <f t="shared" si="178"/>
        <v>0</v>
      </c>
      <c r="AQ622" s="39">
        <f t="shared" si="179"/>
        <v>0</v>
      </c>
    </row>
    <row r="623" spans="14:43" x14ac:dyDescent="0.25">
      <c r="N623" s="105">
        <f t="shared" si="162"/>
        <v>0</v>
      </c>
      <c r="O623" s="106" t="str">
        <f>IF($F623="","",IF(ISNUMBER($F623),$F623+Settings!$C$7/24,IFERROR(DATEVALUE(LEFT($F623,10))+TIMEVALUE(MID($F623,12,8))+Settings!$C$7/24,"")))</f>
        <v/>
      </c>
      <c r="P623" s="106" t="str">
        <f>IF($G623="","",IF(ISNUMBER($G623),$G623+Settings!$C$7/24,IFERROR(DATEVALUE(LEFT($G623,10))+TIMEVALUE(MID($G623,12,8))+Settings!$C$7/24,"")))</f>
        <v/>
      </c>
      <c r="Q623" s="39" t="str">
        <f t="shared" si="163"/>
        <v/>
      </c>
      <c r="R623" s="39" t="str">
        <f t="shared" si="164"/>
        <v/>
      </c>
      <c r="S623" s="107" t="str">
        <f t="shared" si="165"/>
        <v/>
      </c>
      <c r="T623" s="39" t="str">
        <f>IF($C623="","",IF(COUNTIF($C$2:$C623,$C623)=1,1,0))</f>
        <v/>
      </c>
      <c r="U623" s="39" t="str">
        <f>IF($T623=1,COUNTIF($T$2:$T623,1),"")</f>
        <v/>
      </c>
      <c r="V623" s="39" t="str">
        <f>IF($B623="","",IF(COUNTIF($B$2:$B623,$B623)=1,1,0))</f>
        <v/>
      </c>
      <c r="W623" s="39" t="str">
        <f>IF($V623=1,COUNTIF($V$2:$V623,1),"")</f>
        <v/>
      </c>
      <c r="X623" s="39" t="str">
        <f>IF($A623="","",IF(COUNTIF($A$2:$A623,$A623)=1,1,0))</f>
        <v/>
      </c>
      <c r="Y623" s="39" t="str">
        <f>IF($X623=1,COUNTIF($X$2:$X623,1),"")</f>
        <v/>
      </c>
      <c r="Z623" s="39">
        <f>IF(AND($E623="timed",$N623&gt;Settings!$C$8),1,0)</f>
        <v>0</v>
      </c>
      <c r="AA623" s="39">
        <f t="shared" si="166"/>
        <v>0</v>
      </c>
      <c r="AB623" s="39">
        <f t="shared" si="167"/>
        <v>0</v>
      </c>
      <c r="AC623" s="39" t="str">
        <f t="shared" si="168"/>
        <v/>
      </c>
      <c r="AD623" s="39" t="str">
        <f t="shared" si="169"/>
        <v/>
      </c>
      <c r="AE623" s="39" t="str">
        <f t="shared" si="170"/>
        <v/>
      </c>
      <c r="AF623" s="106" t="str">
        <f t="shared" si="171"/>
        <v/>
      </c>
      <c r="AG623" s="39">
        <f t="shared" si="172"/>
        <v>0</v>
      </c>
      <c r="AH623" s="39" t="str">
        <f t="shared" si="173"/>
        <v/>
      </c>
      <c r="AI623" s="39">
        <f>IF(AND($E623="timed",$N623&gt;=Settings!$C$9),1,0)</f>
        <v>0</v>
      </c>
      <c r="AJ623" s="39" t="str">
        <f>IF(OR($S623="",Settings!$C$16=""),"",IF($S623&lt;=Settings!$C$16,1,2))</f>
        <v/>
      </c>
      <c r="AK623" s="39" t="str">
        <f>IF($C623="","",IFERROR(IF(INDEX(Settings!$C$20:$C$59,MATCH($C623,Settings!$B$20:$B$59,0))="",Settings!$C$10,INDEX(Settings!$C$20:$C$59,MATCH($C623,Settings!$B$20:$B$59,0))),Settings!$C$10))</f>
        <v/>
      </c>
      <c r="AL623" s="108">
        <f t="shared" si="174"/>
        <v>0</v>
      </c>
      <c r="AM623" s="39" t="str">
        <f t="shared" si="175"/>
        <v/>
      </c>
      <c r="AN623" s="39" t="str">
        <f t="shared" si="176"/>
        <v/>
      </c>
      <c r="AO623" s="39" t="str">
        <f t="shared" si="177"/>
        <v/>
      </c>
      <c r="AP623" s="39">
        <f t="shared" si="178"/>
        <v>0</v>
      </c>
      <c r="AQ623" s="39">
        <f t="shared" si="179"/>
        <v>0</v>
      </c>
    </row>
    <row r="624" spans="14:43" x14ac:dyDescent="0.25">
      <c r="N624" s="105">
        <f t="shared" si="162"/>
        <v>0</v>
      </c>
      <c r="O624" s="106" t="str">
        <f>IF($F624="","",IF(ISNUMBER($F624),$F624+Settings!$C$7/24,IFERROR(DATEVALUE(LEFT($F624,10))+TIMEVALUE(MID($F624,12,8))+Settings!$C$7/24,"")))</f>
        <v/>
      </c>
      <c r="P624" s="106" t="str">
        <f>IF($G624="","",IF(ISNUMBER($G624),$G624+Settings!$C$7/24,IFERROR(DATEVALUE(LEFT($G624,10))+TIMEVALUE(MID($G624,12,8))+Settings!$C$7/24,"")))</f>
        <v/>
      </c>
      <c r="Q624" s="39" t="str">
        <f t="shared" si="163"/>
        <v/>
      </c>
      <c r="R624" s="39" t="str">
        <f t="shared" si="164"/>
        <v/>
      </c>
      <c r="S624" s="107" t="str">
        <f t="shared" si="165"/>
        <v/>
      </c>
      <c r="T624" s="39" t="str">
        <f>IF($C624="","",IF(COUNTIF($C$2:$C624,$C624)=1,1,0))</f>
        <v/>
      </c>
      <c r="U624" s="39" t="str">
        <f>IF($T624=1,COUNTIF($T$2:$T624,1),"")</f>
        <v/>
      </c>
      <c r="V624" s="39" t="str">
        <f>IF($B624="","",IF(COUNTIF($B$2:$B624,$B624)=1,1,0))</f>
        <v/>
      </c>
      <c r="W624" s="39" t="str">
        <f>IF($V624=1,COUNTIF($V$2:$V624,1),"")</f>
        <v/>
      </c>
      <c r="X624" s="39" t="str">
        <f>IF($A624="","",IF(COUNTIF($A$2:$A624,$A624)=1,1,0))</f>
        <v/>
      </c>
      <c r="Y624" s="39" t="str">
        <f>IF($X624=1,COUNTIF($X$2:$X624,1),"")</f>
        <v/>
      </c>
      <c r="Z624" s="39">
        <f>IF(AND($E624="timed",$N624&gt;Settings!$C$8),1,0)</f>
        <v>0</v>
      </c>
      <c r="AA624" s="39">
        <f t="shared" si="166"/>
        <v>0</v>
      </c>
      <c r="AB624" s="39">
        <f t="shared" si="167"/>
        <v>0</v>
      </c>
      <c r="AC624" s="39" t="str">
        <f t="shared" si="168"/>
        <v/>
      </c>
      <c r="AD624" s="39" t="str">
        <f t="shared" si="169"/>
        <v/>
      </c>
      <c r="AE624" s="39" t="str">
        <f t="shared" si="170"/>
        <v/>
      </c>
      <c r="AF624" s="106" t="str">
        <f t="shared" si="171"/>
        <v/>
      </c>
      <c r="AG624" s="39">
        <f t="shared" si="172"/>
        <v>0</v>
      </c>
      <c r="AH624" s="39" t="str">
        <f t="shared" si="173"/>
        <v/>
      </c>
      <c r="AI624" s="39">
        <f>IF(AND($E624="timed",$N624&gt;=Settings!$C$9),1,0)</f>
        <v>0</v>
      </c>
      <c r="AJ624" s="39" t="str">
        <f>IF(OR($S624="",Settings!$C$16=""),"",IF($S624&lt;=Settings!$C$16,1,2))</f>
        <v/>
      </c>
      <c r="AK624" s="39" t="str">
        <f>IF($C624="","",IFERROR(IF(INDEX(Settings!$C$20:$C$59,MATCH($C624,Settings!$B$20:$B$59,0))="",Settings!$C$10,INDEX(Settings!$C$20:$C$59,MATCH($C624,Settings!$B$20:$B$59,0))),Settings!$C$10))</f>
        <v/>
      </c>
      <c r="AL624" s="108">
        <f t="shared" si="174"/>
        <v>0</v>
      </c>
      <c r="AM624" s="39" t="str">
        <f t="shared" si="175"/>
        <v/>
      </c>
      <c r="AN624" s="39" t="str">
        <f t="shared" si="176"/>
        <v/>
      </c>
      <c r="AO624" s="39" t="str">
        <f t="shared" si="177"/>
        <v/>
      </c>
      <c r="AP624" s="39">
        <f t="shared" si="178"/>
        <v>0</v>
      </c>
      <c r="AQ624" s="39">
        <f t="shared" si="179"/>
        <v>0</v>
      </c>
    </row>
    <row r="625" spans="14:43" x14ac:dyDescent="0.25">
      <c r="N625" s="105">
        <f t="shared" si="162"/>
        <v>0</v>
      </c>
      <c r="O625" s="106" t="str">
        <f>IF($F625="","",IF(ISNUMBER($F625),$F625+Settings!$C$7/24,IFERROR(DATEVALUE(LEFT($F625,10))+TIMEVALUE(MID($F625,12,8))+Settings!$C$7/24,"")))</f>
        <v/>
      </c>
      <c r="P625" s="106" t="str">
        <f>IF($G625="","",IF(ISNUMBER($G625),$G625+Settings!$C$7/24,IFERROR(DATEVALUE(LEFT($G625,10))+TIMEVALUE(MID($G625,12,8))+Settings!$C$7/24,"")))</f>
        <v/>
      </c>
      <c r="Q625" s="39" t="str">
        <f t="shared" si="163"/>
        <v/>
      </c>
      <c r="R625" s="39" t="str">
        <f t="shared" si="164"/>
        <v/>
      </c>
      <c r="S625" s="107" t="str">
        <f t="shared" si="165"/>
        <v/>
      </c>
      <c r="T625" s="39" t="str">
        <f>IF($C625="","",IF(COUNTIF($C$2:$C625,$C625)=1,1,0))</f>
        <v/>
      </c>
      <c r="U625" s="39" t="str">
        <f>IF($T625=1,COUNTIF($T$2:$T625,1),"")</f>
        <v/>
      </c>
      <c r="V625" s="39" t="str">
        <f>IF($B625="","",IF(COUNTIF($B$2:$B625,$B625)=1,1,0))</f>
        <v/>
      </c>
      <c r="W625" s="39" t="str">
        <f>IF($V625=1,COUNTIF($V$2:$V625,1),"")</f>
        <v/>
      </c>
      <c r="X625" s="39" t="str">
        <f>IF($A625="","",IF(COUNTIF($A$2:$A625,$A625)=1,1,0))</f>
        <v/>
      </c>
      <c r="Y625" s="39" t="str">
        <f>IF($X625=1,COUNTIF($X$2:$X625,1),"")</f>
        <v/>
      </c>
      <c r="Z625" s="39">
        <f>IF(AND($E625="timed",$N625&gt;Settings!$C$8),1,0)</f>
        <v>0</v>
      </c>
      <c r="AA625" s="39">
        <f t="shared" si="166"/>
        <v>0</v>
      </c>
      <c r="AB625" s="39">
        <f t="shared" si="167"/>
        <v>0</v>
      </c>
      <c r="AC625" s="39" t="str">
        <f t="shared" si="168"/>
        <v/>
      </c>
      <c r="AD625" s="39" t="str">
        <f t="shared" si="169"/>
        <v/>
      </c>
      <c r="AE625" s="39" t="str">
        <f t="shared" si="170"/>
        <v/>
      </c>
      <c r="AF625" s="106" t="str">
        <f t="shared" si="171"/>
        <v/>
      </c>
      <c r="AG625" s="39">
        <f t="shared" si="172"/>
        <v>0</v>
      </c>
      <c r="AH625" s="39" t="str">
        <f t="shared" si="173"/>
        <v/>
      </c>
      <c r="AI625" s="39">
        <f>IF(AND($E625="timed",$N625&gt;=Settings!$C$9),1,0)</f>
        <v>0</v>
      </c>
      <c r="AJ625" s="39" t="str">
        <f>IF(OR($S625="",Settings!$C$16=""),"",IF($S625&lt;=Settings!$C$16,1,2))</f>
        <v/>
      </c>
      <c r="AK625" s="39" t="str">
        <f>IF($C625="","",IFERROR(IF(INDEX(Settings!$C$20:$C$59,MATCH($C625,Settings!$B$20:$B$59,0))="",Settings!$C$10,INDEX(Settings!$C$20:$C$59,MATCH($C625,Settings!$B$20:$B$59,0))),Settings!$C$10))</f>
        <v/>
      </c>
      <c r="AL625" s="108">
        <f t="shared" si="174"/>
        <v>0</v>
      </c>
      <c r="AM625" s="39" t="str">
        <f t="shared" si="175"/>
        <v/>
      </c>
      <c r="AN625" s="39" t="str">
        <f t="shared" si="176"/>
        <v/>
      </c>
      <c r="AO625" s="39" t="str">
        <f t="shared" si="177"/>
        <v/>
      </c>
      <c r="AP625" s="39">
        <f t="shared" si="178"/>
        <v>0</v>
      </c>
      <c r="AQ625" s="39">
        <f t="shared" si="179"/>
        <v>0</v>
      </c>
    </row>
    <row r="626" spans="14:43" x14ac:dyDescent="0.25">
      <c r="N626" s="105">
        <f t="shared" si="162"/>
        <v>0</v>
      </c>
      <c r="O626" s="106" t="str">
        <f>IF($F626="","",IF(ISNUMBER($F626),$F626+Settings!$C$7/24,IFERROR(DATEVALUE(LEFT($F626,10))+TIMEVALUE(MID($F626,12,8))+Settings!$C$7/24,"")))</f>
        <v/>
      </c>
      <c r="P626" s="106" t="str">
        <f>IF($G626="","",IF(ISNUMBER($G626),$G626+Settings!$C$7/24,IFERROR(DATEVALUE(LEFT($G626,10))+TIMEVALUE(MID($G626,12,8))+Settings!$C$7/24,"")))</f>
        <v/>
      </c>
      <c r="Q626" s="39" t="str">
        <f t="shared" si="163"/>
        <v/>
      </c>
      <c r="R626" s="39" t="str">
        <f t="shared" si="164"/>
        <v/>
      </c>
      <c r="S626" s="107" t="str">
        <f t="shared" si="165"/>
        <v/>
      </c>
      <c r="T626" s="39" t="str">
        <f>IF($C626="","",IF(COUNTIF($C$2:$C626,$C626)=1,1,0))</f>
        <v/>
      </c>
      <c r="U626" s="39" t="str">
        <f>IF($T626=1,COUNTIF($T$2:$T626,1),"")</f>
        <v/>
      </c>
      <c r="V626" s="39" t="str">
        <f>IF($B626="","",IF(COUNTIF($B$2:$B626,$B626)=1,1,0))</f>
        <v/>
      </c>
      <c r="W626" s="39" t="str">
        <f>IF($V626=1,COUNTIF($V$2:$V626,1),"")</f>
        <v/>
      </c>
      <c r="X626" s="39" t="str">
        <f>IF($A626="","",IF(COUNTIF($A$2:$A626,$A626)=1,1,0))</f>
        <v/>
      </c>
      <c r="Y626" s="39" t="str">
        <f>IF($X626=1,COUNTIF($X$2:$X626,1),"")</f>
        <v/>
      </c>
      <c r="Z626" s="39">
        <f>IF(AND($E626="timed",$N626&gt;Settings!$C$8),1,0)</f>
        <v>0</v>
      </c>
      <c r="AA626" s="39">
        <f t="shared" si="166"/>
        <v>0</v>
      </c>
      <c r="AB626" s="39">
        <f t="shared" si="167"/>
        <v>0</v>
      </c>
      <c r="AC626" s="39" t="str">
        <f t="shared" si="168"/>
        <v/>
      </c>
      <c r="AD626" s="39" t="str">
        <f t="shared" si="169"/>
        <v/>
      </c>
      <c r="AE626" s="39" t="str">
        <f t="shared" si="170"/>
        <v/>
      </c>
      <c r="AF626" s="106" t="str">
        <f t="shared" si="171"/>
        <v/>
      </c>
      <c r="AG626" s="39">
        <f t="shared" si="172"/>
        <v>0</v>
      </c>
      <c r="AH626" s="39" t="str">
        <f t="shared" si="173"/>
        <v/>
      </c>
      <c r="AI626" s="39">
        <f>IF(AND($E626="timed",$N626&gt;=Settings!$C$9),1,0)</f>
        <v>0</v>
      </c>
      <c r="AJ626" s="39" t="str">
        <f>IF(OR($S626="",Settings!$C$16=""),"",IF($S626&lt;=Settings!$C$16,1,2))</f>
        <v/>
      </c>
      <c r="AK626" s="39" t="str">
        <f>IF($C626="","",IFERROR(IF(INDEX(Settings!$C$20:$C$59,MATCH($C626,Settings!$B$20:$B$59,0))="",Settings!$C$10,INDEX(Settings!$C$20:$C$59,MATCH($C626,Settings!$B$20:$B$59,0))),Settings!$C$10))</f>
        <v/>
      </c>
      <c r="AL626" s="108">
        <f t="shared" si="174"/>
        <v>0</v>
      </c>
      <c r="AM626" s="39" t="str">
        <f t="shared" si="175"/>
        <v/>
      </c>
      <c r="AN626" s="39" t="str">
        <f t="shared" si="176"/>
        <v/>
      </c>
      <c r="AO626" s="39" t="str">
        <f t="shared" si="177"/>
        <v/>
      </c>
      <c r="AP626" s="39">
        <f t="shared" si="178"/>
        <v>0</v>
      </c>
      <c r="AQ626" s="39">
        <f t="shared" si="179"/>
        <v>0</v>
      </c>
    </row>
    <row r="627" spans="14:43" x14ac:dyDescent="0.25">
      <c r="N627" s="105">
        <f t="shared" si="162"/>
        <v>0</v>
      </c>
      <c r="O627" s="106" t="str">
        <f>IF($F627="","",IF(ISNUMBER($F627),$F627+Settings!$C$7/24,IFERROR(DATEVALUE(LEFT($F627,10))+TIMEVALUE(MID($F627,12,8))+Settings!$C$7/24,"")))</f>
        <v/>
      </c>
      <c r="P627" s="106" t="str">
        <f>IF($G627="","",IF(ISNUMBER($G627),$G627+Settings!$C$7/24,IFERROR(DATEVALUE(LEFT($G627,10))+TIMEVALUE(MID($G627,12,8))+Settings!$C$7/24,"")))</f>
        <v/>
      </c>
      <c r="Q627" s="39" t="str">
        <f t="shared" si="163"/>
        <v/>
      </c>
      <c r="R627" s="39" t="str">
        <f t="shared" si="164"/>
        <v/>
      </c>
      <c r="S627" s="107" t="str">
        <f t="shared" si="165"/>
        <v/>
      </c>
      <c r="T627" s="39" t="str">
        <f>IF($C627="","",IF(COUNTIF($C$2:$C627,$C627)=1,1,0))</f>
        <v/>
      </c>
      <c r="U627" s="39" t="str">
        <f>IF($T627=1,COUNTIF($T$2:$T627,1),"")</f>
        <v/>
      </c>
      <c r="V627" s="39" t="str">
        <f>IF($B627="","",IF(COUNTIF($B$2:$B627,$B627)=1,1,0))</f>
        <v/>
      </c>
      <c r="W627" s="39" t="str">
        <f>IF($V627=1,COUNTIF($V$2:$V627,1),"")</f>
        <v/>
      </c>
      <c r="X627" s="39" t="str">
        <f>IF($A627="","",IF(COUNTIF($A$2:$A627,$A627)=1,1,0))</f>
        <v/>
      </c>
      <c r="Y627" s="39" t="str">
        <f>IF($X627=1,COUNTIF($X$2:$X627,1),"")</f>
        <v/>
      </c>
      <c r="Z627" s="39">
        <f>IF(AND($E627="timed",$N627&gt;Settings!$C$8),1,0)</f>
        <v>0</v>
      </c>
      <c r="AA627" s="39">
        <f t="shared" si="166"/>
        <v>0</v>
      </c>
      <c r="AB627" s="39">
        <f t="shared" si="167"/>
        <v>0</v>
      </c>
      <c r="AC627" s="39" t="str">
        <f t="shared" si="168"/>
        <v/>
      </c>
      <c r="AD627" s="39" t="str">
        <f t="shared" si="169"/>
        <v/>
      </c>
      <c r="AE627" s="39" t="str">
        <f t="shared" si="170"/>
        <v/>
      </c>
      <c r="AF627" s="106" t="str">
        <f t="shared" si="171"/>
        <v/>
      </c>
      <c r="AG627" s="39">
        <f t="shared" si="172"/>
        <v>0</v>
      </c>
      <c r="AH627" s="39" t="str">
        <f t="shared" si="173"/>
        <v/>
      </c>
      <c r="AI627" s="39">
        <f>IF(AND($E627="timed",$N627&gt;=Settings!$C$9),1,0)</f>
        <v>0</v>
      </c>
      <c r="AJ627" s="39" t="str">
        <f>IF(OR($S627="",Settings!$C$16=""),"",IF($S627&lt;=Settings!$C$16,1,2))</f>
        <v/>
      </c>
      <c r="AK627" s="39" t="str">
        <f>IF($C627="","",IFERROR(IF(INDEX(Settings!$C$20:$C$59,MATCH($C627,Settings!$B$20:$B$59,0))="",Settings!$C$10,INDEX(Settings!$C$20:$C$59,MATCH($C627,Settings!$B$20:$B$59,0))),Settings!$C$10))</f>
        <v/>
      </c>
      <c r="AL627" s="108">
        <f t="shared" si="174"/>
        <v>0</v>
      </c>
      <c r="AM627" s="39" t="str">
        <f t="shared" si="175"/>
        <v/>
      </c>
      <c r="AN627" s="39" t="str">
        <f t="shared" si="176"/>
        <v/>
      </c>
      <c r="AO627" s="39" t="str">
        <f t="shared" si="177"/>
        <v/>
      </c>
      <c r="AP627" s="39">
        <f t="shared" si="178"/>
        <v>0</v>
      </c>
      <c r="AQ627" s="39">
        <f t="shared" si="179"/>
        <v>0</v>
      </c>
    </row>
    <row r="628" spans="14:43" x14ac:dyDescent="0.25">
      <c r="N628" s="105">
        <f t="shared" si="162"/>
        <v>0</v>
      </c>
      <c r="O628" s="106" t="str">
        <f>IF($F628="","",IF(ISNUMBER($F628),$F628+Settings!$C$7/24,IFERROR(DATEVALUE(LEFT($F628,10))+TIMEVALUE(MID($F628,12,8))+Settings!$C$7/24,"")))</f>
        <v/>
      </c>
      <c r="P628" s="106" t="str">
        <f>IF($G628="","",IF(ISNUMBER($G628),$G628+Settings!$C$7/24,IFERROR(DATEVALUE(LEFT($G628,10))+TIMEVALUE(MID($G628,12,8))+Settings!$C$7/24,"")))</f>
        <v/>
      </c>
      <c r="Q628" s="39" t="str">
        <f t="shared" si="163"/>
        <v/>
      </c>
      <c r="R628" s="39" t="str">
        <f t="shared" si="164"/>
        <v/>
      </c>
      <c r="S628" s="107" t="str">
        <f t="shared" si="165"/>
        <v/>
      </c>
      <c r="T628" s="39" t="str">
        <f>IF($C628="","",IF(COUNTIF($C$2:$C628,$C628)=1,1,0))</f>
        <v/>
      </c>
      <c r="U628" s="39" t="str">
        <f>IF($T628=1,COUNTIF($T$2:$T628,1),"")</f>
        <v/>
      </c>
      <c r="V628" s="39" t="str">
        <f>IF($B628="","",IF(COUNTIF($B$2:$B628,$B628)=1,1,0))</f>
        <v/>
      </c>
      <c r="W628" s="39" t="str">
        <f>IF($V628=1,COUNTIF($V$2:$V628,1),"")</f>
        <v/>
      </c>
      <c r="X628" s="39" t="str">
        <f>IF($A628="","",IF(COUNTIF($A$2:$A628,$A628)=1,1,0))</f>
        <v/>
      </c>
      <c r="Y628" s="39" t="str">
        <f>IF($X628=1,COUNTIF($X$2:$X628,1),"")</f>
        <v/>
      </c>
      <c r="Z628" s="39">
        <f>IF(AND($E628="timed",$N628&gt;Settings!$C$8),1,0)</f>
        <v>0</v>
      </c>
      <c r="AA628" s="39">
        <f t="shared" si="166"/>
        <v>0</v>
      </c>
      <c r="AB628" s="39">
        <f t="shared" si="167"/>
        <v>0</v>
      </c>
      <c r="AC628" s="39" t="str">
        <f t="shared" si="168"/>
        <v/>
      </c>
      <c r="AD628" s="39" t="str">
        <f t="shared" si="169"/>
        <v/>
      </c>
      <c r="AE628" s="39" t="str">
        <f t="shared" si="170"/>
        <v/>
      </c>
      <c r="AF628" s="106" t="str">
        <f t="shared" si="171"/>
        <v/>
      </c>
      <c r="AG628" s="39">
        <f t="shared" si="172"/>
        <v>0</v>
      </c>
      <c r="AH628" s="39" t="str">
        <f t="shared" si="173"/>
        <v/>
      </c>
      <c r="AI628" s="39">
        <f>IF(AND($E628="timed",$N628&gt;=Settings!$C$9),1,0)</f>
        <v>0</v>
      </c>
      <c r="AJ628" s="39" t="str">
        <f>IF(OR($S628="",Settings!$C$16=""),"",IF($S628&lt;=Settings!$C$16,1,2))</f>
        <v/>
      </c>
      <c r="AK628" s="39" t="str">
        <f>IF($C628="","",IFERROR(IF(INDEX(Settings!$C$20:$C$59,MATCH($C628,Settings!$B$20:$B$59,0))="",Settings!$C$10,INDEX(Settings!$C$20:$C$59,MATCH($C628,Settings!$B$20:$B$59,0))),Settings!$C$10))</f>
        <v/>
      </c>
      <c r="AL628" s="108">
        <f t="shared" si="174"/>
        <v>0</v>
      </c>
      <c r="AM628" s="39" t="str">
        <f t="shared" si="175"/>
        <v/>
      </c>
      <c r="AN628" s="39" t="str">
        <f t="shared" si="176"/>
        <v/>
      </c>
      <c r="AO628" s="39" t="str">
        <f t="shared" si="177"/>
        <v/>
      </c>
      <c r="AP628" s="39">
        <f t="shared" si="178"/>
        <v>0</v>
      </c>
      <c r="AQ628" s="39">
        <f t="shared" si="179"/>
        <v>0</v>
      </c>
    </row>
    <row r="629" spans="14:43" x14ac:dyDescent="0.25">
      <c r="N629" s="105">
        <f t="shared" si="162"/>
        <v>0</v>
      </c>
      <c r="O629" s="106" t="str">
        <f>IF($F629="","",IF(ISNUMBER($F629),$F629+Settings!$C$7/24,IFERROR(DATEVALUE(LEFT($F629,10))+TIMEVALUE(MID($F629,12,8))+Settings!$C$7/24,"")))</f>
        <v/>
      </c>
      <c r="P629" s="106" t="str">
        <f>IF($G629="","",IF(ISNUMBER($G629),$G629+Settings!$C$7/24,IFERROR(DATEVALUE(LEFT($G629,10))+TIMEVALUE(MID($G629,12,8))+Settings!$C$7/24,"")))</f>
        <v/>
      </c>
      <c r="Q629" s="39" t="str">
        <f t="shared" si="163"/>
        <v/>
      </c>
      <c r="R629" s="39" t="str">
        <f t="shared" si="164"/>
        <v/>
      </c>
      <c r="S629" s="107" t="str">
        <f t="shared" si="165"/>
        <v/>
      </c>
      <c r="T629" s="39" t="str">
        <f>IF($C629="","",IF(COUNTIF($C$2:$C629,$C629)=1,1,0))</f>
        <v/>
      </c>
      <c r="U629" s="39" t="str">
        <f>IF($T629=1,COUNTIF($T$2:$T629,1),"")</f>
        <v/>
      </c>
      <c r="V629" s="39" t="str">
        <f>IF($B629="","",IF(COUNTIF($B$2:$B629,$B629)=1,1,0))</f>
        <v/>
      </c>
      <c r="W629" s="39" t="str">
        <f>IF($V629=1,COUNTIF($V$2:$V629,1),"")</f>
        <v/>
      </c>
      <c r="X629" s="39" t="str">
        <f>IF($A629="","",IF(COUNTIF($A$2:$A629,$A629)=1,1,0))</f>
        <v/>
      </c>
      <c r="Y629" s="39" t="str">
        <f>IF($X629=1,COUNTIF($X$2:$X629,1),"")</f>
        <v/>
      </c>
      <c r="Z629" s="39">
        <f>IF(AND($E629="timed",$N629&gt;Settings!$C$8),1,0)</f>
        <v>0</v>
      </c>
      <c r="AA629" s="39">
        <f t="shared" si="166"/>
        <v>0</v>
      </c>
      <c r="AB629" s="39">
        <f t="shared" si="167"/>
        <v>0</v>
      </c>
      <c r="AC629" s="39" t="str">
        <f t="shared" si="168"/>
        <v/>
      </c>
      <c r="AD629" s="39" t="str">
        <f t="shared" si="169"/>
        <v/>
      </c>
      <c r="AE629" s="39" t="str">
        <f t="shared" si="170"/>
        <v/>
      </c>
      <c r="AF629" s="106" t="str">
        <f t="shared" si="171"/>
        <v/>
      </c>
      <c r="AG629" s="39">
        <f t="shared" si="172"/>
        <v>0</v>
      </c>
      <c r="AH629" s="39" t="str">
        <f t="shared" si="173"/>
        <v/>
      </c>
      <c r="AI629" s="39">
        <f>IF(AND($E629="timed",$N629&gt;=Settings!$C$9),1,0)</f>
        <v>0</v>
      </c>
      <c r="AJ629" s="39" t="str">
        <f>IF(OR($S629="",Settings!$C$16=""),"",IF($S629&lt;=Settings!$C$16,1,2))</f>
        <v/>
      </c>
      <c r="AK629" s="39" t="str">
        <f>IF($C629="","",IFERROR(IF(INDEX(Settings!$C$20:$C$59,MATCH($C629,Settings!$B$20:$B$59,0))="",Settings!$C$10,INDEX(Settings!$C$20:$C$59,MATCH($C629,Settings!$B$20:$B$59,0))),Settings!$C$10))</f>
        <v/>
      </c>
      <c r="AL629" s="108">
        <f t="shared" si="174"/>
        <v>0</v>
      </c>
      <c r="AM629" s="39" t="str">
        <f t="shared" si="175"/>
        <v/>
      </c>
      <c r="AN629" s="39" t="str">
        <f t="shared" si="176"/>
        <v/>
      </c>
      <c r="AO629" s="39" t="str">
        <f t="shared" si="177"/>
        <v/>
      </c>
      <c r="AP629" s="39">
        <f t="shared" si="178"/>
        <v>0</v>
      </c>
      <c r="AQ629" s="39">
        <f t="shared" si="179"/>
        <v>0</v>
      </c>
    </row>
    <row r="630" spans="14:43" x14ac:dyDescent="0.25">
      <c r="N630" s="105">
        <f t="shared" si="162"/>
        <v>0</v>
      </c>
      <c r="O630" s="106" t="str">
        <f>IF($F630="","",IF(ISNUMBER($F630),$F630+Settings!$C$7/24,IFERROR(DATEVALUE(LEFT($F630,10))+TIMEVALUE(MID($F630,12,8))+Settings!$C$7/24,"")))</f>
        <v/>
      </c>
      <c r="P630" s="106" t="str">
        <f>IF($G630="","",IF(ISNUMBER($G630),$G630+Settings!$C$7/24,IFERROR(DATEVALUE(LEFT($G630,10))+TIMEVALUE(MID($G630,12,8))+Settings!$C$7/24,"")))</f>
        <v/>
      </c>
      <c r="Q630" s="39" t="str">
        <f t="shared" si="163"/>
        <v/>
      </c>
      <c r="R630" s="39" t="str">
        <f t="shared" si="164"/>
        <v/>
      </c>
      <c r="S630" s="107" t="str">
        <f t="shared" si="165"/>
        <v/>
      </c>
      <c r="T630" s="39" t="str">
        <f>IF($C630="","",IF(COUNTIF($C$2:$C630,$C630)=1,1,0))</f>
        <v/>
      </c>
      <c r="U630" s="39" t="str">
        <f>IF($T630=1,COUNTIF($T$2:$T630,1),"")</f>
        <v/>
      </c>
      <c r="V630" s="39" t="str">
        <f>IF($B630="","",IF(COUNTIF($B$2:$B630,$B630)=1,1,0))</f>
        <v/>
      </c>
      <c r="W630" s="39" t="str">
        <f>IF($V630=1,COUNTIF($V$2:$V630,1),"")</f>
        <v/>
      </c>
      <c r="X630" s="39" t="str">
        <f>IF($A630="","",IF(COUNTIF($A$2:$A630,$A630)=1,1,0))</f>
        <v/>
      </c>
      <c r="Y630" s="39" t="str">
        <f>IF($X630=1,COUNTIF($X$2:$X630,1),"")</f>
        <v/>
      </c>
      <c r="Z630" s="39">
        <f>IF(AND($E630="timed",$N630&gt;Settings!$C$8),1,0)</f>
        <v>0</v>
      </c>
      <c r="AA630" s="39">
        <f t="shared" si="166"/>
        <v>0</v>
      </c>
      <c r="AB630" s="39">
        <f t="shared" si="167"/>
        <v>0</v>
      </c>
      <c r="AC630" s="39" t="str">
        <f t="shared" si="168"/>
        <v/>
      </c>
      <c r="AD630" s="39" t="str">
        <f t="shared" si="169"/>
        <v/>
      </c>
      <c r="AE630" s="39" t="str">
        <f t="shared" si="170"/>
        <v/>
      </c>
      <c r="AF630" s="106" t="str">
        <f t="shared" si="171"/>
        <v/>
      </c>
      <c r="AG630" s="39">
        <f t="shared" si="172"/>
        <v>0</v>
      </c>
      <c r="AH630" s="39" t="str">
        <f t="shared" si="173"/>
        <v/>
      </c>
      <c r="AI630" s="39">
        <f>IF(AND($E630="timed",$N630&gt;=Settings!$C$9),1,0)</f>
        <v>0</v>
      </c>
      <c r="AJ630" s="39" t="str">
        <f>IF(OR($S630="",Settings!$C$16=""),"",IF($S630&lt;=Settings!$C$16,1,2))</f>
        <v/>
      </c>
      <c r="AK630" s="39" t="str">
        <f>IF($C630="","",IFERROR(IF(INDEX(Settings!$C$20:$C$59,MATCH($C630,Settings!$B$20:$B$59,0))="",Settings!$C$10,INDEX(Settings!$C$20:$C$59,MATCH($C630,Settings!$B$20:$B$59,0))),Settings!$C$10))</f>
        <v/>
      </c>
      <c r="AL630" s="108">
        <f t="shared" si="174"/>
        <v>0</v>
      </c>
      <c r="AM630" s="39" t="str">
        <f t="shared" si="175"/>
        <v/>
      </c>
      <c r="AN630" s="39" t="str">
        <f t="shared" si="176"/>
        <v/>
      </c>
      <c r="AO630" s="39" t="str">
        <f t="shared" si="177"/>
        <v/>
      </c>
      <c r="AP630" s="39">
        <f t="shared" si="178"/>
        <v>0</v>
      </c>
      <c r="AQ630" s="39">
        <f t="shared" si="179"/>
        <v>0</v>
      </c>
    </row>
    <row r="631" spans="14:43" x14ac:dyDescent="0.25">
      <c r="N631" s="105">
        <f t="shared" si="162"/>
        <v>0</v>
      </c>
      <c r="O631" s="106" t="str">
        <f>IF($F631="","",IF(ISNUMBER($F631),$F631+Settings!$C$7/24,IFERROR(DATEVALUE(LEFT($F631,10))+TIMEVALUE(MID($F631,12,8))+Settings!$C$7/24,"")))</f>
        <v/>
      </c>
      <c r="P631" s="106" t="str">
        <f>IF($G631="","",IF(ISNUMBER($G631),$G631+Settings!$C$7/24,IFERROR(DATEVALUE(LEFT($G631,10))+TIMEVALUE(MID($G631,12,8))+Settings!$C$7/24,"")))</f>
        <v/>
      </c>
      <c r="Q631" s="39" t="str">
        <f t="shared" si="163"/>
        <v/>
      </c>
      <c r="R631" s="39" t="str">
        <f t="shared" si="164"/>
        <v/>
      </c>
      <c r="S631" s="107" t="str">
        <f t="shared" si="165"/>
        <v/>
      </c>
      <c r="T631" s="39" t="str">
        <f>IF($C631="","",IF(COUNTIF($C$2:$C631,$C631)=1,1,0))</f>
        <v/>
      </c>
      <c r="U631" s="39" t="str">
        <f>IF($T631=1,COUNTIF($T$2:$T631,1),"")</f>
        <v/>
      </c>
      <c r="V631" s="39" t="str">
        <f>IF($B631="","",IF(COUNTIF($B$2:$B631,$B631)=1,1,0))</f>
        <v/>
      </c>
      <c r="W631" s="39" t="str">
        <f>IF($V631=1,COUNTIF($V$2:$V631,1),"")</f>
        <v/>
      </c>
      <c r="X631" s="39" t="str">
        <f>IF($A631="","",IF(COUNTIF($A$2:$A631,$A631)=1,1,0))</f>
        <v/>
      </c>
      <c r="Y631" s="39" t="str">
        <f>IF($X631=1,COUNTIF($X$2:$X631,1),"")</f>
        <v/>
      </c>
      <c r="Z631" s="39">
        <f>IF(AND($E631="timed",$N631&gt;Settings!$C$8),1,0)</f>
        <v>0</v>
      </c>
      <c r="AA631" s="39">
        <f t="shared" si="166"/>
        <v>0</v>
      </c>
      <c r="AB631" s="39">
        <f t="shared" si="167"/>
        <v>0</v>
      </c>
      <c r="AC631" s="39" t="str">
        <f t="shared" si="168"/>
        <v/>
      </c>
      <c r="AD631" s="39" t="str">
        <f t="shared" si="169"/>
        <v/>
      </c>
      <c r="AE631" s="39" t="str">
        <f t="shared" si="170"/>
        <v/>
      </c>
      <c r="AF631" s="106" t="str">
        <f t="shared" si="171"/>
        <v/>
      </c>
      <c r="AG631" s="39">
        <f t="shared" si="172"/>
        <v>0</v>
      </c>
      <c r="AH631" s="39" t="str">
        <f t="shared" si="173"/>
        <v/>
      </c>
      <c r="AI631" s="39">
        <f>IF(AND($E631="timed",$N631&gt;=Settings!$C$9),1,0)</f>
        <v>0</v>
      </c>
      <c r="AJ631" s="39" t="str">
        <f>IF(OR($S631="",Settings!$C$16=""),"",IF($S631&lt;=Settings!$C$16,1,2))</f>
        <v/>
      </c>
      <c r="AK631" s="39" t="str">
        <f>IF($C631="","",IFERROR(IF(INDEX(Settings!$C$20:$C$59,MATCH($C631,Settings!$B$20:$B$59,0))="",Settings!$C$10,INDEX(Settings!$C$20:$C$59,MATCH($C631,Settings!$B$20:$B$59,0))),Settings!$C$10))</f>
        <v/>
      </c>
      <c r="AL631" s="108">
        <f t="shared" si="174"/>
        <v>0</v>
      </c>
      <c r="AM631" s="39" t="str">
        <f t="shared" si="175"/>
        <v/>
      </c>
      <c r="AN631" s="39" t="str">
        <f t="shared" si="176"/>
        <v/>
      </c>
      <c r="AO631" s="39" t="str">
        <f t="shared" si="177"/>
        <v/>
      </c>
      <c r="AP631" s="39">
        <f t="shared" si="178"/>
        <v>0</v>
      </c>
      <c r="AQ631" s="39">
        <f t="shared" si="179"/>
        <v>0</v>
      </c>
    </row>
    <row r="632" spans="14:43" x14ac:dyDescent="0.25">
      <c r="N632" s="105">
        <f t="shared" si="162"/>
        <v>0</v>
      </c>
      <c r="O632" s="106" t="str">
        <f>IF($F632="","",IF(ISNUMBER($F632),$F632+Settings!$C$7/24,IFERROR(DATEVALUE(LEFT($F632,10))+TIMEVALUE(MID($F632,12,8))+Settings!$C$7/24,"")))</f>
        <v/>
      </c>
      <c r="P632" s="106" t="str">
        <f>IF($G632="","",IF(ISNUMBER($G632),$G632+Settings!$C$7/24,IFERROR(DATEVALUE(LEFT($G632,10))+TIMEVALUE(MID($G632,12,8))+Settings!$C$7/24,"")))</f>
        <v/>
      </c>
      <c r="Q632" s="39" t="str">
        <f t="shared" si="163"/>
        <v/>
      </c>
      <c r="R632" s="39" t="str">
        <f t="shared" si="164"/>
        <v/>
      </c>
      <c r="S632" s="107" t="str">
        <f t="shared" si="165"/>
        <v/>
      </c>
      <c r="T632" s="39" t="str">
        <f>IF($C632="","",IF(COUNTIF($C$2:$C632,$C632)=1,1,0))</f>
        <v/>
      </c>
      <c r="U632" s="39" t="str">
        <f>IF($T632=1,COUNTIF($T$2:$T632,1),"")</f>
        <v/>
      </c>
      <c r="V632" s="39" t="str">
        <f>IF($B632="","",IF(COUNTIF($B$2:$B632,$B632)=1,1,0))</f>
        <v/>
      </c>
      <c r="W632" s="39" t="str">
        <f>IF($V632=1,COUNTIF($V$2:$V632,1),"")</f>
        <v/>
      </c>
      <c r="X632" s="39" t="str">
        <f>IF($A632="","",IF(COUNTIF($A$2:$A632,$A632)=1,1,0))</f>
        <v/>
      </c>
      <c r="Y632" s="39" t="str">
        <f>IF($X632=1,COUNTIF($X$2:$X632,1),"")</f>
        <v/>
      </c>
      <c r="Z632" s="39">
        <f>IF(AND($E632="timed",$N632&gt;Settings!$C$8),1,0)</f>
        <v>0</v>
      </c>
      <c r="AA632" s="39">
        <f t="shared" si="166"/>
        <v>0</v>
      </c>
      <c r="AB632" s="39">
        <f t="shared" si="167"/>
        <v>0</v>
      </c>
      <c r="AC632" s="39" t="str">
        <f t="shared" si="168"/>
        <v/>
      </c>
      <c r="AD632" s="39" t="str">
        <f t="shared" si="169"/>
        <v/>
      </c>
      <c r="AE632" s="39" t="str">
        <f t="shared" si="170"/>
        <v/>
      </c>
      <c r="AF632" s="106" t="str">
        <f t="shared" si="171"/>
        <v/>
      </c>
      <c r="AG632" s="39">
        <f t="shared" si="172"/>
        <v>0</v>
      </c>
      <c r="AH632" s="39" t="str">
        <f t="shared" si="173"/>
        <v/>
      </c>
      <c r="AI632" s="39">
        <f>IF(AND($E632="timed",$N632&gt;=Settings!$C$9),1,0)</f>
        <v>0</v>
      </c>
      <c r="AJ632" s="39" t="str">
        <f>IF(OR($S632="",Settings!$C$16=""),"",IF($S632&lt;=Settings!$C$16,1,2))</f>
        <v/>
      </c>
      <c r="AK632" s="39" t="str">
        <f>IF($C632="","",IFERROR(IF(INDEX(Settings!$C$20:$C$59,MATCH($C632,Settings!$B$20:$B$59,0))="",Settings!$C$10,INDEX(Settings!$C$20:$C$59,MATCH($C632,Settings!$B$20:$B$59,0))),Settings!$C$10))</f>
        <v/>
      </c>
      <c r="AL632" s="108">
        <f t="shared" si="174"/>
        <v>0</v>
      </c>
      <c r="AM632" s="39" t="str">
        <f t="shared" si="175"/>
        <v/>
      </c>
      <c r="AN632" s="39" t="str">
        <f t="shared" si="176"/>
        <v/>
      </c>
      <c r="AO632" s="39" t="str">
        <f t="shared" si="177"/>
        <v/>
      </c>
      <c r="AP632" s="39">
        <f t="shared" si="178"/>
        <v>0</v>
      </c>
      <c r="AQ632" s="39">
        <f t="shared" si="179"/>
        <v>0</v>
      </c>
    </row>
    <row r="633" spans="14:43" x14ac:dyDescent="0.25">
      <c r="N633" s="105">
        <f t="shared" si="162"/>
        <v>0</v>
      </c>
      <c r="O633" s="106" t="str">
        <f>IF($F633="","",IF(ISNUMBER($F633),$F633+Settings!$C$7/24,IFERROR(DATEVALUE(LEFT($F633,10))+TIMEVALUE(MID($F633,12,8))+Settings!$C$7/24,"")))</f>
        <v/>
      </c>
      <c r="P633" s="106" t="str">
        <f>IF($G633="","",IF(ISNUMBER($G633),$G633+Settings!$C$7/24,IFERROR(DATEVALUE(LEFT($G633,10))+TIMEVALUE(MID($G633,12,8))+Settings!$C$7/24,"")))</f>
        <v/>
      </c>
      <c r="Q633" s="39" t="str">
        <f t="shared" si="163"/>
        <v/>
      </c>
      <c r="R633" s="39" t="str">
        <f t="shared" si="164"/>
        <v/>
      </c>
      <c r="S633" s="107" t="str">
        <f t="shared" si="165"/>
        <v/>
      </c>
      <c r="T633" s="39" t="str">
        <f>IF($C633="","",IF(COUNTIF($C$2:$C633,$C633)=1,1,0))</f>
        <v/>
      </c>
      <c r="U633" s="39" t="str">
        <f>IF($T633=1,COUNTIF($T$2:$T633,1),"")</f>
        <v/>
      </c>
      <c r="V633" s="39" t="str">
        <f>IF($B633="","",IF(COUNTIF($B$2:$B633,$B633)=1,1,0))</f>
        <v/>
      </c>
      <c r="W633" s="39" t="str">
        <f>IF($V633=1,COUNTIF($V$2:$V633,1),"")</f>
        <v/>
      </c>
      <c r="X633" s="39" t="str">
        <f>IF($A633="","",IF(COUNTIF($A$2:$A633,$A633)=1,1,0))</f>
        <v/>
      </c>
      <c r="Y633" s="39" t="str">
        <f>IF($X633=1,COUNTIF($X$2:$X633,1),"")</f>
        <v/>
      </c>
      <c r="Z633" s="39">
        <f>IF(AND($E633="timed",$N633&gt;Settings!$C$8),1,0)</f>
        <v>0</v>
      </c>
      <c r="AA633" s="39">
        <f t="shared" si="166"/>
        <v>0</v>
      </c>
      <c r="AB633" s="39">
        <f t="shared" si="167"/>
        <v>0</v>
      </c>
      <c r="AC633" s="39" t="str">
        <f t="shared" si="168"/>
        <v/>
      </c>
      <c r="AD633" s="39" t="str">
        <f t="shared" si="169"/>
        <v/>
      </c>
      <c r="AE633" s="39" t="str">
        <f t="shared" si="170"/>
        <v/>
      </c>
      <c r="AF633" s="106" t="str">
        <f t="shared" si="171"/>
        <v/>
      </c>
      <c r="AG633" s="39">
        <f t="shared" si="172"/>
        <v>0</v>
      </c>
      <c r="AH633" s="39" t="str">
        <f t="shared" si="173"/>
        <v/>
      </c>
      <c r="AI633" s="39">
        <f>IF(AND($E633="timed",$N633&gt;=Settings!$C$9),1,0)</f>
        <v>0</v>
      </c>
      <c r="AJ633" s="39" t="str">
        <f>IF(OR($S633="",Settings!$C$16=""),"",IF($S633&lt;=Settings!$C$16,1,2))</f>
        <v/>
      </c>
      <c r="AK633" s="39" t="str">
        <f>IF($C633="","",IFERROR(IF(INDEX(Settings!$C$20:$C$59,MATCH($C633,Settings!$B$20:$B$59,0))="",Settings!$C$10,INDEX(Settings!$C$20:$C$59,MATCH($C633,Settings!$B$20:$B$59,0))),Settings!$C$10))</f>
        <v/>
      </c>
      <c r="AL633" s="108">
        <f t="shared" si="174"/>
        <v>0</v>
      </c>
      <c r="AM633" s="39" t="str">
        <f t="shared" si="175"/>
        <v/>
      </c>
      <c r="AN633" s="39" t="str">
        <f t="shared" si="176"/>
        <v/>
      </c>
      <c r="AO633" s="39" t="str">
        <f t="shared" si="177"/>
        <v/>
      </c>
      <c r="AP633" s="39">
        <f t="shared" si="178"/>
        <v>0</v>
      </c>
      <c r="AQ633" s="39">
        <f t="shared" si="179"/>
        <v>0</v>
      </c>
    </row>
    <row r="634" spans="14:43" x14ac:dyDescent="0.25">
      <c r="N634" s="105">
        <f t="shared" si="162"/>
        <v>0</v>
      </c>
      <c r="O634" s="106" t="str">
        <f>IF($F634="","",IF(ISNUMBER($F634),$F634+Settings!$C$7/24,IFERROR(DATEVALUE(LEFT($F634,10))+TIMEVALUE(MID($F634,12,8))+Settings!$C$7/24,"")))</f>
        <v/>
      </c>
      <c r="P634" s="106" t="str">
        <f>IF($G634="","",IF(ISNUMBER($G634),$G634+Settings!$C$7/24,IFERROR(DATEVALUE(LEFT($G634,10))+TIMEVALUE(MID($G634,12,8))+Settings!$C$7/24,"")))</f>
        <v/>
      </c>
      <c r="Q634" s="39" t="str">
        <f t="shared" si="163"/>
        <v/>
      </c>
      <c r="R634" s="39" t="str">
        <f t="shared" si="164"/>
        <v/>
      </c>
      <c r="S634" s="107" t="str">
        <f t="shared" si="165"/>
        <v/>
      </c>
      <c r="T634" s="39" t="str">
        <f>IF($C634="","",IF(COUNTIF($C$2:$C634,$C634)=1,1,0))</f>
        <v/>
      </c>
      <c r="U634" s="39" t="str">
        <f>IF($T634=1,COUNTIF($T$2:$T634,1),"")</f>
        <v/>
      </c>
      <c r="V634" s="39" t="str">
        <f>IF($B634="","",IF(COUNTIF($B$2:$B634,$B634)=1,1,0))</f>
        <v/>
      </c>
      <c r="W634" s="39" t="str">
        <f>IF($V634=1,COUNTIF($V$2:$V634,1),"")</f>
        <v/>
      </c>
      <c r="X634" s="39" t="str">
        <f>IF($A634="","",IF(COUNTIF($A$2:$A634,$A634)=1,1,0))</f>
        <v/>
      </c>
      <c r="Y634" s="39" t="str">
        <f>IF($X634=1,COUNTIF($X$2:$X634,1),"")</f>
        <v/>
      </c>
      <c r="Z634" s="39">
        <f>IF(AND($E634="timed",$N634&gt;Settings!$C$8),1,0)</f>
        <v>0</v>
      </c>
      <c r="AA634" s="39">
        <f t="shared" si="166"/>
        <v>0</v>
      </c>
      <c r="AB634" s="39">
        <f t="shared" si="167"/>
        <v>0</v>
      </c>
      <c r="AC634" s="39" t="str">
        <f t="shared" si="168"/>
        <v/>
      </c>
      <c r="AD634" s="39" t="str">
        <f t="shared" si="169"/>
        <v/>
      </c>
      <c r="AE634" s="39" t="str">
        <f t="shared" si="170"/>
        <v/>
      </c>
      <c r="AF634" s="106" t="str">
        <f t="shared" si="171"/>
        <v/>
      </c>
      <c r="AG634" s="39">
        <f t="shared" si="172"/>
        <v>0</v>
      </c>
      <c r="AH634" s="39" t="str">
        <f t="shared" si="173"/>
        <v/>
      </c>
      <c r="AI634" s="39">
        <f>IF(AND($E634="timed",$N634&gt;=Settings!$C$9),1,0)</f>
        <v>0</v>
      </c>
      <c r="AJ634" s="39" t="str">
        <f>IF(OR($S634="",Settings!$C$16=""),"",IF($S634&lt;=Settings!$C$16,1,2))</f>
        <v/>
      </c>
      <c r="AK634" s="39" t="str">
        <f>IF($C634="","",IFERROR(IF(INDEX(Settings!$C$20:$C$59,MATCH($C634,Settings!$B$20:$B$59,0))="",Settings!$C$10,INDEX(Settings!$C$20:$C$59,MATCH($C634,Settings!$B$20:$B$59,0))),Settings!$C$10))</f>
        <v/>
      </c>
      <c r="AL634" s="108">
        <f t="shared" si="174"/>
        <v>0</v>
      </c>
      <c r="AM634" s="39" t="str">
        <f t="shared" si="175"/>
        <v/>
      </c>
      <c r="AN634" s="39" t="str">
        <f t="shared" si="176"/>
        <v/>
      </c>
      <c r="AO634" s="39" t="str">
        <f t="shared" si="177"/>
        <v/>
      </c>
      <c r="AP634" s="39">
        <f t="shared" si="178"/>
        <v>0</v>
      </c>
      <c r="AQ634" s="39">
        <f t="shared" si="179"/>
        <v>0</v>
      </c>
    </row>
    <row r="635" spans="14:43" x14ac:dyDescent="0.25">
      <c r="N635" s="105">
        <f t="shared" si="162"/>
        <v>0</v>
      </c>
      <c r="O635" s="106" t="str">
        <f>IF($F635="","",IF(ISNUMBER($F635),$F635+Settings!$C$7/24,IFERROR(DATEVALUE(LEFT($F635,10))+TIMEVALUE(MID($F635,12,8))+Settings!$C$7/24,"")))</f>
        <v/>
      </c>
      <c r="P635" s="106" t="str">
        <f>IF($G635="","",IF(ISNUMBER($G635),$G635+Settings!$C$7/24,IFERROR(DATEVALUE(LEFT($G635,10))+TIMEVALUE(MID($G635,12,8))+Settings!$C$7/24,"")))</f>
        <v/>
      </c>
      <c r="Q635" s="39" t="str">
        <f t="shared" si="163"/>
        <v/>
      </c>
      <c r="R635" s="39" t="str">
        <f t="shared" si="164"/>
        <v/>
      </c>
      <c r="S635" s="107" t="str">
        <f t="shared" si="165"/>
        <v/>
      </c>
      <c r="T635" s="39" t="str">
        <f>IF($C635="","",IF(COUNTIF($C$2:$C635,$C635)=1,1,0))</f>
        <v/>
      </c>
      <c r="U635" s="39" t="str">
        <f>IF($T635=1,COUNTIF($T$2:$T635,1),"")</f>
        <v/>
      </c>
      <c r="V635" s="39" t="str">
        <f>IF($B635="","",IF(COUNTIF($B$2:$B635,$B635)=1,1,0))</f>
        <v/>
      </c>
      <c r="W635" s="39" t="str">
        <f>IF($V635=1,COUNTIF($V$2:$V635,1),"")</f>
        <v/>
      </c>
      <c r="X635" s="39" t="str">
        <f>IF($A635="","",IF(COUNTIF($A$2:$A635,$A635)=1,1,0))</f>
        <v/>
      </c>
      <c r="Y635" s="39" t="str">
        <f>IF($X635=1,COUNTIF($X$2:$X635,1),"")</f>
        <v/>
      </c>
      <c r="Z635" s="39">
        <f>IF(AND($E635="timed",$N635&gt;Settings!$C$8),1,0)</f>
        <v>0</v>
      </c>
      <c r="AA635" s="39">
        <f t="shared" si="166"/>
        <v>0</v>
      </c>
      <c r="AB635" s="39">
        <f t="shared" si="167"/>
        <v>0</v>
      </c>
      <c r="AC635" s="39" t="str">
        <f t="shared" si="168"/>
        <v/>
      </c>
      <c r="AD635" s="39" t="str">
        <f t="shared" si="169"/>
        <v/>
      </c>
      <c r="AE635" s="39" t="str">
        <f t="shared" si="170"/>
        <v/>
      </c>
      <c r="AF635" s="106" t="str">
        <f t="shared" si="171"/>
        <v/>
      </c>
      <c r="AG635" s="39">
        <f t="shared" si="172"/>
        <v>0</v>
      </c>
      <c r="AH635" s="39" t="str">
        <f t="shared" si="173"/>
        <v/>
      </c>
      <c r="AI635" s="39">
        <f>IF(AND($E635="timed",$N635&gt;=Settings!$C$9),1,0)</f>
        <v>0</v>
      </c>
      <c r="AJ635" s="39" t="str">
        <f>IF(OR($S635="",Settings!$C$16=""),"",IF($S635&lt;=Settings!$C$16,1,2))</f>
        <v/>
      </c>
      <c r="AK635" s="39" t="str">
        <f>IF($C635="","",IFERROR(IF(INDEX(Settings!$C$20:$C$59,MATCH($C635,Settings!$B$20:$B$59,0))="",Settings!$C$10,INDEX(Settings!$C$20:$C$59,MATCH($C635,Settings!$B$20:$B$59,0))),Settings!$C$10))</f>
        <v/>
      </c>
      <c r="AL635" s="108">
        <f t="shared" si="174"/>
        <v>0</v>
      </c>
      <c r="AM635" s="39" t="str">
        <f t="shared" si="175"/>
        <v/>
      </c>
      <c r="AN635" s="39" t="str">
        <f t="shared" si="176"/>
        <v/>
      </c>
      <c r="AO635" s="39" t="str">
        <f t="shared" si="177"/>
        <v/>
      </c>
      <c r="AP635" s="39">
        <f t="shared" si="178"/>
        <v>0</v>
      </c>
      <c r="AQ635" s="39">
        <f t="shared" si="179"/>
        <v>0</v>
      </c>
    </row>
    <row r="636" spans="14:43" x14ac:dyDescent="0.25">
      <c r="N636" s="105">
        <f t="shared" si="162"/>
        <v>0</v>
      </c>
      <c r="O636" s="106" t="str">
        <f>IF($F636="","",IF(ISNUMBER($F636),$F636+Settings!$C$7/24,IFERROR(DATEVALUE(LEFT($F636,10))+TIMEVALUE(MID($F636,12,8))+Settings!$C$7/24,"")))</f>
        <v/>
      </c>
      <c r="P636" s="106" t="str">
        <f>IF($G636="","",IF(ISNUMBER($G636),$G636+Settings!$C$7/24,IFERROR(DATEVALUE(LEFT($G636,10))+TIMEVALUE(MID($G636,12,8))+Settings!$C$7/24,"")))</f>
        <v/>
      </c>
      <c r="Q636" s="39" t="str">
        <f t="shared" si="163"/>
        <v/>
      </c>
      <c r="R636" s="39" t="str">
        <f t="shared" si="164"/>
        <v/>
      </c>
      <c r="S636" s="107" t="str">
        <f t="shared" si="165"/>
        <v/>
      </c>
      <c r="T636" s="39" t="str">
        <f>IF($C636="","",IF(COUNTIF($C$2:$C636,$C636)=1,1,0))</f>
        <v/>
      </c>
      <c r="U636" s="39" t="str">
        <f>IF($T636=1,COUNTIF($T$2:$T636,1),"")</f>
        <v/>
      </c>
      <c r="V636" s="39" t="str">
        <f>IF($B636="","",IF(COUNTIF($B$2:$B636,$B636)=1,1,0))</f>
        <v/>
      </c>
      <c r="W636" s="39" t="str">
        <f>IF($V636=1,COUNTIF($V$2:$V636,1),"")</f>
        <v/>
      </c>
      <c r="X636" s="39" t="str">
        <f>IF($A636="","",IF(COUNTIF($A$2:$A636,$A636)=1,1,0))</f>
        <v/>
      </c>
      <c r="Y636" s="39" t="str">
        <f>IF($X636=1,COUNTIF($X$2:$X636,1),"")</f>
        <v/>
      </c>
      <c r="Z636" s="39">
        <f>IF(AND($E636="timed",$N636&gt;Settings!$C$8),1,0)</f>
        <v>0</v>
      </c>
      <c r="AA636" s="39">
        <f t="shared" si="166"/>
        <v>0</v>
      </c>
      <c r="AB636" s="39">
        <f t="shared" si="167"/>
        <v>0</v>
      </c>
      <c r="AC636" s="39" t="str">
        <f t="shared" si="168"/>
        <v/>
      </c>
      <c r="AD636" s="39" t="str">
        <f t="shared" si="169"/>
        <v/>
      </c>
      <c r="AE636" s="39" t="str">
        <f t="shared" si="170"/>
        <v/>
      </c>
      <c r="AF636" s="106" t="str">
        <f t="shared" si="171"/>
        <v/>
      </c>
      <c r="AG636" s="39">
        <f t="shared" si="172"/>
        <v>0</v>
      </c>
      <c r="AH636" s="39" t="str">
        <f t="shared" si="173"/>
        <v/>
      </c>
      <c r="AI636" s="39">
        <f>IF(AND($E636="timed",$N636&gt;=Settings!$C$9),1,0)</f>
        <v>0</v>
      </c>
      <c r="AJ636" s="39" t="str">
        <f>IF(OR($S636="",Settings!$C$16=""),"",IF($S636&lt;=Settings!$C$16,1,2))</f>
        <v/>
      </c>
      <c r="AK636" s="39" t="str">
        <f>IF($C636="","",IFERROR(IF(INDEX(Settings!$C$20:$C$59,MATCH($C636,Settings!$B$20:$B$59,0))="",Settings!$C$10,INDEX(Settings!$C$20:$C$59,MATCH($C636,Settings!$B$20:$B$59,0))),Settings!$C$10))</f>
        <v/>
      </c>
      <c r="AL636" s="108">
        <f t="shared" si="174"/>
        <v>0</v>
      </c>
      <c r="AM636" s="39" t="str">
        <f t="shared" si="175"/>
        <v/>
      </c>
      <c r="AN636" s="39" t="str">
        <f t="shared" si="176"/>
        <v/>
      </c>
      <c r="AO636" s="39" t="str">
        <f t="shared" si="177"/>
        <v/>
      </c>
      <c r="AP636" s="39">
        <f t="shared" si="178"/>
        <v>0</v>
      </c>
      <c r="AQ636" s="39">
        <f t="shared" si="179"/>
        <v>0</v>
      </c>
    </row>
    <row r="637" spans="14:43" x14ac:dyDescent="0.25">
      <c r="N637" s="105">
        <f t="shared" si="162"/>
        <v>0</v>
      </c>
      <c r="O637" s="106" t="str">
        <f>IF($F637="","",IF(ISNUMBER($F637),$F637+Settings!$C$7/24,IFERROR(DATEVALUE(LEFT($F637,10))+TIMEVALUE(MID($F637,12,8))+Settings!$C$7/24,"")))</f>
        <v/>
      </c>
      <c r="P637" s="106" t="str">
        <f>IF($G637="","",IF(ISNUMBER($G637),$G637+Settings!$C$7/24,IFERROR(DATEVALUE(LEFT($G637,10))+TIMEVALUE(MID($G637,12,8))+Settings!$C$7/24,"")))</f>
        <v/>
      </c>
      <c r="Q637" s="39" t="str">
        <f t="shared" si="163"/>
        <v/>
      </c>
      <c r="R637" s="39" t="str">
        <f t="shared" si="164"/>
        <v/>
      </c>
      <c r="S637" s="107" t="str">
        <f t="shared" si="165"/>
        <v/>
      </c>
      <c r="T637" s="39" t="str">
        <f>IF($C637="","",IF(COUNTIF($C$2:$C637,$C637)=1,1,0))</f>
        <v/>
      </c>
      <c r="U637" s="39" t="str">
        <f>IF($T637=1,COUNTIF($T$2:$T637,1),"")</f>
        <v/>
      </c>
      <c r="V637" s="39" t="str">
        <f>IF($B637="","",IF(COUNTIF($B$2:$B637,$B637)=1,1,0))</f>
        <v/>
      </c>
      <c r="W637" s="39" t="str">
        <f>IF($V637=1,COUNTIF($V$2:$V637,1),"")</f>
        <v/>
      </c>
      <c r="X637" s="39" t="str">
        <f>IF($A637="","",IF(COUNTIF($A$2:$A637,$A637)=1,1,0))</f>
        <v/>
      </c>
      <c r="Y637" s="39" t="str">
        <f>IF($X637=1,COUNTIF($X$2:$X637,1),"")</f>
        <v/>
      </c>
      <c r="Z637" s="39">
        <f>IF(AND($E637="timed",$N637&gt;Settings!$C$8),1,0)</f>
        <v>0</v>
      </c>
      <c r="AA637" s="39">
        <f t="shared" si="166"/>
        <v>0</v>
      </c>
      <c r="AB637" s="39">
        <f t="shared" si="167"/>
        <v>0</v>
      </c>
      <c r="AC637" s="39" t="str">
        <f t="shared" si="168"/>
        <v/>
      </c>
      <c r="AD637" s="39" t="str">
        <f t="shared" si="169"/>
        <v/>
      </c>
      <c r="AE637" s="39" t="str">
        <f t="shared" si="170"/>
        <v/>
      </c>
      <c r="AF637" s="106" t="str">
        <f t="shared" si="171"/>
        <v/>
      </c>
      <c r="AG637" s="39">
        <f t="shared" si="172"/>
        <v>0</v>
      </c>
      <c r="AH637" s="39" t="str">
        <f t="shared" si="173"/>
        <v/>
      </c>
      <c r="AI637" s="39">
        <f>IF(AND($E637="timed",$N637&gt;=Settings!$C$9),1,0)</f>
        <v>0</v>
      </c>
      <c r="AJ637" s="39" t="str">
        <f>IF(OR($S637="",Settings!$C$16=""),"",IF($S637&lt;=Settings!$C$16,1,2))</f>
        <v/>
      </c>
      <c r="AK637" s="39" t="str">
        <f>IF($C637="","",IFERROR(IF(INDEX(Settings!$C$20:$C$59,MATCH($C637,Settings!$B$20:$B$59,0))="",Settings!$C$10,INDEX(Settings!$C$20:$C$59,MATCH($C637,Settings!$B$20:$B$59,0))),Settings!$C$10))</f>
        <v/>
      </c>
      <c r="AL637" s="108">
        <f t="shared" si="174"/>
        <v>0</v>
      </c>
      <c r="AM637" s="39" t="str">
        <f t="shared" si="175"/>
        <v/>
      </c>
      <c r="AN637" s="39" t="str">
        <f t="shared" si="176"/>
        <v/>
      </c>
      <c r="AO637" s="39" t="str">
        <f t="shared" si="177"/>
        <v/>
      </c>
      <c r="AP637" s="39">
        <f t="shared" si="178"/>
        <v>0</v>
      </c>
      <c r="AQ637" s="39">
        <f t="shared" si="179"/>
        <v>0</v>
      </c>
    </row>
    <row r="638" spans="14:43" x14ac:dyDescent="0.25">
      <c r="N638" s="105">
        <f t="shared" si="162"/>
        <v>0</v>
      </c>
      <c r="O638" s="106" t="str">
        <f>IF($F638="","",IF(ISNUMBER($F638),$F638+Settings!$C$7/24,IFERROR(DATEVALUE(LEFT($F638,10))+TIMEVALUE(MID($F638,12,8))+Settings!$C$7/24,"")))</f>
        <v/>
      </c>
      <c r="P638" s="106" t="str">
        <f>IF($G638="","",IF(ISNUMBER($G638),$G638+Settings!$C$7/24,IFERROR(DATEVALUE(LEFT($G638,10))+TIMEVALUE(MID($G638,12,8))+Settings!$C$7/24,"")))</f>
        <v/>
      </c>
      <c r="Q638" s="39" t="str">
        <f t="shared" si="163"/>
        <v/>
      </c>
      <c r="R638" s="39" t="str">
        <f t="shared" si="164"/>
        <v/>
      </c>
      <c r="S638" s="107" t="str">
        <f t="shared" si="165"/>
        <v/>
      </c>
      <c r="T638" s="39" t="str">
        <f>IF($C638="","",IF(COUNTIF($C$2:$C638,$C638)=1,1,0))</f>
        <v/>
      </c>
      <c r="U638" s="39" t="str">
        <f>IF($T638=1,COUNTIF($T$2:$T638,1),"")</f>
        <v/>
      </c>
      <c r="V638" s="39" t="str">
        <f>IF($B638="","",IF(COUNTIF($B$2:$B638,$B638)=1,1,0))</f>
        <v/>
      </c>
      <c r="W638" s="39" t="str">
        <f>IF($V638=1,COUNTIF($V$2:$V638,1),"")</f>
        <v/>
      </c>
      <c r="X638" s="39" t="str">
        <f>IF($A638="","",IF(COUNTIF($A$2:$A638,$A638)=1,1,0))</f>
        <v/>
      </c>
      <c r="Y638" s="39" t="str">
        <f>IF($X638=1,COUNTIF($X$2:$X638,1),"")</f>
        <v/>
      </c>
      <c r="Z638" s="39">
        <f>IF(AND($E638="timed",$N638&gt;Settings!$C$8),1,0)</f>
        <v>0</v>
      </c>
      <c r="AA638" s="39">
        <f t="shared" si="166"/>
        <v>0</v>
      </c>
      <c r="AB638" s="39">
        <f t="shared" si="167"/>
        <v>0</v>
      </c>
      <c r="AC638" s="39" t="str">
        <f t="shared" si="168"/>
        <v/>
      </c>
      <c r="AD638" s="39" t="str">
        <f t="shared" si="169"/>
        <v/>
      </c>
      <c r="AE638" s="39" t="str">
        <f t="shared" si="170"/>
        <v/>
      </c>
      <c r="AF638" s="106" t="str">
        <f t="shared" si="171"/>
        <v/>
      </c>
      <c r="AG638" s="39">
        <f t="shared" si="172"/>
        <v>0</v>
      </c>
      <c r="AH638" s="39" t="str">
        <f t="shared" si="173"/>
        <v/>
      </c>
      <c r="AI638" s="39">
        <f>IF(AND($E638="timed",$N638&gt;=Settings!$C$9),1,0)</f>
        <v>0</v>
      </c>
      <c r="AJ638" s="39" t="str">
        <f>IF(OR($S638="",Settings!$C$16=""),"",IF($S638&lt;=Settings!$C$16,1,2))</f>
        <v/>
      </c>
      <c r="AK638" s="39" t="str">
        <f>IF($C638="","",IFERROR(IF(INDEX(Settings!$C$20:$C$59,MATCH($C638,Settings!$B$20:$B$59,0))="",Settings!$C$10,INDEX(Settings!$C$20:$C$59,MATCH($C638,Settings!$B$20:$B$59,0))),Settings!$C$10))</f>
        <v/>
      </c>
      <c r="AL638" s="108">
        <f t="shared" si="174"/>
        <v>0</v>
      </c>
      <c r="AM638" s="39" t="str">
        <f t="shared" si="175"/>
        <v/>
      </c>
      <c r="AN638" s="39" t="str">
        <f t="shared" si="176"/>
        <v/>
      </c>
      <c r="AO638" s="39" t="str">
        <f t="shared" si="177"/>
        <v/>
      </c>
      <c r="AP638" s="39">
        <f t="shared" si="178"/>
        <v>0</v>
      </c>
      <c r="AQ638" s="39">
        <f t="shared" si="179"/>
        <v>0</v>
      </c>
    </row>
    <row r="639" spans="14:43" x14ac:dyDescent="0.25">
      <c r="N639" s="105">
        <f t="shared" si="162"/>
        <v>0</v>
      </c>
      <c r="O639" s="106" t="str">
        <f>IF($F639="","",IF(ISNUMBER($F639),$F639+Settings!$C$7/24,IFERROR(DATEVALUE(LEFT($F639,10))+TIMEVALUE(MID($F639,12,8))+Settings!$C$7/24,"")))</f>
        <v/>
      </c>
      <c r="P639" s="106" t="str">
        <f>IF($G639="","",IF(ISNUMBER($G639),$G639+Settings!$C$7/24,IFERROR(DATEVALUE(LEFT($G639,10))+TIMEVALUE(MID($G639,12,8))+Settings!$C$7/24,"")))</f>
        <v/>
      </c>
      <c r="Q639" s="39" t="str">
        <f t="shared" si="163"/>
        <v/>
      </c>
      <c r="R639" s="39" t="str">
        <f t="shared" si="164"/>
        <v/>
      </c>
      <c r="S639" s="107" t="str">
        <f t="shared" si="165"/>
        <v/>
      </c>
      <c r="T639" s="39" t="str">
        <f>IF($C639="","",IF(COUNTIF($C$2:$C639,$C639)=1,1,0))</f>
        <v/>
      </c>
      <c r="U639" s="39" t="str">
        <f>IF($T639=1,COUNTIF($T$2:$T639,1),"")</f>
        <v/>
      </c>
      <c r="V639" s="39" t="str">
        <f>IF($B639="","",IF(COUNTIF($B$2:$B639,$B639)=1,1,0))</f>
        <v/>
      </c>
      <c r="W639" s="39" t="str">
        <f>IF($V639=1,COUNTIF($V$2:$V639,1),"")</f>
        <v/>
      </c>
      <c r="X639" s="39" t="str">
        <f>IF($A639="","",IF(COUNTIF($A$2:$A639,$A639)=1,1,0))</f>
        <v/>
      </c>
      <c r="Y639" s="39" t="str">
        <f>IF($X639=1,COUNTIF($X$2:$X639,1),"")</f>
        <v/>
      </c>
      <c r="Z639" s="39">
        <f>IF(AND($E639="timed",$N639&gt;Settings!$C$8),1,0)</f>
        <v>0</v>
      </c>
      <c r="AA639" s="39">
        <f t="shared" si="166"/>
        <v>0</v>
      </c>
      <c r="AB639" s="39">
        <f t="shared" si="167"/>
        <v>0</v>
      </c>
      <c r="AC639" s="39" t="str">
        <f t="shared" si="168"/>
        <v/>
      </c>
      <c r="AD639" s="39" t="str">
        <f t="shared" si="169"/>
        <v/>
      </c>
      <c r="AE639" s="39" t="str">
        <f t="shared" si="170"/>
        <v/>
      </c>
      <c r="AF639" s="106" t="str">
        <f t="shared" si="171"/>
        <v/>
      </c>
      <c r="AG639" s="39">
        <f t="shared" si="172"/>
        <v>0</v>
      </c>
      <c r="AH639" s="39" t="str">
        <f t="shared" si="173"/>
        <v/>
      </c>
      <c r="AI639" s="39">
        <f>IF(AND($E639="timed",$N639&gt;=Settings!$C$9),1,0)</f>
        <v>0</v>
      </c>
      <c r="AJ639" s="39" t="str">
        <f>IF(OR($S639="",Settings!$C$16=""),"",IF($S639&lt;=Settings!$C$16,1,2))</f>
        <v/>
      </c>
      <c r="AK639" s="39" t="str">
        <f>IF($C639="","",IFERROR(IF(INDEX(Settings!$C$20:$C$59,MATCH($C639,Settings!$B$20:$B$59,0))="",Settings!$C$10,INDEX(Settings!$C$20:$C$59,MATCH($C639,Settings!$B$20:$B$59,0))),Settings!$C$10))</f>
        <v/>
      </c>
      <c r="AL639" s="108">
        <f t="shared" si="174"/>
        <v>0</v>
      </c>
      <c r="AM639" s="39" t="str">
        <f t="shared" si="175"/>
        <v/>
      </c>
      <c r="AN639" s="39" t="str">
        <f t="shared" si="176"/>
        <v/>
      </c>
      <c r="AO639" s="39" t="str">
        <f t="shared" si="177"/>
        <v/>
      </c>
      <c r="AP639" s="39">
        <f t="shared" si="178"/>
        <v>0</v>
      </c>
      <c r="AQ639" s="39">
        <f t="shared" si="179"/>
        <v>0</v>
      </c>
    </row>
    <row r="640" spans="14:43" x14ac:dyDescent="0.25">
      <c r="N640" s="105">
        <f t="shared" si="162"/>
        <v>0</v>
      </c>
      <c r="O640" s="106" t="str">
        <f>IF($F640="","",IF(ISNUMBER($F640),$F640+Settings!$C$7/24,IFERROR(DATEVALUE(LEFT($F640,10))+TIMEVALUE(MID($F640,12,8))+Settings!$C$7/24,"")))</f>
        <v/>
      </c>
      <c r="P640" s="106" t="str">
        <f>IF($G640="","",IF(ISNUMBER($G640),$G640+Settings!$C$7/24,IFERROR(DATEVALUE(LEFT($G640,10))+TIMEVALUE(MID($G640,12,8))+Settings!$C$7/24,"")))</f>
        <v/>
      </c>
      <c r="Q640" s="39" t="str">
        <f t="shared" si="163"/>
        <v/>
      </c>
      <c r="R640" s="39" t="str">
        <f t="shared" si="164"/>
        <v/>
      </c>
      <c r="S640" s="107" t="str">
        <f t="shared" si="165"/>
        <v/>
      </c>
      <c r="T640" s="39" t="str">
        <f>IF($C640="","",IF(COUNTIF($C$2:$C640,$C640)=1,1,0))</f>
        <v/>
      </c>
      <c r="U640" s="39" t="str">
        <f>IF($T640=1,COUNTIF($T$2:$T640,1),"")</f>
        <v/>
      </c>
      <c r="V640" s="39" t="str">
        <f>IF($B640="","",IF(COUNTIF($B$2:$B640,$B640)=1,1,0))</f>
        <v/>
      </c>
      <c r="W640" s="39" t="str">
        <f>IF($V640=1,COUNTIF($V$2:$V640,1),"")</f>
        <v/>
      </c>
      <c r="X640" s="39" t="str">
        <f>IF($A640="","",IF(COUNTIF($A$2:$A640,$A640)=1,1,0))</f>
        <v/>
      </c>
      <c r="Y640" s="39" t="str">
        <f>IF($X640=1,COUNTIF($X$2:$X640,1),"")</f>
        <v/>
      </c>
      <c r="Z640" s="39">
        <f>IF(AND($E640="timed",$N640&gt;Settings!$C$8),1,0)</f>
        <v>0</v>
      </c>
      <c r="AA640" s="39">
        <f t="shared" si="166"/>
        <v>0</v>
      </c>
      <c r="AB640" s="39">
        <f t="shared" si="167"/>
        <v>0</v>
      </c>
      <c r="AC640" s="39" t="str">
        <f t="shared" si="168"/>
        <v/>
      </c>
      <c r="AD640" s="39" t="str">
        <f t="shared" si="169"/>
        <v/>
      </c>
      <c r="AE640" s="39" t="str">
        <f t="shared" si="170"/>
        <v/>
      </c>
      <c r="AF640" s="106" t="str">
        <f t="shared" si="171"/>
        <v/>
      </c>
      <c r="AG640" s="39">
        <f t="shared" si="172"/>
        <v>0</v>
      </c>
      <c r="AH640" s="39" t="str">
        <f t="shared" si="173"/>
        <v/>
      </c>
      <c r="AI640" s="39">
        <f>IF(AND($E640="timed",$N640&gt;=Settings!$C$9),1,0)</f>
        <v>0</v>
      </c>
      <c r="AJ640" s="39" t="str">
        <f>IF(OR($S640="",Settings!$C$16=""),"",IF($S640&lt;=Settings!$C$16,1,2))</f>
        <v/>
      </c>
      <c r="AK640" s="39" t="str">
        <f>IF($C640="","",IFERROR(IF(INDEX(Settings!$C$20:$C$59,MATCH($C640,Settings!$B$20:$B$59,0))="",Settings!$C$10,INDEX(Settings!$C$20:$C$59,MATCH($C640,Settings!$B$20:$B$59,0))),Settings!$C$10))</f>
        <v/>
      </c>
      <c r="AL640" s="108">
        <f t="shared" si="174"/>
        <v>0</v>
      </c>
      <c r="AM640" s="39" t="str">
        <f t="shared" si="175"/>
        <v/>
      </c>
      <c r="AN640" s="39" t="str">
        <f t="shared" si="176"/>
        <v/>
      </c>
      <c r="AO640" s="39" t="str">
        <f t="shared" si="177"/>
        <v/>
      </c>
      <c r="AP640" s="39">
        <f t="shared" si="178"/>
        <v>0</v>
      </c>
      <c r="AQ640" s="39">
        <f t="shared" si="179"/>
        <v>0</v>
      </c>
    </row>
    <row r="641" spans="14:43" x14ac:dyDescent="0.25">
      <c r="N641" s="105">
        <f t="shared" si="162"/>
        <v>0</v>
      </c>
      <c r="O641" s="106" t="str">
        <f>IF($F641="","",IF(ISNUMBER($F641),$F641+Settings!$C$7/24,IFERROR(DATEVALUE(LEFT($F641,10))+TIMEVALUE(MID($F641,12,8))+Settings!$C$7/24,"")))</f>
        <v/>
      </c>
      <c r="P641" s="106" t="str">
        <f>IF($G641="","",IF(ISNUMBER($G641),$G641+Settings!$C$7/24,IFERROR(DATEVALUE(LEFT($G641,10))+TIMEVALUE(MID($G641,12,8))+Settings!$C$7/24,"")))</f>
        <v/>
      </c>
      <c r="Q641" s="39" t="str">
        <f t="shared" si="163"/>
        <v/>
      </c>
      <c r="R641" s="39" t="str">
        <f t="shared" si="164"/>
        <v/>
      </c>
      <c r="S641" s="107" t="str">
        <f t="shared" si="165"/>
        <v/>
      </c>
      <c r="T641" s="39" t="str">
        <f>IF($C641="","",IF(COUNTIF($C$2:$C641,$C641)=1,1,0))</f>
        <v/>
      </c>
      <c r="U641" s="39" t="str">
        <f>IF($T641=1,COUNTIF($T$2:$T641,1),"")</f>
        <v/>
      </c>
      <c r="V641" s="39" t="str">
        <f>IF($B641="","",IF(COUNTIF($B$2:$B641,$B641)=1,1,0))</f>
        <v/>
      </c>
      <c r="W641" s="39" t="str">
        <f>IF($V641=1,COUNTIF($V$2:$V641,1),"")</f>
        <v/>
      </c>
      <c r="X641" s="39" t="str">
        <f>IF($A641="","",IF(COUNTIF($A$2:$A641,$A641)=1,1,0))</f>
        <v/>
      </c>
      <c r="Y641" s="39" t="str">
        <f>IF($X641=1,COUNTIF($X$2:$X641,1),"")</f>
        <v/>
      </c>
      <c r="Z641" s="39">
        <f>IF(AND($E641="timed",$N641&gt;Settings!$C$8),1,0)</f>
        <v>0</v>
      </c>
      <c r="AA641" s="39">
        <f t="shared" si="166"/>
        <v>0</v>
      </c>
      <c r="AB641" s="39">
        <f t="shared" si="167"/>
        <v>0</v>
      </c>
      <c r="AC641" s="39" t="str">
        <f t="shared" si="168"/>
        <v/>
      </c>
      <c r="AD641" s="39" t="str">
        <f t="shared" si="169"/>
        <v/>
      </c>
      <c r="AE641" s="39" t="str">
        <f t="shared" si="170"/>
        <v/>
      </c>
      <c r="AF641" s="106" t="str">
        <f t="shared" si="171"/>
        <v/>
      </c>
      <c r="AG641" s="39">
        <f t="shared" si="172"/>
        <v>0</v>
      </c>
      <c r="AH641" s="39" t="str">
        <f t="shared" si="173"/>
        <v/>
      </c>
      <c r="AI641" s="39">
        <f>IF(AND($E641="timed",$N641&gt;=Settings!$C$9),1,0)</f>
        <v>0</v>
      </c>
      <c r="AJ641" s="39" t="str">
        <f>IF(OR($S641="",Settings!$C$16=""),"",IF($S641&lt;=Settings!$C$16,1,2))</f>
        <v/>
      </c>
      <c r="AK641" s="39" t="str">
        <f>IF($C641="","",IFERROR(IF(INDEX(Settings!$C$20:$C$59,MATCH($C641,Settings!$B$20:$B$59,0))="",Settings!$C$10,INDEX(Settings!$C$20:$C$59,MATCH($C641,Settings!$B$20:$B$59,0))),Settings!$C$10))</f>
        <v/>
      </c>
      <c r="AL641" s="108">
        <f t="shared" si="174"/>
        <v>0</v>
      </c>
      <c r="AM641" s="39" t="str">
        <f t="shared" si="175"/>
        <v/>
      </c>
      <c r="AN641" s="39" t="str">
        <f t="shared" si="176"/>
        <v/>
      </c>
      <c r="AO641" s="39" t="str">
        <f t="shared" si="177"/>
        <v/>
      </c>
      <c r="AP641" s="39">
        <f t="shared" si="178"/>
        <v>0</v>
      </c>
      <c r="AQ641" s="39">
        <f t="shared" si="179"/>
        <v>0</v>
      </c>
    </row>
    <row r="642" spans="14:43" x14ac:dyDescent="0.25">
      <c r="N642" s="105">
        <f t="shared" ref="N642:N705" si="180">IF($E642&lt;&gt;"timed",0,IF(ISNUMBER($H642),$H642,IFERROR(VALUE($H642),0)))</f>
        <v>0</v>
      </c>
      <c r="O642" s="106" t="str">
        <f>IF($F642="","",IF(ISNUMBER($F642),$F642+Settings!$C$7/24,IFERROR(DATEVALUE(LEFT($F642,10))+TIMEVALUE(MID($F642,12,8))+Settings!$C$7/24,"")))</f>
        <v/>
      </c>
      <c r="P642" s="106" t="str">
        <f>IF($G642="","",IF(ISNUMBER($G642),$G642+Settings!$C$7/24,IFERROR(DATEVALUE(LEFT($G642,10))+TIMEVALUE(MID($G642,12,8))+Settings!$C$7/24,"")))</f>
        <v/>
      </c>
      <c r="Q642" s="39" t="str">
        <f t="shared" ref="Q642:Q705" si="181">IF($O642="","",HOUR($O642))</f>
        <v/>
      </c>
      <c r="R642" s="39" t="str">
        <f t="shared" ref="R642:R705" si="182">IF($O642="","",WEEKDAY($O642,2))</f>
        <v/>
      </c>
      <c r="S642" s="107" t="str">
        <f t="shared" ref="S642:S705" si="183">IF($A642="","",IF(ISNUMBER($A642),INT($A642),IFERROR(DATEVALUE($A642),"")))</f>
        <v/>
      </c>
      <c r="T642" s="39" t="str">
        <f>IF($C642="","",IF(COUNTIF($C$2:$C642,$C642)=1,1,0))</f>
        <v/>
      </c>
      <c r="U642" s="39" t="str">
        <f>IF($T642=1,COUNTIF($T$2:$T642,1),"")</f>
        <v/>
      </c>
      <c r="V642" s="39" t="str">
        <f>IF($B642="","",IF(COUNTIF($B$2:$B642,$B642)=1,1,0))</f>
        <v/>
      </c>
      <c r="W642" s="39" t="str">
        <f>IF($V642=1,COUNTIF($V$2:$V642,1),"")</f>
        <v/>
      </c>
      <c r="X642" s="39" t="str">
        <f>IF($A642="","",IF(COUNTIF($A$2:$A642,$A642)=1,1,0))</f>
        <v/>
      </c>
      <c r="Y642" s="39" t="str">
        <f>IF($X642=1,COUNTIF($X$2:$X642,1),"")</f>
        <v/>
      </c>
      <c r="Z642" s="39">
        <f>IF(AND($E642="timed",$N642&gt;Settings!$C$8),1,0)</f>
        <v>0</v>
      </c>
      <c r="AA642" s="39">
        <f t="shared" ref="AA642:AA705" si="184">IF(AND($E642="timed",$G642=""),1,0)</f>
        <v>0</v>
      </c>
      <c r="AB642" s="39">
        <f t="shared" ref="AB642:AB705" si="185">IF($E642&lt;&gt;"timed",0,IF(ISNUMBER($I642),$I642,IFERROR(VALUE($I642),0)))</f>
        <v>0</v>
      </c>
      <c r="AC642" s="39" t="str">
        <f t="shared" ref="AC642:AC705" si="186">IF(OR($E642&lt;&gt;"timed",$O642=""),"",ROUND($O642*86400,0)*10000+ROW())</f>
        <v/>
      </c>
      <c r="AD642" s="39" t="str">
        <f t="shared" ref="AD642:AD705" si="187">IF($AC642="","",COUNTIF($AC$2:$AC$1201,"&lt;"&amp;$AC642)+1)</f>
        <v/>
      </c>
      <c r="AE642" s="39" t="str">
        <f t="shared" ref="AE642:AE705" si="188">IF($AD642="","",IFERROR(IF(INDEX($S$2:$S$1201,MATCH($AD642-1,$AD$2:$AD$1201,0))=$S642,INDEX($C$2:$C$1201,MATCH($AD642-1,$AD$2:$AD$1201,0)),""),""))</f>
        <v/>
      </c>
      <c r="AF642" s="106" t="str">
        <f t="shared" ref="AF642:AF705" si="189">IF($AD642="","",IFERROR(IF(INDEX($S$2:$S$1201,MATCH($AD642-1,$AD$2:$AD$1201,0))=$S642,INDEX($P$2:$P$1201,MATCH($AD642-1,$AD$2:$AD$1201,0)),""),""))</f>
        <v/>
      </c>
      <c r="AG642" s="39">
        <f t="shared" ref="AG642:AG705" si="190">IF(OR($E642&lt;&gt;"timed",$AE642=""),0,IF($AE642=$C642,0,1))</f>
        <v>0</v>
      </c>
      <c r="AH642" s="39" t="str">
        <f t="shared" ref="AH642:AH705" si="191">IF(OR($AF642="",$O642=""),"",MAX(0,ROUND(($O642-$AF642)*1440,0)))</f>
        <v/>
      </c>
      <c r="AI642" s="39">
        <f>IF(AND($E642="timed",$N642&gt;=Settings!$C$9),1,0)</f>
        <v>0</v>
      </c>
      <c r="AJ642" s="39" t="str">
        <f>IF(OR($S642="",Settings!$C$16=""),"",IF($S642&lt;=Settings!$C$16,1,2))</f>
        <v/>
      </c>
      <c r="AK642" s="39" t="str">
        <f>IF($C642="","",IFERROR(IF(INDEX(Settings!$C$20:$C$59,MATCH($C642,Settings!$B$20:$B$59,0))="",Settings!$C$10,INDEX(Settings!$C$20:$C$59,MATCH($C642,Settings!$B$20:$B$59,0))),Settings!$C$10))</f>
        <v/>
      </c>
      <c r="AL642" s="108">
        <f t="shared" ref="AL642:AL705" si="192">IF(OR($N642=0,$AK642=""),0,ROUND($N642/60*$AK642,2))</f>
        <v>0</v>
      </c>
      <c r="AM642" s="39" t="str">
        <f t="shared" ref="AM642:AM705" si="193">IF($AD642="","",IFERROR(INDEX($S$2:$S$1201,MATCH($AD642-1,$AD$2:$AD$1201,0)),""))</f>
        <v/>
      </c>
      <c r="AN642" s="39" t="str">
        <f t="shared" ref="AN642:AN705" si="194">IF($Z642=1,$N642+ROW()/1000000,"")</f>
        <v/>
      </c>
      <c r="AO642" s="39" t="str">
        <f t="shared" ref="AO642:AO705" si="195">IF(OR($E642&lt;&gt;"timed",$P642=""),"",ROUND($P642*86400,0)*10000+ROW())</f>
        <v/>
      </c>
      <c r="AP642" s="39">
        <f t="shared" ref="AP642:AP705" si="196">IF($AC642="",0,IF(COUNTIFS($S$2:$S$1201,$S642,$AC$2:$AC$1201,"&lt;"&amp;$AC642)=0,1,0))</f>
        <v>0</v>
      </c>
      <c r="AQ642" s="39">
        <f t="shared" ref="AQ642:AQ705" si="197">IF($AO642="",0,IF(COUNTIFS($S$2:$S$1201,$S642,$AO$2:$AO$1201,"&gt;"&amp;$AO642)=0,1,0))</f>
        <v>0</v>
      </c>
    </row>
    <row r="643" spans="14:43" x14ac:dyDescent="0.25">
      <c r="N643" s="105">
        <f t="shared" si="180"/>
        <v>0</v>
      </c>
      <c r="O643" s="106" t="str">
        <f>IF($F643="","",IF(ISNUMBER($F643),$F643+Settings!$C$7/24,IFERROR(DATEVALUE(LEFT($F643,10))+TIMEVALUE(MID($F643,12,8))+Settings!$C$7/24,"")))</f>
        <v/>
      </c>
      <c r="P643" s="106" t="str">
        <f>IF($G643="","",IF(ISNUMBER($G643),$G643+Settings!$C$7/24,IFERROR(DATEVALUE(LEFT($G643,10))+TIMEVALUE(MID($G643,12,8))+Settings!$C$7/24,"")))</f>
        <v/>
      </c>
      <c r="Q643" s="39" t="str">
        <f t="shared" si="181"/>
        <v/>
      </c>
      <c r="R643" s="39" t="str">
        <f t="shared" si="182"/>
        <v/>
      </c>
      <c r="S643" s="107" t="str">
        <f t="shared" si="183"/>
        <v/>
      </c>
      <c r="T643" s="39" t="str">
        <f>IF($C643="","",IF(COUNTIF($C$2:$C643,$C643)=1,1,0))</f>
        <v/>
      </c>
      <c r="U643" s="39" t="str">
        <f>IF($T643=1,COUNTIF($T$2:$T643,1),"")</f>
        <v/>
      </c>
      <c r="V643" s="39" t="str">
        <f>IF($B643="","",IF(COUNTIF($B$2:$B643,$B643)=1,1,0))</f>
        <v/>
      </c>
      <c r="W643" s="39" t="str">
        <f>IF($V643=1,COUNTIF($V$2:$V643,1),"")</f>
        <v/>
      </c>
      <c r="X643" s="39" t="str">
        <f>IF($A643="","",IF(COUNTIF($A$2:$A643,$A643)=1,1,0))</f>
        <v/>
      </c>
      <c r="Y643" s="39" t="str">
        <f>IF($X643=1,COUNTIF($X$2:$X643,1),"")</f>
        <v/>
      </c>
      <c r="Z643" s="39">
        <f>IF(AND($E643="timed",$N643&gt;Settings!$C$8),1,0)</f>
        <v>0</v>
      </c>
      <c r="AA643" s="39">
        <f t="shared" si="184"/>
        <v>0</v>
      </c>
      <c r="AB643" s="39">
        <f t="shared" si="185"/>
        <v>0</v>
      </c>
      <c r="AC643" s="39" t="str">
        <f t="shared" si="186"/>
        <v/>
      </c>
      <c r="AD643" s="39" t="str">
        <f t="shared" si="187"/>
        <v/>
      </c>
      <c r="AE643" s="39" t="str">
        <f t="shared" si="188"/>
        <v/>
      </c>
      <c r="AF643" s="106" t="str">
        <f t="shared" si="189"/>
        <v/>
      </c>
      <c r="AG643" s="39">
        <f t="shared" si="190"/>
        <v>0</v>
      </c>
      <c r="AH643" s="39" t="str">
        <f t="shared" si="191"/>
        <v/>
      </c>
      <c r="AI643" s="39">
        <f>IF(AND($E643="timed",$N643&gt;=Settings!$C$9),1,0)</f>
        <v>0</v>
      </c>
      <c r="AJ643" s="39" t="str">
        <f>IF(OR($S643="",Settings!$C$16=""),"",IF($S643&lt;=Settings!$C$16,1,2))</f>
        <v/>
      </c>
      <c r="AK643" s="39" t="str">
        <f>IF($C643="","",IFERROR(IF(INDEX(Settings!$C$20:$C$59,MATCH($C643,Settings!$B$20:$B$59,0))="",Settings!$C$10,INDEX(Settings!$C$20:$C$59,MATCH($C643,Settings!$B$20:$B$59,0))),Settings!$C$10))</f>
        <v/>
      </c>
      <c r="AL643" s="108">
        <f t="shared" si="192"/>
        <v>0</v>
      </c>
      <c r="AM643" s="39" t="str">
        <f t="shared" si="193"/>
        <v/>
      </c>
      <c r="AN643" s="39" t="str">
        <f t="shared" si="194"/>
        <v/>
      </c>
      <c r="AO643" s="39" t="str">
        <f t="shared" si="195"/>
        <v/>
      </c>
      <c r="AP643" s="39">
        <f t="shared" si="196"/>
        <v>0</v>
      </c>
      <c r="AQ643" s="39">
        <f t="shared" si="197"/>
        <v>0</v>
      </c>
    </row>
    <row r="644" spans="14:43" x14ac:dyDescent="0.25">
      <c r="N644" s="105">
        <f t="shared" si="180"/>
        <v>0</v>
      </c>
      <c r="O644" s="106" t="str">
        <f>IF($F644="","",IF(ISNUMBER($F644),$F644+Settings!$C$7/24,IFERROR(DATEVALUE(LEFT($F644,10))+TIMEVALUE(MID($F644,12,8))+Settings!$C$7/24,"")))</f>
        <v/>
      </c>
      <c r="P644" s="106" t="str">
        <f>IF($G644="","",IF(ISNUMBER($G644),$G644+Settings!$C$7/24,IFERROR(DATEVALUE(LEFT($G644,10))+TIMEVALUE(MID($G644,12,8))+Settings!$C$7/24,"")))</f>
        <v/>
      </c>
      <c r="Q644" s="39" t="str">
        <f t="shared" si="181"/>
        <v/>
      </c>
      <c r="R644" s="39" t="str">
        <f t="shared" si="182"/>
        <v/>
      </c>
      <c r="S644" s="107" t="str">
        <f t="shared" si="183"/>
        <v/>
      </c>
      <c r="T644" s="39" t="str">
        <f>IF($C644="","",IF(COUNTIF($C$2:$C644,$C644)=1,1,0))</f>
        <v/>
      </c>
      <c r="U644" s="39" t="str">
        <f>IF($T644=1,COUNTIF($T$2:$T644,1),"")</f>
        <v/>
      </c>
      <c r="V644" s="39" t="str">
        <f>IF($B644="","",IF(COUNTIF($B$2:$B644,$B644)=1,1,0))</f>
        <v/>
      </c>
      <c r="W644" s="39" t="str">
        <f>IF($V644=1,COUNTIF($V$2:$V644,1),"")</f>
        <v/>
      </c>
      <c r="X644" s="39" t="str">
        <f>IF($A644="","",IF(COUNTIF($A$2:$A644,$A644)=1,1,0))</f>
        <v/>
      </c>
      <c r="Y644" s="39" t="str">
        <f>IF($X644=1,COUNTIF($X$2:$X644,1),"")</f>
        <v/>
      </c>
      <c r="Z644" s="39">
        <f>IF(AND($E644="timed",$N644&gt;Settings!$C$8),1,0)</f>
        <v>0</v>
      </c>
      <c r="AA644" s="39">
        <f t="shared" si="184"/>
        <v>0</v>
      </c>
      <c r="AB644" s="39">
        <f t="shared" si="185"/>
        <v>0</v>
      </c>
      <c r="AC644" s="39" t="str">
        <f t="shared" si="186"/>
        <v/>
      </c>
      <c r="AD644" s="39" t="str">
        <f t="shared" si="187"/>
        <v/>
      </c>
      <c r="AE644" s="39" t="str">
        <f t="shared" si="188"/>
        <v/>
      </c>
      <c r="AF644" s="106" t="str">
        <f t="shared" si="189"/>
        <v/>
      </c>
      <c r="AG644" s="39">
        <f t="shared" si="190"/>
        <v>0</v>
      </c>
      <c r="AH644" s="39" t="str">
        <f t="shared" si="191"/>
        <v/>
      </c>
      <c r="AI644" s="39">
        <f>IF(AND($E644="timed",$N644&gt;=Settings!$C$9),1,0)</f>
        <v>0</v>
      </c>
      <c r="AJ644" s="39" t="str">
        <f>IF(OR($S644="",Settings!$C$16=""),"",IF($S644&lt;=Settings!$C$16,1,2))</f>
        <v/>
      </c>
      <c r="AK644" s="39" t="str">
        <f>IF($C644="","",IFERROR(IF(INDEX(Settings!$C$20:$C$59,MATCH($C644,Settings!$B$20:$B$59,0))="",Settings!$C$10,INDEX(Settings!$C$20:$C$59,MATCH($C644,Settings!$B$20:$B$59,0))),Settings!$C$10))</f>
        <v/>
      </c>
      <c r="AL644" s="108">
        <f t="shared" si="192"/>
        <v>0</v>
      </c>
      <c r="AM644" s="39" t="str">
        <f t="shared" si="193"/>
        <v/>
      </c>
      <c r="AN644" s="39" t="str">
        <f t="shared" si="194"/>
        <v/>
      </c>
      <c r="AO644" s="39" t="str">
        <f t="shared" si="195"/>
        <v/>
      </c>
      <c r="AP644" s="39">
        <f t="shared" si="196"/>
        <v>0</v>
      </c>
      <c r="AQ644" s="39">
        <f t="shared" si="197"/>
        <v>0</v>
      </c>
    </row>
    <row r="645" spans="14:43" x14ac:dyDescent="0.25">
      <c r="N645" s="105">
        <f t="shared" si="180"/>
        <v>0</v>
      </c>
      <c r="O645" s="106" t="str">
        <f>IF($F645="","",IF(ISNUMBER($F645),$F645+Settings!$C$7/24,IFERROR(DATEVALUE(LEFT($F645,10))+TIMEVALUE(MID($F645,12,8))+Settings!$C$7/24,"")))</f>
        <v/>
      </c>
      <c r="P645" s="106" t="str">
        <f>IF($G645="","",IF(ISNUMBER($G645),$G645+Settings!$C$7/24,IFERROR(DATEVALUE(LEFT($G645,10))+TIMEVALUE(MID($G645,12,8))+Settings!$C$7/24,"")))</f>
        <v/>
      </c>
      <c r="Q645" s="39" t="str">
        <f t="shared" si="181"/>
        <v/>
      </c>
      <c r="R645" s="39" t="str">
        <f t="shared" si="182"/>
        <v/>
      </c>
      <c r="S645" s="107" t="str">
        <f t="shared" si="183"/>
        <v/>
      </c>
      <c r="T645" s="39" t="str">
        <f>IF($C645="","",IF(COUNTIF($C$2:$C645,$C645)=1,1,0))</f>
        <v/>
      </c>
      <c r="U645" s="39" t="str">
        <f>IF($T645=1,COUNTIF($T$2:$T645,1),"")</f>
        <v/>
      </c>
      <c r="V645" s="39" t="str">
        <f>IF($B645="","",IF(COUNTIF($B$2:$B645,$B645)=1,1,0))</f>
        <v/>
      </c>
      <c r="W645" s="39" t="str">
        <f>IF($V645=1,COUNTIF($V$2:$V645,1),"")</f>
        <v/>
      </c>
      <c r="X645" s="39" t="str">
        <f>IF($A645="","",IF(COUNTIF($A$2:$A645,$A645)=1,1,0))</f>
        <v/>
      </c>
      <c r="Y645" s="39" t="str">
        <f>IF($X645=1,COUNTIF($X$2:$X645,1),"")</f>
        <v/>
      </c>
      <c r="Z645" s="39">
        <f>IF(AND($E645="timed",$N645&gt;Settings!$C$8),1,0)</f>
        <v>0</v>
      </c>
      <c r="AA645" s="39">
        <f t="shared" si="184"/>
        <v>0</v>
      </c>
      <c r="AB645" s="39">
        <f t="shared" si="185"/>
        <v>0</v>
      </c>
      <c r="AC645" s="39" t="str">
        <f t="shared" si="186"/>
        <v/>
      </c>
      <c r="AD645" s="39" t="str">
        <f t="shared" si="187"/>
        <v/>
      </c>
      <c r="AE645" s="39" t="str">
        <f t="shared" si="188"/>
        <v/>
      </c>
      <c r="AF645" s="106" t="str">
        <f t="shared" si="189"/>
        <v/>
      </c>
      <c r="AG645" s="39">
        <f t="shared" si="190"/>
        <v>0</v>
      </c>
      <c r="AH645" s="39" t="str">
        <f t="shared" si="191"/>
        <v/>
      </c>
      <c r="AI645" s="39">
        <f>IF(AND($E645="timed",$N645&gt;=Settings!$C$9),1,0)</f>
        <v>0</v>
      </c>
      <c r="AJ645" s="39" t="str">
        <f>IF(OR($S645="",Settings!$C$16=""),"",IF($S645&lt;=Settings!$C$16,1,2))</f>
        <v/>
      </c>
      <c r="AK645" s="39" t="str">
        <f>IF($C645="","",IFERROR(IF(INDEX(Settings!$C$20:$C$59,MATCH($C645,Settings!$B$20:$B$59,0))="",Settings!$C$10,INDEX(Settings!$C$20:$C$59,MATCH($C645,Settings!$B$20:$B$59,0))),Settings!$C$10))</f>
        <v/>
      </c>
      <c r="AL645" s="108">
        <f t="shared" si="192"/>
        <v>0</v>
      </c>
      <c r="AM645" s="39" t="str">
        <f t="shared" si="193"/>
        <v/>
      </c>
      <c r="AN645" s="39" t="str">
        <f t="shared" si="194"/>
        <v/>
      </c>
      <c r="AO645" s="39" t="str">
        <f t="shared" si="195"/>
        <v/>
      </c>
      <c r="AP645" s="39">
        <f t="shared" si="196"/>
        <v>0</v>
      </c>
      <c r="AQ645" s="39">
        <f t="shared" si="197"/>
        <v>0</v>
      </c>
    </row>
    <row r="646" spans="14:43" x14ac:dyDescent="0.25">
      <c r="N646" s="105">
        <f t="shared" si="180"/>
        <v>0</v>
      </c>
      <c r="O646" s="106" t="str">
        <f>IF($F646="","",IF(ISNUMBER($F646),$F646+Settings!$C$7/24,IFERROR(DATEVALUE(LEFT($F646,10))+TIMEVALUE(MID($F646,12,8))+Settings!$C$7/24,"")))</f>
        <v/>
      </c>
      <c r="P646" s="106" t="str">
        <f>IF($G646="","",IF(ISNUMBER($G646),$G646+Settings!$C$7/24,IFERROR(DATEVALUE(LEFT($G646,10))+TIMEVALUE(MID($G646,12,8))+Settings!$C$7/24,"")))</f>
        <v/>
      </c>
      <c r="Q646" s="39" t="str">
        <f t="shared" si="181"/>
        <v/>
      </c>
      <c r="R646" s="39" t="str">
        <f t="shared" si="182"/>
        <v/>
      </c>
      <c r="S646" s="107" t="str">
        <f t="shared" si="183"/>
        <v/>
      </c>
      <c r="T646" s="39" t="str">
        <f>IF($C646="","",IF(COUNTIF($C$2:$C646,$C646)=1,1,0))</f>
        <v/>
      </c>
      <c r="U646" s="39" t="str">
        <f>IF($T646=1,COUNTIF($T$2:$T646,1),"")</f>
        <v/>
      </c>
      <c r="V646" s="39" t="str">
        <f>IF($B646="","",IF(COUNTIF($B$2:$B646,$B646)=1,1,0))</f>
        <v/>
      </c>
      <c r="W646" s="39" t="str">
        <f>IF($V646=1,COUNTIF($V$2:$V646,1),"")</f>
        <v/>
      </c>
      <c r="X646" s="39" t="str">
        <f>IF($A646="","",IF(COUNTIF($A$2:$A646,$A646)=1,1,0))</f>
        <v/>
      </c>
      <c r="Y646" s="39" t="str">
        <f>IF($X646=1,COUNTIF($X$2:$X646,1),"")</f>
        <v/>
      </c>
      <c r="Z646" s="39">
        <f>IF(AND($E646="timed",$N646&gt;Settings!$C$8),1,0)</f>
        <v>0</v>
      </c>
      <c r="AA646" s="39">
        <f t="shared" si="184"/>
        <v>0</v>
      </c>
      <c r="AB646" s="39">
        <f t="shared" si="185"/>
        <v>0</v>
      </c>
      <c r="AC646" s="39" t="str">
        <f t="shared" si="186"/>
        <v/>
      </c>
      <c r="AD646" s="39" t="str">
        <f t="shared" si="187"/>
        <v/>
      </c>
      <c r="AE646" s="39" t="str">
        <f t="shared" si="188"/>
        <v/>
      </c>
      <c r="AF646" s="106" t="str">
        <f t="shared" si="189"/>
        <v/>
      </c>
      <c r="AG646" s="39">
        <f t="shared" si="190"/>
        <v>0</v>
      </c>
      <c r="AH646" s="39" t="str">
        <f t="shared" si="191"/>
        <v/>
      </c>
      <c r="AI646" s="39">
        <f>IF(AND($E646="timed",$N646&gt;=Settings!$C$9),1,0)</f>
        <v>0</v>
      </c>
      <c r="AJ646" s="39" t="str">
        <f>IF(OR($S646="",Settings!$C$16=""),"",IF($S646&lt;=Settings!$C$16,1,2))</f>
        <v/>
      </c>
      <c r="AK646" s="39" t="str">
        <f>IF($C646="","",IFERROR(IF(INDEX(Settings!$C$20:$C$59,MATCH($C646,Settings!$B$20:$B$59,0))="",Settings!$C$10,INDEX(Settings!$C$20:$C$59,MATCH($C646,Settings!$B$20:$B$59,0))),Settings!$C$10))</f>
        <v/>
      </c>
      <c r="AL646" s="108">
        <f t="shared" si="192"/>
        <v>0</v>
      </c>
      <c r="AM646" s="39" t="str">
        <f t="shared" si="193"/>
        <v/>
      </c>
      <c r="AN646" s="39" t="str">
        <f t="shared" si="194"/>
        <v/>
      </c>
      <c r="AO646" s="39" t="str">
        <f t="shared" si="195"/>
        <v/>
      </c>
      <c r="AP646" s="39">
        <f t="shared" si="196"/>
        <v>0</v>
      </c>
      <c r="AQ646" s="39">
        <f t="shared" si="197"/>
        <v>0</v>
      </c>
    </row>
    <row r="647" spans="14:43" x14ac:dyDescent="0.25">
      <c r="N647" s="105">
        <f t="shared" si="180"/>
        <v>0</v>
      </c>
      <c r="O647" s="106" t="str">
        <f>IF($F647="","",IF(ISNUMBER($F647),$F647+Settings!$C$7/24,IFERROR(DATEVALUE(LEFT($F647,10))+TIMEVALUE(MID($F647,12,8))+Settings!$C$7/24,"")))</f>
        <v/>
      </c>
      <c r="P647" s="106" t="str">
        <f>IF($G647="","",IF(ISNUMBER($G647),$G647+Settings!$C$7/24,IFERROR(DATEVALUE(LEFT($G647,10))+TIMEVALUE(MID($G647,12,8))+Settings!$C$7/24,"")))</f>
        <v/>
      </c>
      <c r="Q647" s="39" t="str">
        <f t="shared" si="181"/>
        <v/>
      </c>
      <c r="R647" s="39" t="str">
        <f t="shared" si="182"/>
        <v/>
      </c>
      <c r="S647" s="107" t="str">
        <f t="shared" si="183"/>
        <v/>
      </c>
      <c r="T647" s="39" t="str">
        <f>IF($C647="","",IF(COUNTIF($C$2:$C647,$C647)=1,1,0))</f>
        <v/>
      </c>
      <c r="U647" s="39" t="str">
        <f>IF($T647=1,COUNTIF($T$2:$T647,1),"")</f>
        <v/>
      </c>
      <c r="V647" s="39" t="str">
        <f>IF($B647="","",IF(COUNTIF($B$2:$B647,$B647)=1,1,0))</f>
        <v/>
      </c>
      <c r="W647" s="39" t="str">
        <f>IF($V647=1,COUNTIF($V$2:$V647,1),"")</f>
        <v/>
      </c>
      <c r="X647" s="39" t="str">
        <f>IF($A647="","",IF(COUNTIF($A$2:$A647,$A647)=1,1,0))</f>
        <v/>
      </c>
      <c r="Y647" s="39" t="str">
        <f>IF($X647=1,COUNTIF($X$2:$X647,1),"")</f>
        <v/>
      </c>
      <c r="Z647" s="39">
        <f>IF(AND($E647="timed",$N647&gt;Settings!$C$8),1,0)</f>
        <v>0</v>
      </c>
      <c r="AA647" s="39">
        <f t="shared" si="184"/>
        <v>0</v>
      </c>
      <c r="AB647" s="39">
        <f t="shared" si="185"/>
        <v>0</v>
      </c>
      <c r="AC647" s="39" t="str">
        <f t="shared" si="186"/>
        <v/>
      </c>
      <c r="AD647" s="39" t="str">
        <f t="shared" si="187"/>
        <v/>
      </c>
      <c r="AE647" s="39" t="str">
        <f t="shared" si="188"/>
        <v/>
      </c>
      <c r="AF647" s="106" t="str">
        <f t="shared" si="189"/>
        <v/>
      </c>
      <c r="AG647" s="39">
        <f t="shared" si="190"/>
        <v>0</v>
      </c>
      <c r="AH647" s="39" t="str">
        <f t="shared" si="191"/>
        <v/>
      </c>
      <c r="AI647" s="39">
        <f>IF(AND($E647="timed",$N647&gt;=Settings!$C$9),1,0)</f>
        <v>0</v>
      </c>
      <c r="AJ647" s="39" t="str">
        <f>IF(OR($S647="",Settings!$C$16=""),"",IF($S647&lt;=Settings!$C$16,1,2))</f>
        <v/>
      </c>
      <c r="AK647" s="39" t="str">
        <f>IF($C647="","",IFERROR(IF(INDEX(Settings!$C$20:$C$59,MATCH($C647,Settings!$B$20:$B$59,0))="",Settings!$C$10,INDEX(Settings!$C$20:$C$59,MATCH($C647,Settings!$B$20:$B$59,0))),Settings!$C$10))</f>
        <v/>
      </c>
      <c r="AL647" s="108">
        <f t="shared" si="192"/>
        <v>0</v>
      </c>
      <c r="AM647" s="39" t="str">
        <f t="shared" si="193"/>
        <v/>
      </c>
      <c r="AN647" s="39" t="str">
        <f t="shared" si="194"/>
        <v/>
      </c>
      <c r="AO647" s="39" t="str">
        <f t="shared" si="195"/>
        <v/>
      </c>
      <c r="AP647" s="39">
        <f t="shared" si="196"/>
        <v>0</v>
      </c>
      <c r="AQ647" s="39">
        <f t="shared" si="197"/>
        <v>0</v>
      </c>
    </row>
    <row r="648" spans="14:43" x14ac:dyDescent="0.25">
      <c r="N648" s="105">
        <f t="shared" si="180"/>
        <v>0</v>
      </c>
      <c r="O648" s="106" t="str">
        <f>IF($F648="","",IF(ISNUMBER($F648),$F648+Settings!$C$7/24,IFERROR(DATEVALUE(LEFT($F648,10))+TIMEVALUE(MID($F648,12,8))+Settings!$C$7/24,"")))</f>
        <v/>
      </c>
      <c r="P648" s="106" t="str">
        <f>IF($G648="","",IF(ISNUMBER($G648),$G648+Settings!$C$7/24,IFERROR(DATEVALUE(LEFT($G648,10))+TIMEVALUE(MID($G648,12,8))+Settings!$C$7/24,"")))</f>
        <v/>
      </c>
      <c r="Q648" s="39" t="str">
        <f t="shared" si="181"/>
        <v/>
      </c>
      <c r="R648" s="39" t="str">
        <f t="shared" si="182"/>
        <v/>
      </c>
      <c r="S648" s="107" t="str">
        <f t="shared" si="183"/>
        <v/>
      </c>
      <c r="T648" s="39" t="str">
        <f>IF($C648="","",IF(COUNTIF($C$2:$C648,$C648)=1,1,0))</f>
        <v/>
      </c>
      <c r="U648" s="39" t="str">
        <f>IF($T648=1,COUNTIF($T$2:$T648,1),"")</f>
        <v/>
      </c>
      <c r="V648" s="39" t="str">
        <f>IF($B648="","",IF(COUNTIF($B$2:$B648,$B648)=1,1,0))</f>
        <v/>
      </c>
      <c r="W648" s="39" t="str">
        <f>IF($V648=1,COUNTIF($V$2:$V648,1),"")</f>
        <v/>
      </c>
      <c r="X648" s="39" t="str">
        <f>IF($A648="","",IF(COUNTIF($A$2:$A648,$A648)=1,1,0))</f>
        <v/>
      </c>
      <c r="Y648" s="39" t="str">
        <f>IF($X648=1,COUNTIF($X$2:$X648,1),"")</f>
        <v/>
      </c>
      <c r="Z648" s="39">
        <f>IF(AND($E648="timed",$N648&gt;Settings!$C$8),1,0)</f>
        <v>0</v>
      </c>
      <c r="AA648" s="39">
        <f t="shared" si="184"/>
        <v>0</v>
      </c>
      <c r="AB648" s="39">
        <f t="shared" si="185"/>
        <v>0</v>
      </c>
      <c r="AC648" s="39" t="str">
        <f t="shared" si="186"/>
        <v/>
      </c>
      <c r="AD648" s="39" t="str">
        <f t="shared" si="187"/>
        <v/>
      </c>
      <c r="AE648" s="39" t="str">
        <f t="shared" si="188"/>
        <v/>
      </c>
      <c r="AF648" s="106" t="str">
        <f t="shared" si="189"/>
        <v/>
      </c>
      <c r="AG648" s="39">
        <f t="shared" si="190"/>
        <v>0</v>
      </c>
      <c r="AH648" s="39" t="str">
        <f t="shared" si="191"/>
        <v/>
      </c>
      <c r="AI648" s="39">
        <f>IF(AND($E648="timed",$N648&gt;=Settings!$C$9),1,0)</f>
        <v>0</v>
      </c>
      <c r="AJ648" s="39" t="str">
        <f>IF(OR($S648="",Settings!$C$16=""),"",IF($S648&lt;=Settings!$C$16,1,2))</f>
        <v/>
      </c>
      <c r="AK648" s="39" t="str">
        <f>IF($C648="","",IFERROR(IF(INDEX(Settings!$C$20:$C$59,MATCH($C648,Settings!$B$20:$B$59,0))="",Settings!$C$10,INDEX(Settings!$C$20:$C$59,MATCH($C648,Settings!$B$20:$B$59,0))),Settings!$C$10))</f>
        <v/>
      </c>
      <c r="AL648" s="108">
        <f t="shared" si="192"/>
        <v>0</v>
      </c>
      <c r="AM648" s="39" t="str">
        <f t="shared" si="193"/>
        <v/>
      </c>
      <c r="AN648" s="39" t="str">
        <f t="shared" si="194"/>
        <v/>
      </c>
      <c r="AO648" s="39" t="str">
        <f t="shared" si="195"/>
        <v/>
      </c>
      <c r="AP648" s="39">
        <f t="shared" si="196"/>
        <v>0</v>
      </c>
      <c r="AQ648" s="39">
        <f t="shared" si="197"/>
        <v>0</v>
      </c>
    </row>
    <row r="649" spans="14:43" x14ac:dyDescent="0.25">
      <c r="N649" s="105">
        <f t="shared" si="180"/>
        <v>0</v>
      </c>
      <c r="O649" s="106" t="str">
        <f>IF($F649="","",IF(ISNUMBER($F649),$F649+Settings!$C$7/24,IFERROR(DATEVALUE(LEFT($F649,10))+TIMEVALUE(MID($F649,12,8))+Settings!$C$7/24,"")))</f>
        <v/>
      </c>
      <c r="P649" s="106" t="str">
        <f>IF($G649="","",IF(ISNUMBER($G649),$G649+Settings!$C$7/24,IFERROR(DATEVALUE(LEFT($G649,10))+TIMEVALUE(MID($G649,12,8))+Settings!$C$7/24,"")))</f>
        <v/>
      </c>
      <c r="Q649" s="39" t="str">
        <f t="shared" si="181"/>
        <v/>
      </c>
      <c r="R649" s="39" t="str">
        <f t="shared" si="182"/>
        <v/>
      </c>
      <c r="S649" s="107" t="str">
        <f t="shared" si="183"/>
        <v/>
      </c>
      <c r="T649" s="39" t="str">
        <f>IF($C649="","",IF(COUNTIF($C$2:$C649,$C649)=1,1,0))</f>
        <v/>
      </c>
      <c r="U649" s="39" t="str">
        <f>IF($T649=1,COUNTIF($T$2:$T649,1),"")</f>
        <v/>
      </c>
      <c r="V649" s="39" t="str">
        <f>IF($B649="","",IF(COUNTIF($B$2:$B649,$B649)=1,1,0))</f>
        <v/>
      </c>
      <c r="W649" s="39" t="str">
        <f>IF($V649=1,COUNTIF($V$2:$V649,1),"")</f>
        <v/>
      </c>
      <c r="X649" s="39" t="str">
        <f>IF($A649="","",IF(COUNTIF($A$2:$A649,$A649)=1,1,0))</f>
        <v/>
      </c>
      <c r="Y649" s="39" t="str">
        <f>IF($X649=1,COUNTIF($X$2:$X649,1),"")</f>
        <v/>
      </c>
      <c r="Z649" s="39">
        <f>IF(AND($E649="timed",$N649&gt;Settings!$C$8),1,0)</f>
        <v>0</v>
      </c>
      <c r="AA649" s="39">
        <f t="shared" si="184"/>
        <v>0</v>
      </c>
      <c r="AB649" s="39">
        <f t="shared" si="185"/>
        <v>0</v>
      </c>
      <c r="AC649" s="39" t="str">
        <f t="shared" si="186"/>
        <v/>
      </c>
      <c r="AD649" s="39" t="str">
        <f t="shared" si="187"/>
        <v/>
      </c>
      <c r="AE649" s="39" t="str">
        <f t="shared" si="188"/>
        <v/>
      </c>
      <c r="AF649" s="106" t="str">
        <f t="shared" si="189"/>
        <v/>
      </c>
      <c r="AG649" s="39">
        <f t="shared" si="190"/>
        <v>0</v>
      </c>
      <c r="AH649" s="39" t="str">
        <f t="shared" si="191"/>
        <v/>
      </c>
      <c r="AI649" s="39">
        <f>IF(AND($E649="timed",$N649&gt;=Settings!$C$9),1,0)</f>
        <v>0</v>
      </c>
      <c r="AJ649" s="39" t="str">
        <f>IF(OR($S649="",Settings!$C$16=""),"",IF($S649&lt;=Settings!$C$16,1,2))</f>
        <v/>
      </c>
      <c r="AK649" s="39" t="str">
        <f>IF($C649="","",IFERROR(IF(INDEX(Settings!$C$20:$C$59,MATCH($C649,Settings!$B$20:$B$59,0))="",Settings!$C$10,INDEX(Settings!$C$20:$C$59,MATCH($C649,Settings!$B$20:$B$59,0))),Settings!$C$10))</f>
        <v/>
      </c>
      <c r="AL649" s="108">
        <f t="shared" si="192"/>
        <v>0</v>
      </c>
      <c r="AM649" s="39" t="str">
        <f t="shared" si="193"/>
        <v/>
      </c>
      <c r="AN649" s="39" t="str">
        <f t="shared" si="194"/>
        <v/>
      </c>
      <c r="AO649" s="39" t="str">
        <f t="shared" si="195"/>
        <v/>
      </c>
      <c r="AP649" s="39">
        <f t="shared" si="196"/>
        <v>0</v>
      </c>
      <c r="AQ649" s="39">
        <f t="shared" si="197"/>
        <v>0</v>
      </c>
    </row>
    <row r="650" spans="14:43" x14ac:dyDescent="0.25">
      <c r="N650" s="105">
        <f t="shared" si="180"/>
        <v>0</v>
      </c>
      <c r="O650" s="106" t="str">
        <f>IF($F650="","",IF(ISNUMBER($F650),$F650+Settings!$C$7/24,IFERROR(DATEVALUE(LEFT($F650,10))+TIMEVALUE(MID($F650,12,8))+Settings!$C$7/24,"")))</f>
        <v/>
      </c>
      <c r="P650" s="106" t="str">
        <f>IF($G650="","",IF(ISNUMBER($G650),$G650+Settings!$C$7/24,IFERROR(DATEVALUE(LEFT($G650,10))+TIMEVALUE(MID($G650,12,8))+Settings!$C$7/24,"")))</f>
        <v/>
      </c>
      <c r="Q650" s="39" t="str">
        <f t="shared" si="181"/>
        <v/>
      </c>
      <c r="R650" s="39" t="str">
        <f t="shared" si="182"/>
        <v/>
      </c>
      <c r="S650" s="107" t="str">
        <f t="shared" si="183"/>
        <v/>
      </c>
      <c r="T650" s="39" t="str">
        <f>IF($C650="","",IF(COUNTIF($C$2:$C650,$C650)=1,1,0))</f>
        <v/>
      </c>
      <c r="U650" s="39" t="str">
        <f>IF($T650=1,COUNTIF($T$2:$T650,1),"")</f>
        <v/>
      </c>
      <c r="V650" s="39" t="str">
        <f>IF($B650="","",IF(COUNTIF($B$2:$B650,$B650)=1,1,0))</f>
        <v/>
      </c>
      <c r="W650" s="39" t="str">
        <f>IF($V650=1,COUNTIF($V$2:$V650,1),"")</f>
        <v/>
      </c>
      <c r="X650" s="39" t="str">
        <f>IF($A650="","",IF(COUNTIF($A$2:$A650,$A650)=1,1,0))</f>
        <v/>
      </c>
      <c r="Y650" s="39" t="str">
        <f>IF($X650=1,COUNTIF($X$2:$X650,1),"")</f>
        <v/>
      </c>
      <c r="Z650" s="39">
        <f>IF(AND($E650="timed",$N650&gt;Settings!$C$8),1,0)</f>
        <v>0</v>
      </c>
      <c r="AA650" s="39">
        <f t="shared" si="184"/>
        <v>0</v>
      </c>
      <c r="AB650" s="39">
        <f t="shared" si="185"/>
        <v>0</v>
      </c>
      <c r="AC650" s="39" t="str">
        <f t="shared" si="186"/>
        <v/>
      </c>
      <c r="AD650" s="39" t="str">
        <f t="shared" si="187"/>
        <v/>
      </c>
      <c r="AE650" s="39" t="str">
        <f t="shared" si="188"/>
        <v/>
      </c>
      <c r="AF650" s="106" t="str">
        <f t="shared" si="189"/>
        <v/>
      </c>
      <c r="AG650" s="39">
        <f t="shared" si="190"/>
        <v>0</v>
      </c>
      <c r="AH650" s="39" t="str">
        <f t="shared" si="191"/>
        <v/>
      </c>
      <c r="AI650" s="39">
        <f>IF(AND($E650="timed",$N650&gt;=Settings!$C$9),1,0)</f>
        <v>0</v>
      </c>
      <c r="AJ650" s="39" t="str">
        <f>IF(OR($S650="",Settings!$C$16=""),"",IF($S650&lt;=Settings!$C$16,1,2))</f>
        <v/>
      </c>
      <c r="AK650" s="39" t="str">
        <f>IF($C650="","",IFERROR(IF(INDEX(Settings!$C$20:$C$59,MATCH($C650,Settings!$B$20:$B$59,0))="",Settings!$C$10,INDEX(Settings!$C$20:$C$59,MATCH($C650,Settings!$B$20:$B$59,0))),Settings!$C$10))</f>
        <v/>
      </c>
      <c r="AL650" s="108">
        <f t="shared" si="192"/>
        <v>0</v>
      </c>
      <c r="AM650" s="39" t="str">
        <f t="shared" si="193"/>
        <v/>
      </c>
      <c r="AN650" s="39" t="str">
        <f t="shared" si="194"/>
        <v/>
      </c>
      <c r="AO650" s="39" t="str">
        <f t="shared" si="195"/>
        <v/>
      </c>
      <c r="AP650" s="39">
        <f t="shared" si="196"/>
        <v>0</v>
      </c>
      <c r="AQ650" s="39">
        <f t="shared" si="197"/>
        <v>0</v>
      </c>
    </row>
    <row r="651" spans="14:43" x14ac:dyDescent="0.25">
      <c r="N651" s="105">
        <f t="shared" si="180"/>
        <v>0</v>
      </c>
      <c r="O651" s="106" t="str">
        <f>IF($F651="","",IF(ISNUMBER($F651),$F651+Settings!$C$7/24,IFERROR(DATEVALUE(LEFT($F651,10))+TIMEVALUE(MID($F651,12,8))+Settings!$C$7/24,"")))</f>
        <v/>
      </c>
      <c r="P651" s="106" t="str">
        <f>IF($G651="","",IF(ISNUMBER($G651),$G651+Settings!$C$7/24,IFERROR(DATEVALUE(LEFT($G651,10))+TIMEVALUE(MID($G651,12,8))+Settings!$C$7/24,"")))</f>
        <v/>
      </c>
      <c r="Q651" s="39" t="str">
        <f t="shared" si="181"/>
        <v/>
      </c>
      <c r="R651" s="39" t="str">
        <f t="shared" si="182"/>
        <v/>
      </c>
      <c r="S651" s="107" t="str">
        <f t="shared" si="183"/>
        <v/>
      </c>
      <c r="T651" s="39" t="str">
        <f>IF($C651="","",IF(COUNTIF($C$2:$C651,$C651)=1,1,0))</f>
        <v/>
      </c>
      <c r="U651" s="39" t="str">
        <f>IF($T651=1,COUNTIF($T$2:$T651,1),"")</f>
        <v/>
      </c>
      <c r="V651" s="39" t="str">
        <f>IF($B651="","",IF(COUNTIF($B$2:$B651,$B651)=1,1,0))</f>
        <v/>
      </c>
      <c r="W651" s="39" t="str">
        <f>IF($V651=1,COUNTIF($V$2:$V651,1),"")</f>
        <v/>
      </c>
      <c r="X651" s="39" t="str">
        <f>IF($A651="","",IF(COUNTIF($A$2:$A651,$A651)=1,1,0))</f>
        <v/>
      </c>
      <c r="Y651" s="39" t="str">
        <f>IF($X651=1,COUNTIF($X$2:$X651,1),"")</f>
        <v/>
      </c>
      <c r="Z651" s="39">
        <f>IF(AND($E651="timed",$N651&gt;Settings!$C$8),1,0)</f>
        <v>0</v>
      </c>
      <c r="AA651" s="39">
        <f t="shared" si="184"/>
        <v>0</v>
      </c>
      <c r="AB651" s="39">
        <f t="shared" si="185"/>
        <v>0</v>
      </c>
      <c r="AC651" s="39" t="str">
        <f t="shared" si="186"/>
        <v/>
      </c>
      <c r="AD651" s="39" t="str">
        <f t="shared" si="187"/>
        <v/>
      </c>
      <c r="AE651" s="39" t="str">
        <f t="shared" si="188"/>
        <v/>
      </c>
      <c r="AF651" s="106" t="str">
        <f t="shared" si="189"/>
        <v/>
      </c>
      <c r="AG651" s="39">
        <f t="shared" si="190"/>
        <v>0</v>
      </c>
      <c r="AH651" s="39" t="str">
        <f t="shared" si="191"/>
        <v/>
      </c>
      <c r="AI651" s="39">
        <f>IF(AND($E651="timed",$N651&gt;=Settings!$C$9),1,0)</f>
        <v>0</v>
      </c>
      <c r="AJ651" s="39" t="str">
        <f>IF(OR($S651="",Settings!$C$16=""),"",IF($S651&lt;=Settings!$C$16,1,2))</f>
        <v/>
      </c>
      <c r="AK651" s="39" t="str">
        <f>IF($C651="","",IFERROR(IF(INDEX(Settings!$C$20:$C$59,MATCH($C651,Settings!$B$20:$B$59,0))="",Settings!$C$10,INDEX(Settings!$C$20:$C$59,MATCH($C651,Settings!$B$20:$B$59,0))),Settings!$C$10))</f>
        <v/>
      </c>
      <c r="AL651" s="108">
        <f t="shared" si="192"/>
        <v>0</v>
      </c>
      <c r="AM651" s="39" t="str">
        <f t="shared" si="193"/>
        <v/>
      </c>
      <c r="AN651" s="39" t="str">
        <f t="shared" si="194"/>
        <v/>
      </c>
      <c r="AO651" s="39" t="str">
        <f t="shared" si="195"/>
        <v/>
      </c>
      <c r="AP651" s="39">
        <f t="shared" si="196"/>
        <v>0</v>
      </c>
      <c r="AQ651" s="39">
        <f t="shared" si="197"/>
        <v>0</v>
      </c>
    </row>
    <row r="652" spans="14:43" x14ac:dyDescent="0.25">
      <c r="N652" s="105">
        <f t="shared" si="180"/>
        <v>0</v>
      </c>
      <c r="O652" s="106" t="str">
        <f>IF($F652="","",IF(ISNUMBER($F652),$F652+Settings!$C$7/24,IFERROR(DATEVALUE(LEFT($F652,10))+TIMEVALUE(MID($F652,12,8))+Settings!$C$7/24,"")))</f>
        <v/>
      </c>
      <c r="P652" s="106" t="str">
        <f>IF($G652="","",IF(ISNUMBER($G652),$G652+Settings!$C$7/24,IFERROR(DATEVALUE(LEFT($G652,10))+TIMEVALUE(MID($G652,12,8))+Settings!$C$7/24,"")))</f>
        <v/>
      </c>
      <c r="Q652" s="39" t="str">
        <f t="shared" si="181"/>
        <v/>
      </c>
      <c r="R652" s="39" t="str">
        <f t="shared" si="182"/>
        <v/>
      </c>
      <c r="S652" s="107" t="str">
        <f t="shared" si="183"/>
        <v/>
      </c>
      <c r="T652" s="39" t="str">
        <f>IF($C652="","",IF(COUNTIF($C$2:$C652,$C652)=1,1,0))</f>
        <v/>
      </c>
      <c r="U652" s="39" t="str">
        <f>IF($T652=1,COUNTIF($T$2:$T652,1),"")</f>
        <v/>
      </c>
      <c r="V652" s="39" t="str">
        <f>IF($B652="","",IF(COUNTIF($B$2:$B652,$B652)=1,1,0))</f>
        <v/>
      </c>
      <c r="W652" s="39" t="str">
        <f>IF($V652=1,COUNTIF($V$2:$V652,1),"")</f>
        <v/>
      </c>
      <c r="X652" s="39" t="str">
        <f>IF($A652="","",IF(COUNTIF($A$2:$A652,$A652)=1,1,0))</f>
        <v/>
      </c>
      <c r="Y652" s="39" t="str">
        <f>IF($X652=1,COUNTIF($X$2:$X652,1),"")</f>
        <v/>
      </c>
      <c r="Z652" s="39">
        <f>IF(AND($E652="timed",$N652&gt;Settings!$C$8),1,0)</f>
        <v>0</v>
      </c>
      <c r="AA652" s="39">
        <f t="shared" si="184"/>
        <v>0</v>
      </c>
      <c r="AB652" s="39">
        <f t="shared" si="185"/>
        <v>0</v>
      </c>
      <c r="AC652" s="39" t="str">
        <f t="shared" si="186"/>
        <v/>
      </c>
      <c r="AD652" s="39" t="str">
        <f t="shared" si="187"/>
        <v/>
      </c>
      <c r="AE652" s="39" t="str">
        <f t="shared" si="188"/>
        <v/>
      </c>
      <c r="AF652" s="106" t="str">
        <f t="shared" si="189"/>
        <v/>
      </c>
      <c r="AG652" s="39">
        <f t="shared" si="190"/>
        <v>0</v>
      </c>
      <c r="AH652" s="39" t="str">
        <f t="shared" si="191"/>
        <v/>
      </c>
      <c r="AI652" s="39">
        <f>IF(AND($E652="timed",$N652&gt;=Settings!$C$9),1,0)</f>
        <v>0</v>
      </c>
      <c r="AJ652" s="39" t="str">
        <f>IF(OR($S652="",Settings!$C$16=""),"",IF($S652&lt;=Settings!$C$16,1,2))</f>
        <v/>
      </c>
      <c r="AK652" s="39" t="str">
        <f>IF($C652="","",IFERROR(IF(INDEX(Settings!$C$20:$C$59,MATCH($C652,Settings!$B$20:$B$59,0))="",Settings!$C$10,INDEX(Settings!$C$20:$C$59,MATCH($C652,Settings!$B$20:$B$59,0))),Settings!$C$10))</f>
        <v/>
      </c>
      <c r="AL652" s="108">
        <f t="shared" si="192"/>
        <v>0</v>
      </c>
      <c r="AM652" s="39" t="str">
        <f t="shared" si="193"/>
        <v/>
      </c>
      <c r="AN652" s="39" t="str">
        <f t="shared" si="194"/>
        <v/>
      </c>
      <c r="AO652" s="39" t="str">
        <f t="shared" si="195"/>
        <v/>
      </c>
      <c r="AP652" s="39">
        <f t="shared" si="196"/>
        <v>0</v>
      </c>
      <c r="AQ652" s="39">
        <f t="shared" si="197"/>
        <v>0</v>
      </c>
    </row>
    <row r="653" spans="14:43" x14ac:dyDescent="0.25">
      <c r="N653" s="105">
        <f t="shared" si="180"/>
        <v>0</v>
      </c>
      <c r="O653" s="106" t="str">
        <f>IF($F653="","",IF(ISNUMBER($F653),$F653+Settings!$C$7/24,IFERROR(DATEVALUE(LEFT($F653,10))+TIMEVALUE(MID($F653,12,8))+Settings!$C$7/24,"")))</f>
        <v/>
      </c>
      <c r="P653" s="106" t="str">
        <f>IF($G653="","",IF(ISNUMBER($G653),$G653+Settings!$C$7/24,IFERROR(DATEVALUE(LEFT($G653,10))+TIMEVALUE(MID($G653,12,8))+Settings!$C$7/24,"")))</f>
        <v/>
      </c>
      <c r="Q653" s="39" t="str">
        <f t="shared" si="181"/>
        <v/>
      </c>
      <c r="R653" s="39" t="str">
        <f t="shared" si="182"/>
        <v/>
      </c>
      <c r="S653" s="107" t="str">
        <f t="shared" si="183"/>
        <v/>
      </c>
      <c r="T653" s="39" t="str">
        <f>IF($C653="","",IF(COUNTIF($C$2:$C653,$C653)=1,1,0))</f>
        <v/>
      </c>
      <c r="U653" s="39" t="str">
        <f>IF($T653=1,COUNTIF($T$2:$T653,1),"")</f>
        <v/>
      </c>
      <c r="V653" s="39" t="str">
        <f>IF($B653="","",IF(COUNTIF($B$2:$B653,$B653)=1,1,0))</f>
        <v/>
      </c>
      <c r="W653" s="39" t="str">
        <f>IF($V653=1,COUNTIF($V$2:$V653,1),"")</f>
        <v/>
      </c>
      <c r="X653" s="39" t="str">
        <f>IF($A653="","",IF(COUNTIF($A$2:$A653,$A653)=1,1,0))</f>
        <v/>
      </c>
      <c r="Y653" s="39" t="str">
        <f>IF($X653=1,COUNTIF($X$2:$X653,1),"")</f>
        <v/>
      </c>
      <c r="Z653" s="39">
        <f>IF(AND($E653="timed",$N653&gt;Settings!$C$8),1,0)</f>
        <v>0</v>
      </c>
      <c r="AA653" s="39">
        <f t="shared" si="184"/>
        <v>0</v>
      </c>
      <c r="AB653" s="39">
        <f t="shared" si="185"/>
        <v>0</v>
      </c>
      <c r="AC653" s="39" t="str">
        <f t="shared" si="186"/>
        <v/>
      </c>
      <c r="AD653" s="39" t="str">
        <f t="shared" si="187"/>
        <v/>
      </c>
      <c r="AE653" s="39" t="str">
        <f t="shared" si="188"/>
        <v/>
      </c>
      <c r="AF653" s="106" t="str">
        <f t="shared" si="189"/>
        <v/>
      </c>
      <c r="AG653" s="39">
        <f t="shared" si="190"/>
        <v>0</v>
      </c>
      <c r="AH653" s="39" t="str">
        <f t="shared" si="191"/>
        <v/>
      </c>
      <c r="AI653" s="39">
        <f>IF(AND($E653="timed",$N653&gt;=Settings!$C$9),1,0)</f>
        <v>0</v>
      </c>
      <c r="AJ653" s="39" t="str">
        <f>IF(OR($S653="",Settings!$C$16=""),"",IF($S653&lt;=Settings!$C$16,1,2))</f>
        <v/>
      </c>
      <c r="AK653" s="39" t="str">
        <f>IF($C653="","",IFERROR(IF(INDEX(Settings!$C$20:$C$59,MATCH($C653,Settings!$B$20:$B$59,0))="",Settings!$C$10,INDEX(Settings!$C$20:$C$59,MATCH($C653,Settings!$B$20:$B$59,0))),Settings!$C$10))</f>
        <v/>
      </c>
      <c r="AL653" s="108">
        <f t="shared" si="192"/>
        <v>0</v>
      </c>
      <c r="AM653" s="39" t="str">
        <f t="shared" si="193"/>
        <v/>
      </c>
      <c r="AN653" s="39" t="str">
        <f t="shared" si="194"/>
        <v/>
      </c>
      <c r="AO653" s="39" t="str">
        <f t="shared" si="195"/>
        <v/>
      </c>
      <c r="AP653" s="39">
        <f t="shared" si="196"/>
        <v>0</v>
      </c>
      <c r="AQ653" s="39">
        <f t="shared" si="197"/>
        <v>0</v>
      </c>
    </row>
    <row r="654" spans="14:43" x14ac:dyDescent="0.25">
      <c r="N654" s="105">
        <f t="shared" si="180"/>
        <v>0</v>
      </c>
      <c r="O654" s="106" t="str">
        <f>IF($F654="","",IF(ISNUMBER($F654),$F654+Settings!$C$7/24,IFERROR(DATEVALUE(LEFT($F654,10))+TIMEVALUE(MID($F654,12,8))+Settings!$C$7/24,"")))</f>
        <v/>
      </c>
      <c r="P654" s="106" t="str">
        <f>IF($G654="","",IF(ISNUMBER($G654),$G654+Settings!$C$7/24,IFERROR(DATEVALUE(LEFT($G654,10))+TIMEVALUE(MID($G654,12,8))+Settings!$C$7/24,"")))</f>
        <v/>
      </c>
      <c r="Q654" s="39" t="str">
        <f t="shared" si="181"/>
        <v/>
      </c>
      <c r="R654" s="39" t="str">
        <f t="shared" si="182"/>
        <v/>
      </c>
      <c r="S654" s="107" t="str">
        <f t="shared" si="183"/>
        <v/>
      </c>
      <c r="T654" s="39" t="str">
        <f>IF($C654="","",IF(COUNTIF($C$2:$C654,$C654)=1,1,0))</f>
        <v/>
      </c>
      <c r="U654" s="39" t="str">
        <f>IF($T654=1,COUNTIF($T$2:$T654,1),"")</f>
        <v/>
      </c>
      <c r="V654" s="39" t="str">
        <f>IF($B654="","",IF(COUNTIF($B$2:$B654,$B654)=1,1,0))</f>
        <v/>
      </c>
      <c r="W654" s="39" t="str">
        <f>IF($V654=1,COUNTIF($V$2:$V654,1),"")</f>
        <v/>
      </c>
      <c r="X654" s="39" t="str">
        <f>IF($A654="","",IF(COUNTIF($A$2:$A654,$A654)=1,1,0))</f>
        <v/>
      </c>
      <c r="Y654" s="39" t="str">
        <f>IF($X654=1,COUNTIF($X$2:$X654,1),"")</f>
        <v/>
      </c>
      <c r="Z654" s="39">
        <f>IF(AND($E654="timed",$N654&gt;Settings!$C$8),1,0)</f>
        <v>0</v>
      </c>
      <c r="AA654" s="39">
        <f t="shared" si="184"/>
        <v>0</v>
      </c>
      <c r="AB654" s="39">
        <f t="shared" si="185"/>
        <v>0</v>
      </c>
      <c r="AC654" s="39" t="str">
        <f t="shared" si="186"/>
        <v/>
      </c>
      <c r="AD654" s="39" t="str">
        <f t="shared" si="187"/>
        <v/>
      </c>
      <c r="AE654" s="39" t="str">
        <f t="shared" si="188"/>
        <v/>
      </c>
      <c r="AF654" s="106" t="str">
        <f t="shared" si="189"/>
        <v/>
      </c>
      <c r="AG654" s="39">
        <f t="shared" si="190"/>
        <v>0</v>
      </c>
      <c r="AH654" s="39" t="str">
        <f t="shared" si="191"/>
        <v/>
      </c>
      <c r="AI654" s="39">
        <f>IF(AND($E654="timed",$N654&gt;=Settings!$C$9),1,0)</f>
        <v>0</v>
      </c>
      <c r="AJ654" s="39" t="str">
        <f>IF(OR($S654="",Settings!$C$16=""),"",IF($S654&lt;=Settings!$C$16,1,2))</f>
        <v/>
      </c>
      <c r="AK654" s="39" t="str">
        <f>IF($C654="","",IFERROR(IF(INDEX(Settings!$C$20:$C$59,MATCH($C654,Settings!$B$20:$B$59,0))="",Settings!$C$10,INDEX(Settings!$C$20:$C$59,MATCH($C654,Settings!$B$20:$B$59,0))),Settings!$C$10))</f>
        <v/>
      </c>
      <c r="AL654" s="108">
        <f t="shared" si="192"/>
        <v>0</v>
      </c>
      <c r="AM654" s="39" t="str">
        <f t="shared" si="193"/>
        <v/>
      </c>
      <c r="AN654" s="39" t="str">
        <f t="shared" si="194"/>
        <v/>
      </c>
      <c r="AO654" s="39" t="str">
        <f t="shared" si="195"/>
        <v/>
      </c>
      <c r="AP654" s="39">
        <f t="shared" si="196"/>
        <v>0</v>
      </c>
      <c r="AQ654" s="39">
        <f t="shared" si="197"/>
        <v>0</v>
      </c>
    </row>
    <row r="655" spans="14:43" x14ac:dyDescent="0.25">
      <c r="N655" s="105">
        <f t="shared" si="180"/>
        <v>0</v>
      </c>
      <c r="O655" s="106" t="str">
        <f>IF($F655="","",IF(ISNUMBER($F655),$F655+Settings!$C$7/24,IFERROR(DATEVALUE(LEFT($F655,10))+TIMEVALUE(MID($F655,12,8))+Settings!$C$7/24,"")))</f>
        <v/>
      </c>
      <c r="P655" s="106" t="str">
        <f>IF($G655="","",IF(ISNUMBER($G655),$G655+Settings!$C$7/24,IFERROR(DATEVALUE(LEFT($G655,10))+TIMEVALUE(MID($G655,12,8))+Settings!$C$7/24,"")))</f>
        <v/>
      </c>
      <c r="Q655" s="39" t="str">
        <f t="shared" si="181"/>
        <v/>
      </c>
      <c r="R655" s="39" t="str">
        <f t="shared" si="182"/>
        <v/>
      </c>
      <c r="S655" s="107" t="str">
        <f t="shared" si="183"/>
        <v/>
      </c>
      <c r="T655" s="39" t="str">
        <f>IF($C655="","",IF(COUNTIF($C$2:$C655,$C655)=1,1,0))</f>
        <v/>
      </c>
      <c r="U655" s="39" t="str">
        <f>IF($T655=1,COUNTIF($T$2:$T655,1),"")</f>
        <v/>
      </c>
      <c r="V655" s="39" t="str">
        <f>IF($B655="","",IF(COUNTIF($B$2:$B655,$B655)=1,1,0))</f>
        <v/>
      </c>
      <c r="W655" s="39" t="str">
        <f>IF($V655=1,COUNTIF($V$2:$V655,1),"")</f>
        <v/>
      </c>
      <c r="X655" s="39" t="str">
        <f>IF($A655="","",IF(COUNTIF($A$2:$A655,$A655)=1,1,0))</f>
        <v/>
      </c>
      <c r="Y655" s="39" t="str">
        <f>IF($X655=1,COUNTIF($X$2:$X655,1),"")</f>
        <v/>
      </c>
      <c r="Z655" s="39">
        <f>IF(AND($E655="timed",$N655&gt;Settings!$C$8),1,0)</f>
        <v>0</v>
      </c>
      <c r="AA655" s="39">
        <f t="shared" si="184"/>
        <v>0</v>
      </c>
      <c r="AB655" s="39">
        <f t="shared" si="185"/>
        <v>0</v>
      </c>
      <c r="AC655" s="39" t="str">
        <f t="shared" si="186"/>
        <v/>
      </c>
      <c r="AD655" s="39" t="str">
        <f t="shared" si="187"/>
        <v/>
      </c>
      <c r="AE655" s="39" t="str">
        <f t="shared" si="188"/>
        <v/>
      </c>
      <c r="AF655" s="106" t="str">
        <f t="shared" si="189"/>
        <v/>
      </c>
      <c r="AG655" s="39">
        <f t="shared" si="190"/>
        <v>0</v>
      </c>
      <c r="AH655" s="39" t="str">
        <f t="shared" si="191"/>
        <v/>
      </c>
      <c r="AI655" s="39">
        <f>IF(AND($E655="timed",$N655&gt;=Settings!$C$9),1,0)</f>
        <v>0</v>
      </c>
      <c r="AJ655" s="39" t="str">
        <f>IF(OR($S655="",Settings!$C$16=""),"",IF($S655&lt;=Settings!$C$16,1,2))</f>
        <v/>
      </c>
      <c r="AK655" s="39" t="str">
        <f>IF($C655="","",IFERROR(IF(INDEX(Settings!$C$20:$C$59,MATCH($C655,Settings!$B$20:$B$59,0))="",Settings!$C$10,INDEX(Settings!$C$20:$C$59,MATCH($C655,Settings!$B$20:$B$59,0))),Settings!$C$10))</f>
        <v/>
      </c>
      <c r="AL655" s="108">
        <f t="shared" si="192"/>
        <v>0</v>
      </c>
      <c r="AM655" s="39" t="str">
        <f t="shared" si="193"/>
        <v/>
      </c>
      <c r="AN655" s="39" t="str">
        <f t="shared" si="194"/>
        <v/>
      </c>
      <c r="AO655" s="39" t="str">
        <f t="shared" si="195"/>
        <v/>
      </c>
      <c r="AP655" s="39">
        <f t="shared" si="196"/>
        <v>0</v>
      </c>
      <c r="AQ655" s="39">
        <f t="shared" si="197"/>
        <v>0</v>
      </c>
    </row>
    <row r="656" spans="14:43" x14ac:dyDescent="0.25">
      <c r="N656" s="105">
        <f t="shared" si="180"/>
        <v>0</v>
      </c>
      <c r="O656" s="106" t="str">
        <f>IF($F656="","",IF(ISNUMBER($F656),$F656+Settings!$C$7/24,IFERROR(DATEVALUE(LEFT($F656,10))+TIMEVALUE(MID($F656,12,8))+Settings!$C$7/24,"")))</f>
        <v/>
      </c>
      <c r="P656" s="106" t="str">
        <f>IF($G656="","",IF(ISNUMBER($G656),$G656+Settings!$C$7/24,IFERROR(DATEVALUE(LEFT($G656,10))+TIMEVALUE(MID($G656,12,8))+Settings!$C$7/24,"")))</f>
        <v/>
      </c>
      <c r="Q656" s="39" t="str">
        <f t="shared" si="181"/>
        <v/>
      </c>
      <c r="R656" s="39" t="str">
        <f t="shared" si="182"/>
        <v/>
      </c>
      <c r="S656" s="107" t="str">
        <f t="shared" si="183"/>
        <v/>
      </c>
      <c r="T656" s="39" t="str">
        <f>IF($C656="","",IF(COUNTIF($C$2:$C656,$C656)=1,1,0))</f>
        <v/>
      </c>
      <c r="U656" s="39" t="str">
        <f>IF($T656=1,COUNTIF($T$2:$T656,1),"")</f>
        <v/>
      </c>
      <c r="V656" s="39" t="str">
        <f>IF($B656="","",IF(COUNTIF($B$2:$B656,$B656)=1,1,0))</f>
        <v/>
      </c>
      <c r="W656" s="39" t="str">
        <f>IF($V656=1,COUNTIF($V$2:$V656,1),"")</f>
        <v/>
      </c>
      <c r="X656" s="39" t="str">
        <f>IF($A656="","",IF(COUNTIF($A$2:$A656,$A656)=1,1,0))</f>
        <v/>
      </c>
      <c r="Y656" s="39" t="str">
        <f>IF($X656=1,COUNTIF($X$2:$X656,1),"")</f>
        <v/>
      </c>
      <c r="Z656" s="39">
        <f>IF(AND($E656="timed",$N656&gt;Settings!$C$8),1,0)</f>
        <v>0</v>
      </c>
      <c r="AA656" s="39">
        <f t="shared" si="184"/>
        <v>0</v>
      </c>
      <c r="AB656" s="39">
        <f t="shared" si="185"/>
        <v>0</v>
      </c>
      <c r="AC656" s="39" t="str">
        <f t="shared" si="186"/>
        <v/>
      </c>
      <c r="AD656" s="39" t="str">
        <f t="shared" si="187"/>
        <v/>
      </c>
      <c r="AE656" s="39" t="str">
        <f t="shared" si="188"/>
        <v/>
      </c>
      <c r="AF656" s="106" t="str">
        <f t="shared" si="189"/>
        <v/>
      </c>
      <c r="AG656" s="39">
        <f t="shared" si="190"/>
        <v>0</v>
      </c>
      <c r="AH656" s="39" t="str">
        <f t="shared" si="191"/>
        <v/>
      </c>
      <c r="AI656" s="39">
        <f>IF(AND($E656="timed",$N656&gt;=Settings!$C$9),1,0)</f>
        <v>0</v>
      </c>
      <c r="AJ656" s="39" t="str">
        <f>IF(OR($S656="",Settings!$C$16=""),"",IF($S656&lt;=Settings!$C$16,1,2))</f>
        <v/>
      </c>
      <c r="AK656" s="39" t="str">
        <f>IF($C656="","",IFERROR(IF(INDEX(Settings!$C$20:$C$59,MATCH($C656,Settings!$B$20:$B$59,0))="",Settings!$C$10,INDEX(Settings!$C$20:$C$59,MATCH($C656,Settings!$B$20:$B$59,0))),Settings!$C$10))</f>
        <v/>
      </c>
      <c r="AL656" s="108">
        <f t="shared" si="192"/>
        <v>0</v>
      </c>
      <c r="AM656" s="39" t="str">
        <f t="shared" si="193"/>
        <v/>
      </c>
      <c r="AN656" s="39" t="str">
        <f t="shared" si="194"/>
        <v/>
      </c>
      <c r="AO656" s="39" t="str">
        <f t="shared" si="195"/>
        <v/>
      </c>
      <c r="AP656" s="39">
        <f t="shared" si="196"/>
        <v>0</v>
      </c>
      <c r="AQ656" s="39">
        <f t="shared" si="197"/>
        <v>0</v>
      </c>
    </row>
    <row r="657" spans="14:43" x14ac:dyDescent="0.25">
      <c r="N657" s="105">
        <f t="shared" si="180"/>
        <v>0</v>
      </c>
      <c r="O657" s="106" t="str">
        <f>IF($F657="","",IF(ISNUMBER($F657),$F657+Settings!$C$7/24,IFERROR(DATEVALUE(LEFT($F657,10))+TIMEVALUE(MID($F657,12,8))+Settings!$C$7/24,"")))</f>
        <v/>
      </c>
      <c r="P657" s="106" t="str">
        <f>IF($G657="","",IF(ISNUMBER($G657),$G657+Settings!$C$7/24,IFERROR(DATEVALUE(LEFT($G657,10))+TIMEVALUE(MID($G657,12,8))+Settings!$C$7/24,"")))</f>
        <v/>
      </c>
      <c r="Q657" s="39" t="str">
        <f t="shared" si="181"/>
        <v/>
      </c>
      <c r="R657" s="39" t="str">
        <f t="shared" si="182"/>
        <v/>
      </c>
      <c r="S657" s="107" t="str">
        <f t="shared" si="183"/>
        <v/>
      </c>
      <c r="T657" s="39" t="str">
        <f>IF($C657="","",IF(COUNTIF($C$2:$C657,$C657)=1,1,0))</f>
        <v/>
      </c>
      <c r="U657" s="39" t="str">
        <f>IF($T657=1,COUNTIF($T$2:$T657,1),"")</f>
        <v/>
      </c>
      <c r="V657" s="39" t="str">
        <f>IF($B657="","",IF(COUNTIF($B$2:$B657,$B657)=1,1,0))</f>
        <v/>
      </c>
      <c r="W657" s="39" t="str">
        <f>IF($V657=1,COUNTIF($V$2:$V657,1),"")</f>
        <v/>
      </c>
      <c r="X657" s="39" t="str">
        <f>IF($A657="","",IF(COUNTIF($A$2:$A657,$A657)=1,1,0))</f>
        <v/>
      </c>
      <c r="Y657" s="39" t="str">
        <f>IF($X657=1,COUNTIF($X$2:$X657,1),"")</f>
        <v/>
      </c>
      <c r="Z657" s="39">
        <f>IF(AND($E657="timed",$N657&gt;Settings!$C$8),1,0)</f>
        <v>0</v>
      </c>
      <c r="AA657" s="39">
        <f t="shared" si="184"/>
        <v>0</v>
      </c>
      <c r="AB657" s="39">
        <f t="shared" si="185"/>
        <v>0</v>
      </c>
      <c r="AC657" s="39" t="str">
        <f t="shared" si="186"/>
        <v/>
      </c>
      <c r="AD657" s="39" t="str">
        <f t="shared" si="187"/>
        <v/>
      </c>
      <c r="AE657" s="39" t="str">
        <f t="shared" si="188"/>
        <v/>
      </c>
      <c r="AF657" s="106" t="str">
        <f t="shared" si="189"/>
        <v/>
      </c>
      <c r="AG657" s="39">
        <f t="shared" si="190"/>
        <v>0</v>
      </c>
      <c r="AH657" s="39" t="str">
        <f t="shared" si="191"/>
        <v/>
      </c>
      <c r="AI657" s="39">
        <f>IF(AND($E657="timed",$N657&gt;=Settings!$C$9),1,0)</f>
        <v>0</v>
      </c>
      <c r="AJ657" s="39" t="str">
        <f>IF(OR($S657="",Settings!$C$16=""),"",IF($S657&lt;=Settings!$C$16,1,2))</f>
        <v/>
      </c>
      <c r="AK657" s="39" t="str">
        <f>IF($C657="","",IFERROR(IF(INDEX(Settings!$C$20:$C$59,MATCH($C657,Settings!$B$20:$B$59,0))="",Settings!$C$10,INDEX(Settings!$C$20:$C$59,MATCH($C657,Settings!$B$20:$B$59,0))),Settings!$C$10))</f>
        <v/>
      </c>
      <c r="AL657" s="108">
        <f t="shared" si="192"/>
        <v>0</v>
      </c>
      <c r="AM657" s="39" t="str">
        <f t="shared" si="193"/>
        <v/>
      </c>
      <c r="AN657" s="39" t="str">
        <f t="shared" si="194"/>
        <v/>
      </c>
      <c r="AO657" s="39" t="str">
        <f t="shared" si="195"/>
        <v/>
      </c>
      <c r="AP657" s="39">
        <f t="shared" si="196"/>
        <v>0</v>
      </c>
      <c r="AQ657" s="39">
        <f t="shared" si="197"/>
        <v>0</v>
      </c>
    </row>
    <row r="658" spans="14:43" x14ac:dyDescent="0.25">
      <c r="N658" s="105">
        <f t="shared" si="180"/>
        <v>0</v>
      </c>
      <c r="O658" s="106" t="str">
        <f>IF($F658="","",IF(ISNUMBER($F658),$F658+Settings!$C$7/24,IFERROR(DATEVALUE(LEFT($F658,10))+TIMEVALUE(MID($F658,12,8))+Settings!$C$7/24,"")))</f>
        <v/>
      </c>
      <c r="P658" s="106" t="str">
        <f>IF($G658="","",IF(ISNUMBER($G658),$G658+Settings!$C$7/24,IFERROR(DATEVALUE(LEFT($G658,10))+TIMEVALUE(MID($G658,12,8))+Settings!$C$7/24,"")))</f>
        <v/>
      </c>
      <c r="Q658" s="39" t="str">
        <f t="shared" si="181"/>
        <v/>
      </c>
      <c r="R658" s="39" t="str">
        <f t="shared" si="182"/>
        <v/>
      </c>
      <c r="S658" s="107" t="str">
        <f t="shared" si="183"/>
        <v/>
      </c>
      <c r="T658" s="39" t="str">
        <f>IF($C658="","",IF(COUNTIF($C$2:$C658,$C658)=1,1,0))</f>
        <v/>
      </c>
      <c r="U658" s="39" t="str">
        <f>IF($T658=1,COUNTIF($T$2:$T658,1),"")</f>
        <v/>
      </c>
      <c r="V658" s="39" t="str">
        <f>IF($B658="","",IF(COUNTIF($B$2:$B658,$B658)=1,1,0))</f>
        <v/>
      </c>
      <c r="W658" s="39" t="str">
        <f>IF($V658=1,COUNTIF($V$2:$V658,1),"")</f>
        <v/>
      </c>
      <c r="X658" s="39" t="str">
        <f>IF($A658="","",IF(COUNTIF($A$2:$A658,$A658)=1,1,0))</f>
        <v/>
      </c>
      <c r="Y658" s="39" t="str">
        <f>IF($X658=1,COUNTIF($X$2:$X658,1),"")</f>
        <v/>
      </c>
      <c r="Z658" s="39">
        <f>IF(AND($E658="timed",$N658&gt;Settings!$C$8),1,0)</f>
        <v>0</v>
      </c>
      <c r="AA658" s="39">
        <f t="shared" si="184"/>
        <v>0</v>
      </c>
      <c r="AB658" s="39">
        <f t="shared" si="185"/>
        <v>0</v>
      </c>
      <c r="AC658" s="39" t="str">
        <f t="shared" si="186"/>
        <v/>
      </c>
      <c r="AD658" s="39" t="str">
        <f t="shared" si="187"/>
        <v/>
      </c>
      <c r="AE658" s="39" t="str">
        <f t="shared" si="188"/>
        <v/>
      </c>
      <c r="AF658" s="106" t="str">
        <f t="shared" si="189"/>
        <v/>
      </c>
      <c r="AG658" s="39">
        <f t="shared" si="190"/>
        <v>0</v>
      </c>
      <c r="AH658" s="39" t="str">
        <f t="shared" si="191"/>
        <v/>
      </c>
      <c r="AI658" s="39">
        <f>IF(AND($E658="timed",$N658&gt;=Settings!$C$9),1,0)</f>
        <v>0</v>
      </c>
      <c r="AJ658" s="39" t="str">
        <f>IF(OR($S658="",Settings!$C$16=""),"",IF($S658&lt;=Settings!$C$16,1,2))</f>
        <v/>
      </c>
      <c r="AK658" s="39" t="str">
        <f>IF($C658="","",IFERROR(IF(INDEX(Settings!$C$20:$C$59,MATCH($C658,Settings!$B$20:$B$59,0))="",Settings!$C$10,INDEX(Settings!$C$20:$C$59,MATCH($C658,Settings!$B$20:$B$59,0))),Settings!$C$10))</f>
        <v/>
      </c>
      <c r="AL658" s="108">
        <f t="shared" si="192"/>
        <v>0</v>
      </c>
      <c r="AM658" s="39" t="str">
        <f t="shared" si="193"/>
        <v/>
      </c>
      <c r="AN658" s="39" t="str">
        <f t="shared" si="194"/>
        <v/>
      </c>
      <c r="AO658" s="39" t="str">
        <f t="shared" si="195"/>
        <v/>
      </c>
      <c r="AP658" s="39">
        <f t="shared" si="196"/>
        <v>0</v>
      </c>
      <c r="AQ658" s="39">
        <f t="shared" si="197"/>
        <v>0</v>
      </c>
    </row>
    <row r="659" spans="14:43" x14ac:dyDescent="0.25">
      <c r="N659" s="105">
        <f t="shared" si="180"/>
        <v>0</v>
      </c>
      <c r="O659" s="106" t="str">
        <f>IF($F659="","",IF(ISNUMBER($F659),$F659+Settings!$C$7/24,IFERROR(DATEVALUE(LEFT($F659,10))+TIMEVALUE(MID($F659,12,8))+Settings!$C$7/24,"")))</f>
        <v/>
      </c>
      <c r="P659" s="106" t="str">
        <f>IF($G659="","",IF(ISNUMBER($G659),$G659+Settings!$C$7/24,IFERROR(DATEVALUE(LEFT($G659,10))+TIMEVALUE(MID($G659,12,8))+Settings!$C$7/24,"")))</f>
        <v/>
      </c>
      <c r="Q659" s="39" t="str">
        <f t="shared" si="181"/>
        <v/>
      </c>
      <c r="R659" s="39" t="str">
        <f t="shared" si="182"/>
        <v/>
      </c>
      <c r="S659" s="107" t="str">
        <f t="shared" si="183"/>
        <v/>
      </c>
      <c r="T659" s="39" t="str">
        <f>IF($C659="","",IF(COUNTIF($C$2:$C659,$C659)=1,1,0))</f>
        <v/>
      </c>
      <c r="U659" s="39" t="str">
        <f>IF($T659=1,COUNTIF($T$2:$T659,1),"")</f>
        <v/>
      </c>
      <c r="V659" s="39" t="str">
        <f>IF($B659="","",IF(COUNTIF($B$2:$B659,$B659)=1,1,0))</f>
        <v/>
      </c>
      <c r="W659" s="39" t="str">
        <f>IF($V659=1,COUNTIF($V$2:$V659,1),"")</f>
        <v/>
      </c>
      <c r="X659" s="39" t="str">
        <f>IF($A659="","",IF(COUNTIF($A$2:$A659,$A659)=1,1,0))</f>
        <v/>
      </c>
      <c r="Y659" s="39" t="str">
        <f>IF($X659=1,COUNTIF($X$2:$X659,1),"")</f>
        <v/>
      </c>
      <c r="Z659" s="39">
        <f>IF(AND($E659="timed",$N659&gt;Settings!$C$8),1,0)</f>
        <v>0</v>
      </c>
      <c r="AA659" s="39">
        <f t="shared" si="184"/>
        <v>0</v>
      </c>
      <c r="AB659" s="39">
        <f t="shared" si="185"/>
        <v>0</v>
      </c>
      <c r="AC659" s="39" t="str">
        <f t="shared" si="186"/>
        <v/>
      </c>
      <c r="AD659" s="39" t="str">
        <f t="shared" si="187"/>
        <v/>
      </c>
      <c r="AE659" s="39" t="str">
        <f t="shared" si="188"/>
        <v/>
      </c>
      <c r="AF659" s="106" t="str">
        <f t="shared" si="189"/>
        <v/>
      </c>
      <c r="AG659" s="39">
        <f t="shared" si="190"/>
        <v>0</v>
      </c>
      <c r="AH659" s="39" t="str">
        <f t="shared" si="191"/>
        <v/>
      </c>
      <c r="AI659" s="39">
        <f>IF(AND($E659="timed",$N659&gt;=Settings!$C$9),1,0)</f>
        <v>0</v>
      </c>
      <c r="AJ659" s="39" t="str">
        <f>IF(OR($S659="",Settings!$C$16=""),"",IF($S659&lt;=Settings!$C$16,1,2))</f>
        <v/>
      </c>
      <c r="AK659" s="39" t="str">
        <f>IF($C659="","",IFERROR(IF(INDEX(Settings!$C$20:$C$59,MATCH($C659,Settings!$B$20:$B$59,0))="",Settings!$C$10,INDEX(Settings!$C$20:$C$59,MATCH($C659,Settings!$B$20:$B$59,0))),Settings!$C$10))</f>
        <v/>
      </c>
      <c r="AL659" s="108">
        <f t="shared" si="192"/>
        <v>0</v>
      </c>
      <c r="AM659" s="39" t="str">
        <f t="shared" si="193"/>
        <v/>
      </c>
      <c r="AN659" s="39" t="str">
        <f t="shared" si="194"/>
        <v/>
      </c>
      <c r="AO659" s="39" t="str">
        <f t="shared" si="195"/>
        <v/>
      </c>
      <c r="AP659" s="39">
        <f t="shared" si="196"/>
        <v>0</v>
      </c>
      <c r="AQ659" s="39">
        <f t="shared" si="197"/>
        <v>0</v>
      </c>
    </row>
    <row r="660" spans="14:43" x14ac:dyDescent="0.25">
      <c r="N660" s="105">
        <f t="shared" si="180"/>
        <v>0</v>
      </c>
      <c r="O660" s="106" t="str">
        <f>IF($F660="","",IF(ISNUMBER($F660),$F660+Settings!$C$7/24,IFERROR(DATEVALUE(LEFT($F660,10))+TIMEVALUE(MID($F660,12,8))+Settings!$C$7/24,"")))</f>
        <v/>
      </c>
      <c r="P660" s="106" t="str">
        <f>IF($G660="","",IF(ISNUMBER($G660),$G660+Settings!$C$7/24,IFERROR(DATEVALUE(LEFT($G660,10))+TIMEVALUE(MID($G660,12,8))+Settings!$C$7/24,"")))</f>
        <v/>
      </c>
      <c r="Q660" s="39" t="str">
        <f t="shared" si="181"/>
        <v/>
      </c>
      <c r="R660" s="39" t="str">
        <f t="shared" si="182"/>
        <v/>
      </c>
      <c r="S660" s="107" t="str">
        <f t="shared" si="183"/>
        <v/>
      </c>
      <c r="T660" s="39" t="str">
        <f>IF($C660="","",IF(COUNTIF($C$2:$C660,$C660)=1,1,0))</f>
        <v/>
      </c>
      <c r="U660" s="39" t="str">
        <f>IF($T660=1,COUNTIF($T$2:$T660,1),"")</f>
        <v/>
      </c>
      <c r="V660" s="39" t="str">
        <f>IF($B660="","",IF(COUNTIF($B$2:$B660,$B660)=1,1,0))</f>
        <v/>
      </c>
      <c r="W660" s="39" t="str">
        <f>IF($V660=1,COUNTIF($V$2:$V660,1),"")</f>
        <v/>
      </c>
      <c r="X660" s="39" t="str">
        <f>IF($A660="","",IF(COUNTIF($A$2:$A660,$A660)=1,1,0))</f>
        <v/>
      </c>
      <c r="Y660" s="39" t="str">
        <f>IF($X660=1,COUNTIF($X$2:$X660,1),"")</f>
        <v/>
      </c>
      <c r="Z660" s="39">
        <f>IF(AND($E660="timed",$N660&gt;Settings!$C$8),1,0)</f>
        <v>0</v>
      </c>
      <c r="AA660" s="39">
        <f t="shared" si="184"/>
        <v>0</v>
      </c>
      <c r="AB660" s="39">
        <f t="shared" si="185"/>
        <v>0</v>
      </c>
      <c r="AC660" s="39" t="str">
        <f t="shared" si="186"/>
        <v/>
      </c>
      <c r="AD660" s="39" t="str">
        <f t="shared" si="187"/>
        <v/>
      </c>
      <c r="AE660" s="39" t="str">
        <f t="shared" si="188"/>
        <v/>
      </c>
      <c r="AF660" s="106" t="str">
        <f t="shared" si="189"/>
        <v/>
      </c>
      <c r="AG660" s="39">
        <f t="shared" si="190"/>
        <v>0</v>
      </c>
      <c r="AH660" s="39" t="str">
        <f t="shared" si="191"/>
        <v/>
      </c>
      <c r="AI660" s="39">
        <f>IF(AND($E660="timed",$N660&gt;=Settings!$C$9),1,0)</f>
        <v>0</v>
      </c>
      <c r="AJ660" s="39" t="str">
        <f>IF(OR($S660="",Settings!$C$16=""),"",IF($S660&lt;=Settings!$C$16,1,2))</f>
        <v/>
      </c>
      <c r="AK660" s="39" t="str">
        <f>IF($C660="","",IFERROR(IF(INDEX(Settings!$C$20:$C$59,MATCH($C660,Settings!$B$20:$B$59,0))="",Settings!$C$10,INDEX(Settings!$C$20:$C$59,MATCH($C660,Settings!$B$20:$B$59,0))),Settings!$C$10))</f>
        <v/>
      </c>
      <c r="AL660" s="108">
        <f t="shared" si="192"/>
        <v>0</v>
      </c>
      <c r="AM660" s="39" t="str">
        <f t="shared" si="193"/>
        <v/>
      </c>
      <c r="AN660" s="39" t="str">
        <f t="shared" si="194"/>
        <v/>
      </c>
      <c r="AO660" s="39" t="str">
        <f t="shared" si="195"/>
        <v/>
      </c>
      <c r="AP660" s="39">
        <f t="shared" si="196"/>
        <v>0</v>
      </c>
      <c r="AQ660" s="39">
        <f t="shared" si="197"/>
        <v>0</v>
      </c>
    </row>
    <row r="661" spans="14:43" x14ac:dyDescent="0.25">
      <c r="N661" s="105">
        <f t="shared" si="180"/>
        <v>0</v>
      </c>
      <c r="O661" s="106" t="str">
        <f>IF($F661="","",IF(ISNUMBER($F661),$F661+Settings!$C$7/24,IFERROR(DATEVALUE(LEFT($F661,10))+TIMEVALUE(MID($F661,12,8))+Settings!$C$7/24,"")))</f>
        <v/>
      </c>
      <c r="P661" s="106" t="str">
        <f>IF($G661="","",IF(ISNUMBER($G661),$G661+Settings!$C$7/24,IFERROR(DATEVALUE(LEFT($G661,10))+TIMEVALUE(MID($G661,12,8))+Settings!$C$7/24,"")))</f>
        <v/>
      </c>
      <c r="Q661" s="39" t="str">
        <f t="shared" si="181"/>
        <v/>
      </c>
      <c r="R661" s="39" t="str">
        <f t="shared" si="182"/>
        <v/>
      </c>
      <c r="S661" s="107" t="str">
        <f t="shared" si="183"/>
        <v/>
      </c>
      <c r="T661" s="39" t="str">
        <f>IF($C661="","",IF(COUNTIF($C$2:$C661,$C661)=1,1,0))</f>
        <v/>
      </c>
      <c r="U661" s="39" t="str">
        <f>IF($T661=1,COUNTIF($T$2:$T661,1),"")</f>
        <v/>
      </c>
      <c r="V661" s="39" t="str">
        <f>IF($B661="","",IF(COUNTIF($B$2:$B661,$B661)=1,1,0))</f>
        <v/>
      </c>
      <c r="W661" s="39" t="str">
        <f>IF($V661=1,COUNTIF($V$2:$V661,1),"")</f>
        <v/>
      </c>
      <c r="X661" s="39" t="str">
        <f>IF($A661="","",IF(COUNTIF($A$2:$A661,$A661)=1,1,0))</f>
        <v/>
      </c>
      <c r="Y661" s="39" t="str">
        <f>IF($X661=1,COUNTIF($X$2:$X661,1),"")</f>
        <v/>
      </c>
      <c r="Z661" s="39">
        <f>IF(AND($E661="timed",$N661&gt;Settings!$C$8),1,0)</f>
        <v>0</v>
      </c>
      <c r="AA661" s="39">
        <f t="shared" si="184"/>
        <v>0</v>
      </c>
      <c r="AB661" s="39">
        <f t="shared" si="185"/>
        <v>0</v>
      </c>
      <c r="AC661" s="39" t="str">
        <f t="shared" si="186"/>
        <v/>
      </c>
      <c r="AD661" s="39" t="str">
        <f t="shared" si="187"/>
        <v/>
      </c>
      <c r="AE661" s="39" t="str">
        <f t="shared" si="188"/>
        <v/>
      </c>
      <c r="AF661" s="106" t="str">
        <f t="shared" si="189"/>
        <v/>
      </c>
      <c r="AG661" s="39">
        <f t="shared" si="190"/>
        <v>0</v>
      </c>
      <c r="AH661" s="39" t="str">
        <f t="shared" si="191"/>
        <v/>
      </c>
      <c r="AI661" s="39">
        <f>IF(AND($E661="timed",$N661&gt;=Settings!$C$9),1,0)</f>
        <v>0</v>
      </c>
      <c r="AJ661" s="39" t="str">
        <f>IF(OR($S661="",Settings!$C$16=""),"",IF($S661&lt;=Settings!$C$16,1,2))</f>
        <v/>
      </c>
      <c r="AK661" s="39" t="str">
        <f>IF($C661="","",IFERROR(IF(INDEX(Settings!$C$20:$C$59,MATCH($C661,Settings!$B$20:$B$59,0))="",Settings!$C$10,INDEX(Settings!$C$20:$C$59,MATCH($C661,Settings!$B$20:$B$59,0))),Settings!$C$10))</f>
        <v/>
      </c>
      <c r="AL661" s="108">
        <f t="shared" si="192"/>
        <v>0</v>
      </c>
      <c r="AM661" s="39" t="str">
        <f t="shared" si="193"/>
        <v/>
      </c>
      <c r="AN661" s="39" t="str">
        <f t="shared" si="194"/>
        <v/>
      </c>
      <c r="AO661" s="39" t="str">
        <f t="shared" si="195"/>
        <v/>
      </c>
      <c r="AP661" s="39">
        <f t="shared" si="196"/>
        <v>0</v>
      </c>
      <c r="AQ661" s="39">
        <f t="shared" si="197"/>
        <v>0</v>
      </c>
    </row>
    <row r="662" spans="14:43" x14ac:dyDescent="0.25">
      <c r="N662" s="105">
        <f t="shared" si="180"/>
        <v>0</v>
      </c>
      <c r="O662" s="106" t="str">
        <f>IF($F662="","",IF(ISNUMBER($F662),$F662+Settings!$C$7/24,IFERROR(DATEVALUE(LEFT($F662,10))+TIMEVALUE(MID($F662,12,8))+Settings!$C$7/24,"")))</f>
        <v/>
      </c>
      <c r="P662" s="106" t="str">
        <f>IF($G662="","",IF(ISNUMBER($G662),$G662+Settings!$C$7/24,IFERROR(DATEVALUE(LEFT($G662,10))+TIMEVALUE(MID($G662,12,8))+Settings!$C$7/24,"")))</f>
        <v/>
      </c>
      <c r="Q662" s="39" t="str">
        <f t="shared" si="181"/>
        <v/>
      </c>
      <c r="R662" s="39" t="str">
        <f t="shared" si="182"/>
        <v/>
      </c>
      <c r="S662" s="107" t="str">
        <f t="shared" si="183"/>
        <v/>
      </c>
      <c r="T662" s="39" t="str">
        <f>IF($C662="","",IF(COUNTIF($C$2:$C662,$C662)=1,1,0))</f>
        <v/>
      </c>
      <c r="U662" s="39" t="str">
        <f>IF($T662=1,COUNTIF($T$2:$T662,1),"")</f>
        <v/>
      </c>
      <c r="V662" s="39" t="str">
        <f>IF($B662="","",IF(COUNTIF($B$2:$B662,$B662)=1,1,0))</f>
        <v/>
      </c>
      <c r="W662" s="39" t="str">
        <f>IF($V662=1,COUNTIF($V$2:$V662,1),"")</f>
        <v/>
      </c>
      <c r="X662" s="39" t="str">
        <f>IF($A662="","",IF(COUNTIF($A$2:$A662,$A662)=1,1,0))</f>
        <v/>
      </c>
      <c r="Y662" s="39" t="str">
        <f>IF($X662=1,COUNTIF($X$2:$X662,1),"")</f>
        <v/>
      </c>
      <c r="Z662" s="39">
        <f>IF(AND($E662="timed",$N662&gt;Settings!$C$8),1,0)</f>
        <v>0</v>
      </c>
      <c r="AA662" s="39">
        <f t="shared" si="184"/>
        <v>0</v>
      </c>
      <c r="AB662" s="39">
        <f t="shared" si="185"/>
        <v>0</v>
      </c>
      <c r="AC662" s="39" t="str">
        <f t="shared" si="186"/>
        <v/>
      </c>
      <c r="AD662" s="39" t="str">
        <f t="shared" si="187"/>
        <v/>
      </c>
      <c r="AE662" s="39" t="str">
        <f t="shared" si="188"/>
        <v/>
      </c>
      <c r="AF662" s="106" t="str">
        <f t="shared" si="189"/>
        <v/>
      </c>
      <c r="AG662" s="39">
        <f t="shared" si="190"/>
        <v>0</v>
      </c>
      <c r="AH662" s="39" t="str">
        <f t="shared" si="191"/>
        <v/>
      </c>
      <c r="AI662" s="39">
        <f>IF(AND($E662="timed",$N662&gt;=Settings!$C$9),1,0)</f>
        <v>0</v>
      </c>
      <c r="AJ662" s="39" t="str">
        <f>IF(OR($S662="",Settings!$C$16=""),"",IF($S662&lt;=Settings!$C$16,1,2))</f>
        <v/>
      </c>
      <c r="AK662" s="39" t="str">
        <f>IF($C662="","",IFERROR(IF(INDEX(Settings!$C$20:$C$59,MATCH($C662,Settings!$B$20:$B$59,0))="",Settings!$C$10,INDEX(Settings!$C$20:$C$59,MATCH($C662,Settings!$B$20:$B$59,0))),Settings!$C$10))</f>
        <v/>
      </c>
      <c r="AL662" s="108">
        <f t="shared" si="192"/>
        <v>0</v>
      </c>
      <c r="AM662" s="39" t="str">
        <f t="shared" si="193"/>
        <v/>
      </c>
      <c r="AN662" s="39" t="str">
        <f t="shared" si="194"/>
        <v/>
      </c>
      <c r="AO662" s="39" t="str">
        <f t="shared" si="195"/>
        <v/>
      </c>
      <c r="AP662" s="39">
        <f t="shared" si="196"/>
        <v>0</v>
      </c>
      <c r="AQ662" s="39">
        <f t="shared" si="197"/>
        <v>0</v>
      </c>
    </row>
    <row r="663" spans="14:43" x14ac:dyDescent="0.25">
      <c r="N663" s="105">
        <f t="shared" si="180"/>
        <v>0</v>
      </c>
      <c r="O663" s="106" t="str">
        <f>IF($F663="","",IF(ISNUMBER($F663),$F663+Settings!$C$7/24,IFERROR(DATEVALUE(LEFT($F663,10))+TIMEVALUE(MID($F663,12,8))+Settings!$C$7/24,"")))</f>
        <v/>
      </c>
      <c r="P663" s="106" t="str">
        <f>IF($G663="","",IF(ISNUMBER($G663),$G663+Settings!$C$7/24,IFERROR(DATEVALUE(LEFT($G663,10))+TIMEVALUE(MID($G663,12,8))+Settings!$C$7/24,"")))</f>
        <v/>
      </c>
      <c r="Q663" s="39" t="str">
        <f t="shared" si="181"/>
        <v/>
      </c>
      <c r="R663" s="39" t="str">
        <f t="shared" si="182"/>
        <v/>
      </c>
      <c r="S663" s="107" t="str">
        <f t="shared" si="183"/>
        <v/>
      </c>
      <c r="T663" s="39" t="str">
        <f>IF($C663="","",IF(COUNTIF($C$2:$C663,$C663)=1,1,0))</f>
        <v/>
      </c>
      <c r="U663" s="39" t="str">
        <f>IF($T663=1,COUNTIF($T$2:$T663,1),"")</f>
        <v/>
      </c>
      <c r="V663" s="39" t="str">
        <f>IF($B663="","",IF(COUNTIF($B$2:$B663,$B663)=1,1,0))</f>
        <v/>
      </c>
      <c r="W663" s="39" t="str">
        <f>IF($V663=1,COUNTIF($V$2:$V663,1),"")</f>
        <v/>
      </c>
      <c r="X663" s="39" t="str">
        <f>IF($A663="","",IF(COUNTIF($A$2:$A663,$A663)=1,1,0))</f>
        <v/>
      </c>
      <c r="Y663" s="39" t="str">
        <f>IF($X663=1,COUNTIF($X$2:$X663,1),"")</f>
        <v/>
      </c>
      <c r="Z663" s="39">
        <f>IF(AND($E663="timed",$N663&gt;Settings!$C$8),1,0)</f>
        <v>0</v>
      </c>
      <c r="AA663" s="39">
        <f t="shared" si="184"/>
        <v>0</v>
      </c>
      <c r="AB663" s="39">
        <f t="shared" si="185"/>
        <v>0</v>
      </c>
      <c r="AC663" s="39" t="str">
        <f t="shared" si="186"/>
        <v/>
      </c>
      <c r="AD663" s="39" t="str">
        <f t="shared" si="187"/>
        <v/>
      </c>
      <c r="AE663" s="39" t="str">
        <f t="shared" si="188"/>
        <v/>
      </c>
      <c r="AF663" s="106" t="str">
        <f t="shared" si="189"/>
        <v/>
      </c>
      <c r="AG663" s="39">
        <f t="shared" si="190"/>
        <v>0</v>
      </c>
      <c r="AH663" s="39" t="str">
        <f t="shared" si="191"/>
        <v/>
      </c>
      <c r="AI663" s="39">
        <f>IF(AND($E663="timed",$N663&gt;=Settings!$C$9),1,0)</f>
        <v>0</v>
      </c>
      <c r="AJ663" s="39" t="str">
        <f>IF(OR($S663="",Settings!$C$16=""),"",IF($S663&lt;=Settings!$C$16,1,2))</f>
        <v/>
      </c>
      <c r="AK663" s="39" t="str">
        <f>IF($C663="","",IFERROR(IF(INDEX(Settings!$C$20:$C$59,MATCH($C663,Settings!$B$20:$B$59,0))="",Settings!$C$10,INDEX(Settings!$C$20:$C$59,MATCH($C663,Settings!$B$20:$B$59,0))),Settings!$C$10))</f>
        <v/>
      </c>
      <c r="AL663" s="108">
        <f t="shared" si="192"/>
        <v>0</v>
      </c>
      <c r="AM663" s="39" t="str">
        <f t="shared" si="193"/>
        <v/>
      </c>
      <c r="AN663" s="39" t="str">
        <f t="shared" si="194"/>
        <v/>
      </c>
      <c r="AO663" s="39" t="str">
        <f t="shared" si="195"/>
        <v/>
      </c>
      <c r="AP663" s="39">
        <f t="shared" si="196"/>
        <v>0</v>
      </c>
      <c r="AQ663" s="39">
        <f t="shared" si="197"/>
        <v>0</v>
      </c>
    </row>
    <row r="664" spans="14:43" x14ac:dyDescent="0.25">
      <c r="N664" s="105">
        <f t="shared" si="180"/>
        <v>0</v>
      </c>
      <c r="O664" s="106" t="str">
        <f>IF($F664="","",IF(ISNUMBER($F664),$F664+Settings!$C$7/24,IFERROR(DATEVALUE(LEFT($F664,10))+TIMEVALUE(MID($F664,12,8))+Settings!$C$7/24,"")))</f>
        <v/>
      </c>
      <c r="P664" s="106" t="str">
        <f>IF($G664="","",IF(ISNUMBER($G664),$G664+Settings!$C$7/24,IFERROR(DATEVALUE(LEFT($G664,10))+TIMEVALUE(MID($G664,12,8))+Settings!$C$7/24,"")))</f>
        <v/>
      </c>
      <c r="Q664" s="39" t="str">
        <f t="shared" si="181"/>
        <v/>
      </c>
      <c r="R664" s="39" t="str">
        <f t="shared" si="182"/>
        <v/>
      </c>
      <c r="S664" s="107" t="str">
        <f t="shared" si="183"/>
        <v/>
      </c>
      <c r="T664" s="39" t="str">
        <f>IF($C664="","",IF(COUNTIF($C$2:$C664,$C664)=1,1,0))</f>
        <v/>
      </c>
      <c r="U664" s="39" t="str">
        <f>IF($T664=1,COUNTIF($T$2:$T664,1),"")</f>
        <v/>
      </c>
      <c r="V664" s="39" t="str">
        <f>IF($B664="","",IF(COUNTIF($B$2:$B664,$B664)=1,1,0))</f>
        <v/>
      </c>
      <c r="W664" s="39" t="str">
        <f>IF($V664=1,COUNTIF($V$2:$V664,1),"")</f>
        <v/>
      </c>
      <c r="X664" s="39" t="str">
        <f>IF($A664="","",IF(COUNTIF($A$2:$A664,$A664)=1,1,0))</f>
        <v/>
      </c>
      <c r="Y664" s="39" t="str">
        <f>IF($X664=1,COUNTIF($X$2:$X664,1),"")</f>
        <v/>
      </c>
      <c r="Z664" s="39">
        <f>IF(AND($E664="timed",$N664&gt;Settings!$C$8),1,0)</f>
        <v>0</v>
      </c>
      <c r="AA664" s="39">
        <f t="shared" si="184"/>
        <v>0</v>
      </c>
      <c r="AB664" s="39">
        <f t="shared" si="185"/>
        <v>0</v>
      </c>
      <c r="AC664" s="39" t="str">
        <f t="shared" si="186"/>
        <v/>
      </c>
      <c r="AD664" s="39" t="str">
        <f t="shared" si="187"/>
        <v/>
      </c>
      <c r="AE664" s="39" t="str">
        <f t="shared" si="188"/>
        <v/>
      </c>
      <c r="AF664" s="106" t="str">
        <f t="shared" si="189"/>
        <v/>
      </c>
      <c r="AG664" s="39">
        <f t="shared" si="190"/>
        <v>0</v>
      </c>
      <c r="AH664" s="39" t="str">
        <f t="shared" si="191"/>
        <v/>
      </c>
      <c r="AI664" s="39">
        <f>IF(AND($E664="timed",$N664&gt;=Settings!$C$9),1,0)</f>
        <v>0</v>
      </c>
      <c r="AJ664" s="39" t="str">
        <f>IF(OR($S664="",Settings!$C$16=""),"",IF($S664&lt;=Settings!$C$16,1,2))</f>
        <v/>
      </c>
      <c r="AK664" s="39" t="str">
        <f>IF($C664="","",IFERROR(IF(INDEX(Settings!$C$20:$C$59,MATCH($C664,Settings!$B$20:$B$59,0))="",Settings!$C$10,INDEX(Settings!$C$20:$C$59,MATCH($C664,Settings!$B$20:$B$59,0))),Settings!$C$10))</f>
        <v/>
      </c>
      <c r="AL664" s="108">
        <f t="shared" si="192"/>
        <v>0</v>
      </c>
      <c r="AM664" s="39" t="str">
        <f t="shared" si="193"/>
        <v/>
      </c>
      <c r="AN664" s="39" t="str">
        <f t="shared" si="194"/>
        <v/>
      </c>
      <c r="AO664" s="39" t="str">
        <f t="shared" si="195"/>
        <v/>
      </c>
      <c r="AP664" s="39">
        <f t="shared" si="196"/>
        <v>0</v>
      </c>
      <c r="AQ664" s="39">
        <f t="shared" si="197"/>
        <v>0</v>
      </c>
    </row>
    <row r="665" spans="14:43" x14ac:dyDescent="0.25">
      <c r="N665" s="105">
        <f t="shared" si="180"/>
        <v>0</v>
      </c>
      <c r="O665" s="106" t="str">
        <f>IF($F665="","",IF(ISNUMBER($F665),$F665+Settings!$C$7/24,IFERROR(DATEVALUE(LEFT($F665,10))+TIMEVALUE(MID($F665,12,8))+Settings!$C$7/24,"")))</f>
        <v/>
      </c>
      <c r="P665" s="106" t="str">
        <f>IF($G665="","",IF(ISNUMBER($G665),$G665+Settings!$C$7/24,IFERROR(DATEVALUE(LEFT($G665,10))+TIMEVALUE(MID($G665,12,8))+Settings!$C$7/24,"")))</f>
        <v/>
      </c>
      <c r="Q665" s="39" t="str">
        <f t="shared" si="181"/>
        <v/>
      </c>
      <c r="R665" s="39" t="str">
        <f t="shared" si="182"/>
        <v/>
      </c>
      <c r="S665" s="107" t="str">
        <f t="shared" si="183"/>
        <v/>
      </c>
      <c r="T665" s="39" t="str">
        <f>IF($C665="","",IF(COUNTIF($C$2:$C665,$C665)=1,1,0))</f>
        <v/>
      </c>
      <c r="U665" s="39" t="str">
        <f>IF($T665=1,COUNTIF($T$2:$T665,1),"")</f>
        <v/>
      </c>
      <c r="V665" s="39" t="str">
        <f>IF($B665="","",IF(COUNTIF($B$2:$B665,$B665)=1,1,0))</f>
        <v/>
      </c>
      <c r="W665" s="39" t="str">
        <f>IF($V665=1,COUNTIF($V$2:$V665,1),"")</f>
        <v/>
      </c>
      <c r="X665" s="39" t="str">
        <f>IF($A665="","",IF(COUNTIF($A$2:$A665,$A665)=1,1,0))</f>
        <v/>
      </c>
      <c r="Y665" s="39" t="str">
        <f>IF($X665=1,COUNTIF($X$2:$X665,1),"")</f>
        <v/>
      </c>
      <c r="Z665" s="39">
        <f>IF(AND($E665="timed",$N665&gt;Settings!$C$8),1,0)</f>
        <v>0</v>
      </c>
      <c r="AA665" s="39">
        <f t="shared" si="184"/>
        <v>0</v>
      </c>
      <c r="AB665" s="39">
        <f t="shared" si="185"/>
        <v>0</v>
      </c>
      <c r="AC665" s="39" t="str">
        <f t="shared" si="186"/>
        <v/>
      </c>
      <c r="AD665" s="39" t="str">
        <f t="shared" si="187"/>
        <v/>
      </c>
      <c r="AE665" s="39" t="str">
        <f t="shared" si="188"/>
        <v/>
      </c>
      <c r="AF665" s="106" t="str">
        <f t="shared" si="189"/>
        <v/>
      </c>
      <c r="AG665" s="39">
        <f t="shared" si="190"/>
        <v>0</v>
      </c>
      <c r="AH665" s="39" t="str">
        <f t="shared" si="191"/>
        <v/>
      </c>
      <c r="AI665" s="39">
        <f>IF(AND($E665="timed",$N665&gt;=Settings!$C$9),1,0)</f>
        <v>0</v>
      </c>
      <c r="AJ665" s="39" t="str">
        <f>IF(OR($S665="",Settings!$C$16=""),"",IF($S665&lt;=Settings!$C$16,1,2))</f>
        <v/>
      </c>
      <c r="AK665" s="39" t="str">
        <f>IF($C665="","",IFERROR(IF(INDEX(Settings!$C$20:$C$59,MATCH($C665,Settings!$B$20:$B$59,0))="",Settings!$C$10,INDEX(Settings!$C$20:$C$59,MATCH($C665,Settings!$B$20:$B$59,0))),Settings!$C$10))</f>
        <v/>
      </c>
      <c r="AL665" s="108">
        <f t="shared" si="192"/>
        <v>0</v>
      </c>
      <c r="AM665" s="39" t="str">
        <f t="shared" si="193"/>
        <v/>
      </c>
      <c r="AN665" s="39" t="str">
        <f t="shared" si="194"/>
        <v/>
      </c>
      <c r="AO665" s="39" t="str">
        <f t="shared" si="195"/>
        <v/>
      </c>
      <c r="AP665" s="39">
        <f t="shared" si="196"/>
        <v>0</v>
      </c>
      <c r="AQ665" s="39">
        <f t="shared" si="197"/>
        <v>0</v>
      </c>
    </row>
    <row r="666" spans="14:43" x14ac:dyDescent="0.25">
      <c r="N666" s="105">
        <f t="shared" si="180"/>
        <v>0</v>
      </c>
      <c r="O666" s="106" t="str">
        <f>IF($F666="","",IF(ISNUMBER($F666),$F666+Settings!$C$7/24,IFERROR(DATEVALUE(LEFT($F666,10))+TIMEVALUE(MID($F666,12,8))+Settings!$C$7/24,"")))</f>
        <v/>
      </c>
      <c r="P666" s="106" t="str">
        <f>IF($G666="","",IF(ISNUMBER($G666),$G666+Settings!$C$7/24,IFERROR(DATEVALUE(LEFT($G666,10))+TIMEVALUE(MID($G666,12,8))+Settings!$C$7/24,"")))</f>
        <v/>
      </c>
      <c r="Q666" s="39" t="str">
        <f t="shared" si="181"/>
        <v/>
      </c>
      <c r="R666" s="39" t="str">
        <f t="shared" si="182"/>
        <v/>
      </c>
      <c r="S666" s="107" t="str">
        <f t="shared" si="183"/>
        <v/>
      </c>
      <c r="T666" s="39" t="str">
        <f>IF($C666="","",IF(COUNTIF($C$2:$C666,$C666)=1,1,0))</f>
        <v/>
      </c>
      <c r="U666" s="39" t="str">
        <f>IF($T666=1,COUNTIF($T$2:$T666,1),"")</f>
        <v/>
      </c>
      <c r="V666" s="39" t="str">
        <f>IF($B666="","",IF(COUNTIF($B$2:$B666,$B666)=1,1,0))</f>
        <v/>
      </c>
      <c r="W666" s="39" t="str">
        <f>IF($V666=1,COUNTIF($V$2:$V666,1),"")</f>
        <v/>
      </c>
      <c r="X666" s="39" t="str">
        <f>IF($A666="","",IF(COUNTIF($A$2:$A666,$A666)=1,1,0))</f>
        <v/>
      </c>
      <c r="Y666" s="39" t="str">
        <f>IF($X666=1,COUNTIF($X$2:$X666,1),"")</f>
        <v/>
      </c>
      <c r="Z666" s="39">
        <f>IF(AND($E666="timed",$N666&gt;Settings!$C$8),1,0)</f>
        <v>0</v>
      </c>
      <c r="AA666" s="39">
        <f t="shared" si="184"/>
        <v>0</v>
      </c>
      <c r="AB666" s="39">
        <f t="shared" si="185"/>
        <v>0</v>
      </c>
      <c r="AC666" s="39" t="str">
        <f t="shared" si="186"/>
        <v/>
      </c>
      <c r="AD666" s="39" t="str">
        <f t="shared" si="187"/>
        <v/>
      </c>
      <c r="AE666" s="39" t="str">
        <f t="shared" si="188"/>
        <v/>
      </c>
      <c r="AF666" s="106" t="str">
        <f t="shared" si="189"/>
        <v/>
      </c>
      <c r="AG666" s="39">
        <f t="shared" si="190"/>
        <v>0</v>
      </c>
      <c r="AH666" s="39" t="str">
        <f t="shared" si="191"/>
        <v/>
      </c>
      <c r="AI666" s="39">
        <f>IF(AND($E666="timed",$N666&gt;=Settings!$C$9),1,0)</f>
        <v>0</v>
      </c>
      <c r="AJ666" s="39" t="str">
        <f>IF(OR($S666="",Settings!$C$16=""),"",IF($S666&lt;=Settings!$C$16,1,2))</f>
        <v/>
      </c>
      <c r="AK666" s="39" t="str">
        <f>IF($C666="","",IFERROR(IF(INDEX(Settings!$C$20:$C$59,MATCH($C666,Settings!$B$20:$B$59,0))="",Settings!$C$10,INDEX(Settings!$C$20:$C$59,MATCH($C666,Settings!$B$20:$B$59,0))),Settings!$C$10))</f>
        <v/>
      </c>
      <c r="AL666" s="108">
        <f t="shared" si="192"/>
        <v>0</v>
      </c>
      <c r="AM666" s="39" t="str">
        <f t="shared" si="193"/>
        <v/>
      </c>
      <c r="AN666" s="39" t="str">
        <f t="shared" si="194"/>
        <v/>
      </c>
      <c r="AO666" s="39" t="str">
        <f t="shared" si="195"/>
        <v/>
      </c>
      <c r="AP666" s="39">
        <f t="shared" si="196"/>
        <v>0</v>
      </c>
      <c r="AQ666" s="39">
        <f t="shared" si="197"/>
        <v>0</v>
      </c>
    </row>
    <row r="667" spans="14:43" x14ac:dyDescent="0.25">
      <c r="N667" s="105">
        <f t="shared" si="180"/>
        <v>0</v>
      </c>
      <c r="O667" s="106" t="str">
        <f>IF($F667="","",IF(ISNUMBER($F667),$F667+Settings!$C$7/24,IFERROR(DATEVALUE(LEFT($F667,10))+TIMEVALUE(MID($F667,12,8))+Settings!$C$7/24,"")))</f>
        <v/>
      </c>
      <c r="P667" s="106" t="str">
        <f>IF($G667="","",IF(ISNUMBER($G667),$G667+Settings!$C$7/24,IFERROR(DATEVALUE(LEFT($G667,10))+TIMEVALUE(MID($G667,12,8))+Settings!$C$7/24,"")))</f>
        <v/>
      </c>
      <c r="Q667" s="39" t="str">
        <f t="shared" si="181"/>
        <v/>
      </c>
      <c r="R667" s="39" t="str">
        <f t="shared" si="182"/>
        <v/>
      </c>
      <c r="S667" s="107" t="str">
        <f t="shared" si="183"/>
        <v/>
      </c>
      <c r="T667" s="39" t="str">
        <f>IF($C667="","",IF(COUNTIF($C$2:$C667,$C667)=1,1,0))</f>
        <v/>
      </c>
      <c r="U667" s="39" t="str">
        <f>IF($T667=1,COUNTIF($T$2:$T667,1),"")</f>
        <v/>
      </c>
      <c r="V667" s="39" t="str">
        <f>IF($B667="","",IF(COUNTIF($B$2:$B667,$B667)=1,1,0))</f>
        <v/>
      </c>
      <c r="W667" s="39" t="str">
        <f>IF($V667=1,COUNTIF($V$2:$V667,1),"")</f>
        <v/>
      </c>
      <c r="X667" s="39" t="str">
        <f>IF($A667="","",IF(COUNTIF($A$2:$A667,$A667)=1,1,0))</f>
        <v/>
      </c>
      <c r="Y667" s="39" t="str">
        <f>IF($X667=1,COUNTIF($X$2:$X667,1),"")</f>
        <v/>
      </c>
      <c r="Z667" s="39">
        <f>IF(AND($E667="timed",$N667&gt;Settings!$C$8),1,0)</f>
        <v>0</v>
      </c>
      <c r="AA667" s="39">
        <f t="shared" si="184"/>
        <v>0</v>
      </c>
      <c r="AB667" s="39">
        <f t="shared" si="185"/>
        <v>0</v>
      </c>
      <c r="AC667" s="39" t="str">
        <f t="shared" si="186"/>
        <v/>
      </c>
      <c r="AD667" s="39" t="str">
        <f t="shared" si="187"/>
        <v/>
      </c>
      <c r="AE667" s="39" t="str">
        <f t="shared" si="188"/>
        <v/>
      </c>
      <c r="AF667" s="106" t="str">
        <f t="shared" si="189"/>
        <v/>
      </c>
      <c r="AG667" s="39">
        <f t="shared" si="190"/>
        <v>0</v>
      </c>
      <c r="AH667" s="39" t="str">
        <f t="shared" si="191"/>
        <v/>
      </c>
      <c r="AI667" s="39">
        <f>IF(AND($E667="timed",$N667&gt;=Settings!$C$9),1,0)</f>
        <v>0</v>
      </c>
      <c r="AJ667" s="39" t="str">
        <f>IF(OR($S667="",Settings!$C$16=""),"",IF($S667&lt;=Settings!$C$16,1,2))</f>
        <v/>
      </c>
      <c r="AK667" s="39" t="str">
        <f>IF($C667="","",IFERROR(IF(INDEX(Settings!$C$20:$C$59,MATCH($C667,Settings!$B$20:$B$59,0))="",Settings!$C$10,INDEX(Settings!$C$20:$C$59,MATCH($C667,Settings!$B$20:$B$59,0))),Settings!$C$10))</f>
        <v/>
      </c>
      <c r="AL667" s="108">
        <f t="shared" si="192"/>
        <v>0</v>
      </c>
      <c r="AM667" s="39" t="str">
        <f t="shared" si="193"/>
        <v/>
      </c>
      <c r="AN667" s="39" t="str">
        <f t="shared" si="194"/>
        <v/>
      </c>
      <c r="AO667" s="39" t="str">
        <f t="shared" si="195"/>
        <v/>
      </c>
      <c r="AP667" s="39">
        <f t="shared" si="196"/>
        <v>0</v>
      </c>
      <c r="AQ667" s="39">
        <f t="shared" si="197"/>
        <v>0</v>
      </c>
    </row>
    <row r="668" spans="14:43" x14ac:dyDescent="0.25">
      <c r="N668" s="105">
        <f t="shared" si="180"/>
        <v>0</v>
      </c>
      <c r="O668" s="106" t="str">
        <f>IF($F668="","",IF(ISNUMBER($F668),$F668+Settings!$C$7/24,IFERROR(DATEVALUE(LEFT($F668,10))+TIMEVALUE(MID($F668,12,8))+Settings!$C$7/24,"")))</f>
        <v/>
      </c>
      <c r="P668" s="106" t="str">
        <f>IF($G668="","",IF(ISNUMBER($G668),$G668+Settings!$C$7/24,IFERROR(DATEVALUE(LEFT($G668,10))+TIMEVALUE(MID($G668,12,8))+Settings!$C$7/24,"")))</f>
        <v/>
      </c>
      <c r="Q668" s="39" t="str">
        <f t="shared" si="181"/>
        <v/>
      </c>
      <c r="R668" s="39" t="str">
        <f t="shared" si="182"/>
        <v/>
      </c>
      <c r="S668" s="107" t="str">
        <f t="shared" si="183"/>
        <v/>
      </c>
      <c r="T668" s="39" t="str">
        <f>IF($C668="","",IF(COUNTIF($C$2:$C668,$C668)=1,1,0))</f>
        <v/>
      </c>
      <c r="U668" s="39" t="str">
        <f>IF($T668=1,COUNTIF($T$2:$T668,1),"")</f>
        <v/>
      </c>
      <c r="V668" s="39" t="str">
        <f>IF($B668="","",IF(COUNTIF($B$2:$B668,$B668)=1,1,0))</f>
        <v/>
      </c>
      <c r="W668" s="39" t="str">
        <f>IF($V668=1,COUNTIF($V$2:$V668,1),"")</f>
        <v/>
      </c>
      <c r="X668" s="39" t="str">
        <f>IF($A668="","",IF(COUNTIF($A$2:$A668,$A668)=1,1,0))</f>
        <v/>
      </c>
      <c r="Y668" s="39" t="str">
        <f>IF($X668=1,COUNTIF($X$2:$X668,1),"")</f>
        <v/>
      </c>
      <c r="Z668" s="39">
        <f>IF(AND($E668="timed",$N668&gt;Settings!$C$8),1,0)</f>
        <v>0</v>
      </c>
      <c r="AA668" s="39">
        <f t="shared" si="184"/>
        <v>0</v>
      </c>
      <c r="AB668" s="39">
        <f t="shared" si="185"/>
        <v>0</v>
      </c>
      <c r="AC668" s="39" t="str">
        <f t="shared" si="186"/>
        <v/>
      </c>
      <c r="AD668" s="39" t="str">
        <f t="shared" si="187"/>
        <v/>
      </c>
      <c r="AE668" s="39" t="str">
        <f t="shared" si="188"/>
        <v/>
      </c>
      <c r="AF668" s="106" t="str">
        <f t="shared" si="189"/>
        <v/>
      </c>
      <c r="AG668" s="39">
        <f t="shared" si="190"/>
        <v>0</v>
      </c>
      <c r="AH668" s="39" t="str">
        <f t="shared" si="191"/>
        <v/>
      </c>
      <c r="AI668" s="39">
        <f>IF(AND($E668="timed",$N668&gt;=Settings!$C$9),1,0)</f>
        <v>0</v>
      </c>
      <c r="AJ668" s="39" t="str">
        <f>IF(OR($S668="",Settings!$C$16=""),"",IF($S668&lt;=Settings!$C$16,1,2))</f>
        <v/>
      </c>
      <c r="AK668" s="39" t="str">
        <f>IF($C668="","",IFERROR(IF(INDEX(Settings!$C$20:$C$59,MATCH($C668,Settings!$B$20:$B$59,0))="",Settings!$C$10,INDEX(Settings!$C$20:$C$59,MATCH($C668,Settings!$B$20:$B$59,0))),Settings!$C$10))</f>
        <v/>
      </c>
      <c r="AL668" s="108">
        <f t="shared" si="192"/>
        <v>0</v>
      </c>
      <c r="AM668" s="39" t="str">
        <f t="shared" si="193"/>
        <v/>
      </c>
      <c r="AN668" s="39" t="str">
        <f t="shared" si="194"/>
        <v/>
      </c>
      <c r="AO668" s="39" t="str">
        <f t="shared" si="195"/>
        <v/>
      </c>
      <c r="AP668" s="39">
        <f t="shared" si="196"/>
        <v>0</v>
      </c>
      <c r="AQ668" s="39">
        <f t="shared" si="197"/>
        <v>0</v>
      </c>
    </row>
    <row r="669" spans="14:43" x14ac:dyDescent="0.25">
      <c r="N669" s="105">
        <f t="shared" si="180"/>
        <v>0</v>
      </c>
      <c r="O669" s="106" t="str">
        <f>IF($F669="","",IF(ISNUMBER($F669),$F669+Settings!$C$7/24,IFERROR(DATEVALUE(LEFT($F669,10))+TIMEVALUE(MID($F669,12,8))+Settings!$C$7/24,"")))</f>
        <v/>
      </c>
      <c r="P669" s="106" t="str">
        <f>IF($G669="","",IF(ISNUMBER($G669),$G669+Settings!$C$7/24,IFERROR(DATEVALUE(LEFT($G669,10))+TIMEVALUE(MID($G669,12,8))+Settings!$C$7/24,"")))</f>
        <v/>
      </c>
      <c r="Q669" s="39" t="str">
        <f t="shared" si="181"/>
        <v/>
      </c>
      <c r="R669" s="39" t="str">
        <f t="shared" si="182"/>
        <v/>
      </c>
      <c r="S669" s="107" t="str">
        <f t="shared" si="183"/>
        <v/>
      </c>
      <c r="T669" s="39" t="str">
        <f>IF($C669="","",IF(COUNTIF($C$2:$C669,$C669)=1,1,0))</f>
        <v/>
      </c>
      <c r="U669" s="39" t="str">
        <f>IF($T669=1,COUNTIF($T$2:$T669,1),"")</f>
        <v/>
      </c>
      <c r="V669" s="39" t="str">
        <f>IF($B669="","",IF(COUNTIF($B$2:$B669,$B669)=1,1,0))</f>
        <v/>
      </c>
      <c r="W669" s="39" t="str">
        <f>IF($V669=1,COUNTIF($V$2:$V669,1),"")</f>
        <v/>
      </c>
      <c r="X669" s="39" t="str">
        <f>IF($A669="","",IF(COUNTIF($A$2:$A669,$A669)=1,1,0))</f>
        <v/>
      </c>
      <c r="Y669" s="39" t="str">
        <f>IF($X669=1,COUNTIF($X$2:$X669,1),"")</f>
        <v/>
      </c>
      <c r="Z669" s="39">
        <f>IF(AND($E669="timed",$N669&gt;Settings!$C$8),1,0)</f>
        <v>0</v>
      </c>
      <c r="AA669" s="39">
        <f t="shared" si="184"/>
        <v>0</v>
      </c>
      <c r="AB669" s="39">
        <f t="shared" si="185"/>
        <v>0</v>
      </c>
      <c r="AC669" s="39" t="str">
        <f t="shared" si="186"/>
        <v/>
      </c>
      <c r="AD669" s="39" t="str">
        <f t="shared" si="187"/>
        <v/>
      </c>
      <c r="AE669" s="39" t="str">
        <f t="shared" si="188"/>
        <v/>
      </c>
      <c r="AF669" s="106" t="str">
        <f t="shared" si="189"/>
        <v/>
      </c>
      <c r="AG669" s="39">
        <f t="shared" si="190"/>
        <v>0</v>
      </c>
      <c r="AH669" s="39" t="str">
        <f t="shared" si="191"/>
        <v/>
      </c>
      <c r="AI669" s="39">
        <f>IF(AND($E669="timed",$N669&gt;=Settings!$C$9),1,0)</f>
        <v>0</v>
      </c>
      <c r="AJ669" s="39" t="str">
        <f>IF(OR($S669="",Settings!$C$16=""),"",IF($S669&lt;=Settings!$C$16,1,2))</f>
        <v/>
      </c>
      <c r="AK669" s="39" t="str">
        <f>IF($C669="","",IFERROR(IF(INDEX(Settings!$C$20:$C$59,MATCH($C669,Settings!$B$20:$B$59,0))="",Settings!$C$10,INDEX(Settings!$C$20:$C$59,MATCH($C669,Settings!$B$20:$B$59,0))),Settings!$C$10))</f>
        <v/>
      </c>
      <c r="AL669" s="108">
        <f t="shared" si="192"/>
        <v>0</v>
      </c>
      <c r="AM669" s="39" t="str">
        <f t="shared" si="193"/>
        <v/>
      </c>
      <c r="AN669" s="39" t="str">
        <f t="shared" si="194"/>
        <v/>
      </c>
      <c r="AO669" s="39" t="str">
        <f t="shared" si="195"/>
        <v/>
      </c>
      <c r="AP669" s="39">
        <f t="shared" si="196"/>
        <v>0</v>
      </c>
      <c r="AQ669" s="39">
        <f t="shared" si="197"/>
        <v>0</v>
      </c>
    </row>
    <row r="670" spans="14:43" x14ac:dyDescent="0.25">
      <c r="N670" s="105">
        <f t="shared" si="180"/>
        <v>0</v>
      </c>
      <c r="O670" s="106" t="str">
        <f>IF($F670="","",IF(ISNUMBER($F670),$F670+Settings!$C$7/24,IFERROR(DATEVALUE(LEFT($F670,10))+TIMEVALUE(MID($F670,12,8))+Settings!$C$7/24,"")))</f>
        <v/>
      </c>
      <c r="P670" s="106" t="str">
        <f>IF($G670="","",IF(ISNUMBER($G670),$G670+Settings!$C$7/24,IFERROR(DATEVALUE(LEFT($G670,10))+TIMEVALUE(MID($G670,12,8))+Settings!$C$7/24,"")))</f>
        <v/>
      </c>
      <c r="Q670" s="39" t="str">
        <f t="shared" si="181"/>
        <v/>
      </c>
      <c r="R670" s="39" t="str">
        <f t="shared" si="182"/>
        <v/>
      </c>
      <c r="S670" s="107" t="str">
        <f t="shared" si="183"/>
        <v/>
      </c>
      <c r="T670" s="39" t="str">
        <f>IF($C670="","",IF(COUNTIF($C$2:$C670,$C670)=1,1,0))</f>
        <v/>
      </c>
      <c r="U670" s="39" t="str">
        <f>IF($T670=1,COUNTIF($T$2:$T670,1),"")</f>
        <v/>
      </c>
      <c r="V670" s="39" t="str">
        <f>IF($B670="","",IF(COUNTIF($B$2:$B670,$B670)=1,1,0))</f>
        <v/>
      </c>
      <c r="W670" s="39" t="str">
        <f>IF($V670=1,COUNTIF($V$2:$V670,1),"")</f>
        <v/>
      </c>
      <c r="X670" s="39" t="str">
        <f>IF($A670="","",IF(COUNTIF($A$2:$A670,$A670)=1,1,0))</f>
        <v/>
      </c>
      <c r="Y670" s="39" t="str">
        <f>IF($X670=1,COUNTIF($X$2:$X670,1),"")</f>
        <v/>
      </c>
      <c r="Z670" s="39">
        <f>IF(AND($E670="timed",$N670&gt;Settings!$C$8),1,0)</f>
        <v>0</v>
      </c>
      <c r="AA670" s="39">
        <f t="shared" si="184"/>
        <v>0</v>
      </c>
      <c r="AB670" s="39">
        <f t="shared" si="185"/>
        <v>0</v>
      </c>
      <c r="AC670" s="39" t="str">
        <f t="shared" si="186"/>
        <v/>
      </c>
      <c r="AD670" s="39" t="str">
        <f t="shared" si="187"/>
        <v/>
      </c>
      <c r="AE670" s="39" t="str">
        <f t="shared" si="188"/>
        <v/>
      </c>
      <c r="AF670" s="106" t="str">
        <f t="shared" si="189"/>
        <v/>
      </c>
      <c r="AG670" s="39">
        <f t="shared" si="190"/>
        <v>0</v>
      </c>
      <c r="AH670" s="39" t="str">
        <f t="shared" si="191"/>
        <v/>
      </c>
      <c r="AI670" s="39">
        <f>IF(AND($E670="timed",$N670&gt;=Settings!$C$9),1,0)</f>
        <v>0</v>
      </c>
      <c r="AJ670" s="39" t="str">
        <f>IF(OR($S670="",Settings!$C$16=""),"",IF($S670&lt;=Settings!$C$16,1,2))</f>
        <v/>
      </c>
      <c r="AK670" s="39" t="str">
        <f>IF($C670="","",IFERROR(IF(INDEX(Settings!$C$20:$C$59,MATCH($C670,Settings!$B$20:$B$59,0))="",Settings!$C$10,INDEX(Settings!$C$20:$C$59,MATCH($C670,Settings!$B$20:$B$59,0))),Settings!$C$10))</f>
        <v/>
      </c>
      <c r="AL670" s="108">
        <f t="shared" si="192"/>
        <v>0</v>
      </c>
      <c r="AM670" s="39" t="str">
        <f t="shared" si="193"/>
        <v/>
      </c>
      <c r="AN670" s="39" t="str">
        <f t="shared" si="194"/>
        <v/>
      </c>
      <c r="AO670" s="39" t="str">
        <f t="shared" si="195"/>
        <v/>
      </c>
      <c r="AP670" s="39">
        <f t="shared" si="196"/>
        <v>0</v>
      </c>
      <c r="AQ670" s="39">
        <f t="shared" si="197"/>
        <v>0</v>
      </c>
    </row>
    <row r="671" spans="14:43" x14ac:dyDescent="0.25">
      <c r="N671" s="105">
        <f t="shared" si="180"/>
        <v>0</v>
      </c>
      <c r="O671" s="106" t="str">
        <f>IF($F671="","",IF(ISNUMBER($F671),$F671+Settings!$C$7/24,IFERROR(DATEVALUE(LEFT($F671,10))+TIMEVALUE(MID($F671,12,8))+Settings!$C$7/24,"")))</f>
        <v/>
      </c>
      <c r="P671" s="106" t="str">
        <f>IF($G671="","",IF(ISNUMBER($G671),$G671+Settings!$C$7/24,IFERROR(DATEVALUE(LEFT($G671,10))+TIMEVALUE(MID($G671,12,8))+Settings!$C$7/24,"")))</f>
        <v/>
      </c>
      <c r="Q671" s="39" t="str">
        <f t="shared" si="181"/>
        <v/>
      </c>
      <c r="R671" s="39" t="str">
        <f t="shared" si="182"/>
        <v/>
      </c>
      <c r="S671" s="107" t="str">
        <f t="shared" si="183"/>
        <v/>
      </c>
      <c r="T671" s="39" t="str">
        <f>IF($C671="","",IF(COUNTIF($C$2:$C671,$C671)=1,1,0))</f>
        <v/>
      </c>
      <c r="U671" s="39" t="str">
        <f>IF($T671=1,COUNTIF($T$2:$T671,1),"")</f>
        <v/>
      </c>
      <c r="V671" s="39" t="str">
        <f>IF($B671="","",IF(COUNTIF($B$2:$B671,$B671)=1,1,0))</f>
        <v/>
      </c>
      <c r="W671" s="39" t="str">
        <f>IF($V671=1,COUNTIF($V$2:$V671,1),"")</f>
        <v/>
      </c>
      <c r="X671" s="39" t="str">
        <f>IF($A671="","",IF(COUNTIF($A$2:$A671,$A671)=1,1,0))</f>
        <v/>
      </c>
      <c r="Y671" s="39" t="str">
        <f>IF($X671=1,COUNTIF($X$2:$X671,1),"")</f>
        <v/>
      </c>
      <c r="Z671" s="39">
        <f>IF(AND($E671="timed",$N671&gt;Settings!$C$8),1,0)</f>
        <v>0</v>
      </c>
      <c r="AA671" s="39">
        <f t="shared" si="184"/>
        <v>0</v>
      </c>
      <c r="AB671" s="39">
        <f t="shared" si="185"/>
        <v>0</v>
      </c>
      <c r="AC671" s="39" t="str">
        <f t="shared" si="186"/>
        <v/>
      </c>
      <c r="AD671" s="39" t="str">
        <f t="shared" si="187"/>
        <v/>
      </c>
      <c r="AE671" s="39" t="str">
        <f t="shared" si="188"/>
        <v/>
      </c>
      <c r="AF671" s="106" t="str">
        <f t="shared" si="189"/>
        <v/>
      </c>
      <c r="AG671" s="39">
        <f t="shared" si="190"/>
        <v>0</v>
      </c>
      <c r="AH671" s="39" t="str">
        <f t="shared" si="191"/>
        <v/>
      </c>
      <c r="AI671" s="39">
        <f>IF(AND($E671="timed",$N671&gt;=Settings!$C$9),1,0)</f>
        <v>0</v>
      </c>
      <c r="AJ671" s="39" t="str">
        <f>IF(OR($S671="",Settings!$C$16=""),"",IF($S671&lt;=Settings!$C$16,1,2))</f>
        <v/>
      </c>
      <c r="AK671" s="39" t="str">
        <f>IF($C671="","",IFERROR(IF(INDEX(Settings!$C$20:$C$59,MATCH($C671,Settings!$B$20:$B$59,0))="",Settings!$C$10,INDEX(Settings!$C$20:$C$59,MATCH($C671,Settings!$B$20:$B$59,0))),Settings!$C$10))</f>
        <v/>
      </c>
      <c r="AL671" s="108">
        <f t="shared" si="192"/>
        <v>0</v>
      </c>
      <c r="AM671" s="39" t="str">
        <f t="shared" si="193"/>
        <v/>
      </c>
      <c r="AN671" s="39" t="str">
        <f t="shared" si="194"/>
        <v/>
      </c>
      <c r="AO671" s="39" t="str">
        <f t="shared" si="195"/>
        <v/>
      </c>
      <c r="AP671" s="39">
        <f t="shared" si="196"/>
        <v>0</v>
      </c>
      <c r="AQ671" s="39">
        <f t="shared" si="197"/>
        <v>0</v>
      </c>
    </row>
    <row r="672" spans="14:43" x14ac:dyDescent="0.25">
      <c r="N672" s="105">
        <f t="shared" si="180"/>
        <v>0</v>
      </c>
      <c r="O672" s="106" t="str">
        <f>IF($F672="","",IF(ISNUMBER($F672),$F672+Settings!$C$7/24,IFERROR(DATEVALUE(LEFT($F672,10))+TIMEVALUE(MID($F672,12,8))+Settings!$C$7/24,"")))</f>
        <v/>
      </c>
      <c r="P672" s="106" t="str">
        <f>IF($G672="","",IF(ISNUMBER($G672),$G672+Settings!$C$7/24,IFERROR(DATEVALUE(LEFT($G672,10))+TIMEVALUE(MID($G672,12,8))+Settings!$C$7/24,"")))</f>
        <v/>
      </c>
      <c r="Q672" s="39" t="str">
        <f t="shared" si="181"/>
        <v/>
      </c>
      <c r="R672" s="39" t="str">
        <f t="shared" si="182"/>
        <v/>
      </c>
      <c r="S672" s="107" t="str">
        <f t="shared" si="183"/>
        <v/>
      </c>
      <c r="T672" s="39" t="str">
        <f>IF($C672="","",IF(COUNTIF($C$2:$C672,$C672)=1,1,0))</f>
        <v/>
      </c>
      <c r="U672" s="39" t="str">
        <f>IF($T672=1,COUNTIF($T$2:$T672,1),"")</f>
        <v/>
      </c>
      <c r="V672" s="39" t="str">
        <f>IF($B672="","",IF(COUNTIF($B$2:$B672,$B672)=1,1,0))</f>
        <v/>
      </c>
      <c r="W672" s="39" t="str">
        <f>IF($V672=1,COUNTIF($V$2:$V672,1),"")</f>
        <v/>
      </c>
      <c r="X672" s="39" t="str">
        <f>IF($A672="","",IF(COUNTIF($A$2:$A672,$A672)=1,1,0))</f>
        <v/>
      </c>
      <c r="Y672" s="39" t="str">
        <f>IF($X672=1,COUNTIF($X$2:$X672,1),"")</f>
        <v/>
      </c>
      <c r="Z672" s="39">
        <f>IF(AND($E672="timed",$N672&gt;Settings!$C$8),1,0)</f>
        <v>0</v>
      </c>
      <c r="AA672" s="39">
        <f t="shared" si="184"/>
        <v>0</v>
      </c>
      <c r="AB672" s="39">
        <f t="shared" si="185"/>
        <v>0</v>
      </c>
      <c r="AC672" s="39" t="str">
        <f t="shared" si="186"/>
        <v/>
      </c>
      <c r="AD672" s="39" t="str">
        <f t="shared" si="187"/>
        <v/>
      </c>
      <c r="AE672" s="39" t="str">
        <f t="shared" si="188"/>
        <v/>
      </c>
      <c r="AF672" s="106" t="str">
        <f t="shared" si="189"/>
        <v/>
      </c>
      <c r="AG672" s="39">
        <f t="shared" si="190"/>
        <v>0</v>
      </c>
      <c r="AH672" s="39" t="str">
        <f t="shared" si="191"/>
        <v/>
      </c>
      <c r="AI672" s="39">
        <f>IF(AND($E672="timed",$N672&gt;=Settings!$C$9),1,0)</f>
        <v>0</v>
      </c>
      <c r="AJ672" s="39" t="str">
        <f>IF(OR($S672="",Settings!$C$16=""),"",IF($S672&lt;=Settings!$C$16,1,2))</f>
        <v/>
      </c>
      <c r="AK672" s="39" t="str">
        <f>IF($C672="","",IFERROR(IF(INDEX(Settings!$C$20:$C$59,MATCH($C672,Settings!$B$20:$B$59,0))="",Settings!$C$10,INDEX(Settings!$C$20:$C$59,MATCH($C672,Settings!$B$20:$B$59,0))),Settings!$C$10))</f>
        <v/>
      </c>
      <c r="AL672" s="108">
        <f t="shared" si="192"/>
        <v>0</v>
      </c>
      <c r="AM672" s="39" t="str">
        <f t="shared" si="193"/>
        <v/>
      </c>
      <c r="AN672" s="39" t="str">
        <f t="shared" si="194"/>
        <v/>
      </c>
      <c r="AO672" s="39" t="str">
        <f t="shared" si="195"/>
        <v/>
      </c>
      <c r="AP672" s="39">
        <f t="shared" si="196"/>
        <v>0</v>
      </c>
      <c r="AQ672" s="39">
        <f t="shared" si="197"/>
        <v>0</v>
      </c>
    </row>
    <row r="673" spans="14:43" x14ac:dyDescent="0.25">
      <c r="N673" s="105">
        <f t="shared" si="180"/>
        <v>0</v>
      </c>
      <c r="O673" s="106" t="str">
        <f>IF($F673="","",IF(ISNUMBER($F673),$F673+Settings!$C$7/24,IFERROR(DATEVALUE(LEFT($F673,10))+TIMEVALUE(MID($F673,12,8))+Settings!$C$7/24,"")))</f>
        <v/>
      </c>
      <c r="P673" s="106" t="str">
        <f>IF($G673="","",IF(ISNUMBER($G673),$G673+Settings!$C$7/24,IFERROR(DATEVALUE(LEFT($G673,10))+TIMEVALUE(MID($G673,12,8))+Settings!$C$7/24,"")))</f>
        <v/>
      </c>
      <c r="Q673" s="39" t="str">
        <f t="shared" si="181"/>
        <v/>
      </c>
      <c r="R673" s="39" t="str">
        <f t="shared" si="182"/>
        <v/>
      </c>
      <c r="S673" s="107" t="str">
        <f t="shared" si="183"/>
        <v/>
      </c>
      <c r="T673" s="39" t="str">
        <f>IF($C673="","",IF(COUNTIF($C$2:$C673,$C673)=1,1,0))</f>
        <v/>
      </c>
      <c r="U673" s="39" t="str">
        <f>IF($T673=1,COUNTIF($T$2:$T673,1),"")</f>
        <v/>
      </c>
      <c r="V673" s="39" t="str">
        <f>IF($B673="","",IF(COUNTIF($B$2:$B673,$B673)=1,1,0))</f>
        <v/>
      </c>
      <c r="W673" s="39" t="str">
        <f>IF($V673=1,COUNTIF($V$2:$V673,1),"")</f>
        <v/>
      </c>
      <c r="X673" s="39" t="str">
        <f>IF($A673="","",IF(COUNTIF($A$2:$A673,$A673)=1,1,0))</f>
        <v/>
      </c>
      <c r="Y673" s="39" t="str">
        <f>IF($X673=1,COUNTIF($X$2:$X673,1),"")</f>
        <v/>
      </c>
      <c r="Z673" s="39">
        <f>IF(AND($E673="timed",$N673&gt;Settings!$C$8),1,0)</f>
        <v>0</v>
      </c>
      <c r="AA673" s="39">
        <f t="shared" si="184"/>
        <v>0</v>
      </c>
      <c r="AB673" s="39">
        <f t="shared" si="185"/>
        <v>0</v>
      </c>
      <c r="AC673" s="39" t="str">
        <f t="shared" si="186"/>
        <v/>
      </c>
      <c r="AD673" s="39" t="str">
        <f t="shared" si="187"/>
        <v/>
      </c>
      <c r="AE673" s="39" t="str">
        <f t="shared" si="188"/>
        <v/>
      </c>
      <c r="AF673" s="106" t="str">
        <f t="shared" si="189"/>
        <v/>
      </c>
      <c r="AG673" s="39">
        <f t="shared" si="190"/>
        <v>0</v>
      </c>
      <c r="AH673" s="39" t="str">
        <f t="shared" si="191"/>
        <v/>
      </c>
      <c r="AI673" s="39">
        <f>IF(AND($E673="timed",$N673&gt;=Settings!$C$9),1,0)</f>
        <v>0</v>
      </c>
      <c r="AJ673" s="39" t="str">
        <f>IF(OR($S673="",Settings!$C$16=""),"",IF($S673&lt;=Settings!$C$16,1,2))</f>
        <v/>
      </c>
      <c r="AK673" s="39" t="str">
        <f>IF($C673="","",IFERROR(IF(INDEX(Settings!$C$20:$C$59,MATCH($C673,Settings!$B$20:$B$59,0))="",Settings!$C$10,INDEX(Settings!$C$20:$C$59,MATCH($C673,Settings!$B$20:$B$59,0))),Settings!$C$10))</f>
        <v/>
      </c>
      <c r="AL673" s="108">
        <f t="shared" si="192"/>
        <v>0</v>
      </c>
      <c r="AM673" s="39" t="str">
        <f t="shared" si="193"/>
        <v/>
      </c>
      <c r="AN673" s="39" t="str">
        <f t="shared" si="194"/>
        <v/>
      </c>
      <c r="AO673" s="39" t="str">
        <f t="shared" si="195"/>
        <v/>
      </c>
      <c r="AP673" s="39">
        <f t="shared" si="196"/>
        <v>0</v>
      </c>
      <c r="AQ673" s="39">
        <f t="shared" si="197"/>
        <v>0</v>
      </c>
    </row>
    <row r="674" spans="14:43" x14ac:dyDescent="0.25">
      <c r="N674" s="105">
        <f t="shared" si="180"/>
        <v>0</v>
      </c>
      <c r="O674" s="106" t="str">
        <f>IF($F674="","",IF(ISNUMBER($F674),$F674+Settings!$C$7/24,IFERROR(DATEVALUE(LEFT($F674,10))+TIMEVALUE(MID($F674,12,8))+Settings!$C$7/24,"")))</f>
        <v/>
      </c>
      <c r="P674" s="106" t="str">
        <f>IF($G674="","",IF(ISNUMBER($G674),$G674+Settings!$C$7/24,IFERROR(DATEVALUE(LEFT($G674,10))+TIMEVALUE(MID($G674,12,8))+Settings!$C$7/24,"")))</f>
        <v/>
      </c>
      <c r="Q674" s="39" t="str">
        <f t="shared" si="181"/>
        <v/>
      </c>
      <c r="R674" s="39" t="str">
        <f t="shared" si="182"/>
        <v/>
      </c>
      <c r="S674" s="107" t="str">
        <f t="shared" si="183"/>
        <v/>
      </c>
      <c r="T674" s="39" t="str">
        <f>IF($C674="","",IF(COUNTIF($C$2:$C674,$C674)=1,1,0))</f>
        <v/>
      </c>
      <c r="U674" s="39" t="str">
        <f>IF($T674=1,COUNTIF($T$2:$T674,1),"")</f>
        <v/>
      </c>
      <c r="V674" s="39" t="str">
        <f>IF($B674="","",IF(COUNTIF($B$2:$B674,$B674)=1,1,0))</f>
        <v/>
      </c>
      <c r="W674" s="39" t="str">
        <f>IF($V674=1,COUNTIF($V$2:$V674,1),"")</f>
        <v/>
      </c>
      <c r="X674" s="39" t="str">
        <f>IF($A674="","",IF(COUNTIF($A$2:$A674,$A674)=1,1,0))</f>
        <v/>
      </c>
      <c r="Y674" s="39" t="str">
        <f>IF($X674=1,COUNTIF($X$2:$X674,1),"")</f>
        <v/>
      </c>
      <c r="Z674" s="39">
        <f>IF(AND($E674="timed",$N674&gt;Settings!$C$8),1,0)</f>
        <v>0</v>
      </c>
      <c r="AA674" s="39">
        <f t="shared" si="184"/>
        <v>0</v>
      </c>
      <c r="AB674" s="39">
        <f t="shared" si="185"/>
        <v>0</v>
      </c>
      <c r="AC674" s="39" t="str">
        <f t="shared" si="186"/>
        <v/>
      </c>
      <c r="AD674" s="39" t="str">
        <f t="shared" si="187"/>
        <v/>
      </c>
      <c r="AE674" s="39" t="str">
        <f t="shared" si="188"/>
        <v/>
      </c>
      <c r="AF674" s="106" t="str">
        <f t="shared" si="189"/>
        <v/>
      </c>
      <c r="AG674" s="39">
        <f t="shared" si="190"/>
        <v>0</v>
      </c>
      <c r="AH674" s="39" t="str">
        <f t="shared" si="191"/>
        <v/>
      </c>
      <c r="AI674" s="39">
        <f>IF(AND($E674="timed",$N674&gt;=Settings!$C$9),1,0)</f>
        <v>0</v>
      </c>
      <c r="AJ674" s="39" t="str">
        <f>IF(OR($S674="",Settings!$C$16=""),"",IF($S674&lt;=Settings!$C$16,1,2))</f>
        <v/>
      </c>
      <c r="AK674" s="39" t="str">
        <f>IF($C674="","",IFERROR(IF(INDEX(Settings!$C$20:$C$59,MATCH($C674,Settings!$B$20:$B$59,0))="",Settings!$C$10,INDEX(Settings!$C$20:$C$59,MATCH($C674,Settings!$B$20:$B$59,0))),Settings!$C$10))</f>
        <v/>
      </c>
      <c r="AL674" s="108">
        <f t="shared" si="192"/>
        <v>0</v>
      </c>
      <c r="AM674" s="39" t="str">
        <f t="shared" si="193"/>
        <v/>
      </c>
      <c r="AN674" s="39" t="str">
        <f t="shared" si="194"/>
        <v/>
      </c>
      <c r="AO674" s="39" t="str">
        <f t="shared" si="195"/>
        <v/>
      </c>
      <c r="AP674" s="39">
        <f t="shared" si="196"/>
        <v>0</v>
      </c>
      <c r="AQ674" s="39">
        <f t="shared" si="197"/>
        <v>0</v>
      </c>
    </row>
    <row r="675" spans="14:43" x14ac:dyDescent="0.25">
      <c r="N675" s="105">
        <f t="shared" si="180"/>
        <v>0</v>
      </c>
      <c r="O675" s="106" t="str">
        <f>IF($F675="","",IF(ISNUMBER($F675),$F675+Settings!$C$7/24,IFERROR(DATEVALUE(LEFT($F675,10))+TIMEVALUE(MID($F675,12,8))+Settings!$C$7/24,"")))</f>
        <v/>
      </c>
      <c r="P675" s="106" t="str">
        <f>IF($G675="","",IF(ISNUMBER($G675),$G675+Settings!$C$7/24,IFERROR(DATEVALUE(LEFT($G675,10))+TIMEVALUE(MID($G675,12,8))+Settings!$C$7/24,"")))</f>
        <v/>
      </c>
      <c r="Q675" s="39" t="str">
        <f t="shared" si="181"/>
        <v/>
      </c>
      <c r="R675" s="39" t="str">
        <f t="shared" si="182"/>
        <v/>
      </c>
      <c r="S675" s="107" t="str">
        <f t="shared" si="183"/>
        <v/>
      </c>
      <c r="T675" s="39" t="str">
        <f>IF($C675="","",IF(COUNTIF($C$2:$C675,$C675)=1,1,0))</f>
        <v/>
      </c>
      <c r="U675" s="39" t="str">
        <f>IF($T675=1,COUNTIF($T$2:$T675,1),"")</f>
        <v/>
      </c>
      <c r="V675" s="39" t="str">
        <f>IF($B675="","",IF(COUNTIF($B$2:$B675,$B675)=1,1,0))</f>
        <v/>
      </c>
      <c r="W675" s="39" t="str">
        <f>IF($V675=1,COUNTIF($V$2:$V675,1),"")</f>
        <v/>
      </c>
      <c r="X675" s="39" t="str">
        <f>IF($A675="","",IF(COUNTIF($A$2:$A675,$A675)=1,1,0))</f>
        <v/>
      </c>
      <c r="Y675" s="39" t="str">
        <f>IF($X675=1,COUNTIF($X$2:$X675,1),"")</f>
        <v/>
      </c>
      <c r="Z675" s="39">
        <f>IF(AND($E675="timed",$N675&gt;Settings!$C$8),1,0)</f>
        <v>0</v>
      </c>
      <c r="AA675" s="39">
        <f t="shared" si="184"/>
        <v>0</v>
      </c>
      <c r="AB675" s="39">
        <f t="shared" si="185"/>
        <v>0</v>
      </c>
      <c r="AC675" s="39" t="str">
        <f t="shared" si="186"/>
        <v/>
      </c>
      <c r="AD675" s="39" t="str">
        <f t="shared" si="187"/>
        <v/>
      </c>
      <c r="AE675" s="39" t="str">
        <f t="shared" si="188"/>
        <v/>
      </c>
      <c r="AF675" s="106" t="str">
        <f t="shared" si="189"/>
        <v/>
      </c>
      <c r="AG675" s="39">
        <f t="shared" si="190"/>
        <v>0</v>
      </c>
      <c r="AH675" s="39" t="str">
        <f t="shared" si="191"/>
        <v/>
      </c>
      <c r="AI675" s="39">
        <f>IF(AND($E675="timed",$N675&gt;=Settings!$C$9),1,0)</f>
        <v>0</v>
      </c>
      <c r="AJ675" s="39" t="str">
        <f>IF(OR($S675="",Settings!$C$16=""),"",IF($S675&lt;=Settings!$C$16,1,2))</f>
        <v/>
      </c>
      <c r="AK675" s="39" t="str">
        <f>IF($C675="","",IFERROR(IF(INDEX(Settings!$C$20:$C$59,MATCH($C675,Settings!$B$20:$B$59,0))="",Settings!$C$10,INDEX(Settings!$C$20:$C$59,MATCH($C675,Settings!$B$20:$B$59,0))),Settings!$C$10))</f>
        <v/>
      </c>
      <c r="AL675" s="108">
        <f t="shared" si="192"/>
        <v>0</v>
      </c>
      <c r="AM675" s="39" t="str">
        <f t="shared" si="193"/>
        <v/>
      </c>
      <c r="AN675" s="39" t="str">
        <f t="shared" si="194"/>
        <v/>
      </c>
      <c r="AO675" s="39" t="str">
        <f t="shared" si="195"/>
        <v/>
      </c>
      <c r="AP675" s="39">
        <f t="shared" si="196"/>
        <v>0</v>
      </c>
      <c r="AQ675" s="39">
        <f t="shared" si="197"/>
        <v>0</v>
      </c>
    </row>
    <row r="676" spans="14:43" x14ac:dyDescent="0.25">
      <c r="N676" s="105">
        <f t="shared" si="180"/>
        <v>0</v>
      </c>
      <c r="O676" s="106" t="str">
        <f>IF($F676="","",IF(ISNUMBER($F676),$F676+Settings!$C$7/24,IFERROR(DATEVALUE(LEFT($F676,10))+TIMEVALUE(MID($F676,12,8))+Settings!$C$7/24,"")))</f>
        <v/>
      </c>
      <c r="P676" s="106" t="str">
        <f>IF($G676="","",IF(ISNUMBER($G676),$G676+Settings!$C$7/24,IFERROR(DATEVALUE(LEFT($G676,10))+TIMEVALUE(MID($G676,12,8))+Settings!$C$7/24,"")))</f>
        <v/>
      </c>
      <c r="Q676" s="39" t="str">
        <f t="shared" si="181"/>
        <v/>
      </c>
      <c r="R676" s="39" t="str">
        <f t="shared" si="182"/>
        <v/>
      </c>
      <c r="S676" s="107" t="str">
        <f t="shared" si="183"/>
        <v/>
      </c>
      <c r="T676" s="39" t="str">
        <f>IF($C676="","",IF(COUNTIF($C$2:$C676,$C676)=1,1,0))</f>
        <v/>
      </c>
      <c r="U676" s="39" t="str">
        <f>IF($T676=1,COUNTIF($T$2:$T676,1),"")</f>
        <v/>
      </c>
      <c r="V676" s="39" t="str">
        <f>IF($B676="","",IF(COUNTIF($B$2:$B676,$B676)=1,1,0))</f>
        <v/>
      </c>
      <c r="W676" s="39" t="str">
        <f>IF($V676=1,COUNTIF($V$2:$V676,1),"")</f>
        <v/>
      </c>
      <c r="X676" s="39" t="str">
        <f>IF($A676="","",IF(COUNTIF($A$2:$A676,$A676)=1,1,0))</f>
        <v/>
      </c>
      <c r="Y676" s="39" t="str">
        <f>IF($X676=1,COUNTIF($X$2:$X676,1),"")</f>
        <v/>
      </c>
      <c r="Z676" s="39">
        <f>IF(AND($E676="timed",$N676&gt;Settings!$C$8),1,0)</f>
        <v>0</v>
      </c>
      <c r="AA676" s="39">
        <f t="shared" si="184"/>
        <v>0</v>
      </c>
      <c r="AB676" s="39">
        <f t="shared" si="185"/>
        <v>0</v>
      </c>
      <c r="AC676" s="39" t="str">
        <f t="shared" si="186"/>
        <v/>
      </c>
      <c r="AD676" s="39" t="str">
        <f t="shared" si="187"/>
        <v/>
      </c>
      <c r="AE676" s="39" t="str">
        <f t="shared" si="188"/>
        <v/>
      </c>
      <c r="AF676" s="106" t="str">
        <f t="shared" si="189"/>
        <v/>
      </c>
      <c r="AG676" s="39">
        <f t="shared" si="190"/>
        <v>0</v>
      </c>
      <c r="AH676" s="39" t="str">
        <f t="shared" si="191"/>
        <v/>
      </c>
      <c r="AI676" s="39">
        <f>IF(AND($E676="timed",$N676&gt;=Settings!$C$9),1,0)</f>
        <v>0</v>
      </c>
      <c r="AJ676" s="39" t="str">
        <f>IF(OR($S676="",Settings!$C$16=""),"",IF($S676&lt;=Settings!$C$16,1,2))</f>
        <v/>
      </c>
      <c r="AK676" s="39" t="str">
        <f>IF($C676="","",IFERROR(IF(INDEX(Settings!$C$20:$C$59,MATCH($C676,Settings!$B$20:$B$59,0))="",Settings!$C$10,INDEX(Settings!$C$20:$C$59,MATCH($C676,Settings!$B$20:$B$59,0))),Settings!$C$10))</f>
        <v/>
      </c>
      <c r="AL676" s="108">
        <f t="shared" si="192"/>
        <v>0</v>
      </c>
      <c r="AM676" s="39" t="str">
        <f t="shared" si="193"/>
        <v/>
      </c>
      <c r="AN676" s="39" t="str">
        <f t="shared" si="194"/>
        <v/>
      </c>
      <c r="AO676" s="39" t="str">
        <f t="shared" si="195"/>
        <v/>
      </c>
      <c r="AP676" s="39">
        <f t="shared" si="196"/>
        <v>0</v>
      </c>
      <c r="AQ676" s="39">
        <f t="shared" si="197"/>
        <v>0</v>
      </c>
    </row>
    <row r="677" spans="14:43" x14ac:dyDescent="0.25">
      <c r="N677" s="105">
        <f t="shared" si="180"/>
        <v>0</v>
      </c>
      <c r="O677" s="106" t="str">
        <f>IF($F677="","",IF(ISNUMBER($F677),$F677+Settings!$C$7/24,IFERROR(DATEVALUE(LEFT($F677,10))+TIMEVALUE(MID($F677,12,8))+Settings!$C$7/24,"")))</f>
        <v/>
      </c>
      <c r="P677" s="106" t="str">
        <f>IF($G677="","",IF(ISNUMBER($G677),$G677+Settings!$C$7/24,IFERROR(DATEVALUE(LEFT($G677,10))+TIMEVALUE(MID($G677,12,8))+Settings!$C$7/24,"")))</f>
        <v/>
      </c>
      <c r="Q677" s="39" t="str">
        <f t="shared" si="181"/>
        <v/>
      </c>
      <c r="R677" s="39" t="str">
        <f t="shared" si="182"/>
        <v/>
      </c>
      <c r="S677" s="107" t="str">
        <f t="shared" si="183"/>
        <v/>
      </c>
      <c r="T677" s="39" t="str">
        <f>IF($C677="","",IF(COUNTIF($C$2:$C677,$C677)=1,1,0))</f>
        <v/>
      </c>
      <c r="U677" s="39" t="str">
        <f>IF($T677=1,COUNTIF($T$2:$T677,1),"")</f>
        <v/>
      </c>
      <c r="V677" s="39" t="str">
        <f>IF($B677="","",IF(COUNTIF($B$2:$B677,$B677)=1,1,0))</f>
        <v/>
      </c>
      <c r="W677" s="39" t="str">
        <f>IF($V677=1,COUNTIF($V$2:$V677,1),"")</f>
        <v/>
      </c>
      <c r="X677" s="39" t="str">
        <f>IF($A677="","",IF(COUNTIF($A$2:$A677,$A677)=1,1,0))</f>
        <v/>
      </c>
      <c r="Y677" s="39" t="str">
        <f>IF($X677=1,COUNTIF($X$2:$X677,1),"")</f>
        <v/>
      </c>
      <c r="Z677" s="39">
        <f>IF(AND($E677="timed",$N677&gt;Settings!$C$8),1,0)</f>
        <v>0</v>
      </c>
      <c r="AA677" s="39">
        <f t="shared" si="184"/>
        <v>0</v>
      </c>
      <c r="AB677" s="39">
        <f t="shared" si="185"/>
        <v>0</v>
      </c>
      <c r="AC677" s="39" t="str">
        <f t="shared" si="186"/>
        <v/>
      </c>
      <c r="AD677" s="39" t="str">
        <f t="shared" si="187"/>
        <v/>
      </c>
      <c r="AE677" s="39" t="str">
        <f t="shared" si="188"/>
        <v/>
      </c>
      <c r="AF677" s="106" t="str">
        <f t="shared" si="189"/>
        <v/>
      </c>
      <c r="AG677" s="39">
        <f t="shared" si="190"/>
        <v>0</v>
      </c>
      <c r="AH677" s="39" t="str">
        <f t="shared" si="191"/>
        <v/>
      </c>
      <c r="AI677" s="39">
        <f>IF(AND($E677="timed",$N677&gt;=Settings!$C$9),1,0)</f>
        <v>0</v>
      </c>
      <c r="AJ677" s="39" t="str">
        <f>IF(OR($S677="",Settings!$C$16=""),"",IF($S677&lt;=Settings!$C$16,1,2))</f>
        <v/>
      </c>
      <c r="AK677" s="39" t="str">
        <f>IF($C677="","",IFERROR(IF(INDEX(Settings!$C$20:$C$59,MATCH($C677,Settings!$B$20:$B$59,0))="",Settings!$C$10,INDEX(Settings!$C$20:$C$59,MATCH($C677,Settings!$B$20:$B$59,0))),Settings!$C$10))</f>
        <v/>
      </c>
      <c r="AL677" s="108">
        <f t="shared" si="192"/>
        <v>0</v>
      </c>
      <c r="AM677" s="39" t="str">
        <f t="shared" si="193"/>
        <v/>
      </c>
      <c r="AN677" s="39" t="str">
        <f t="shared" si="194"/>
        <v/>
      </c>
      <c r="AO677" s="39" t="str">
        <f t="shared" si="195"/>
        <v/>
      </c>
      <c r="AP677" s="39">
        <f t="shared" si="196"/>
        <v>0</v>
      </c>
      <c r="AQ677" s="39">
        <f t="shared" si="197"/>
        <v>0</v>
      </c>
    </row>
    <row r="678" spans="14:43" x14ac:dyDescent="0.25">
      <c r="N678" s="105">
        <f t="shared" si="180"/>
        <v>0</v>
      </c>
      <c r="O678" s="106" t="str">
        <f>IF($F678="","",IF(ISNUMBER($F678),$F678+Settings!$C$7/24,IFERROR(DATEVALUE(LEFT($F678,10))+TIMEVALUE(MID($F678,12,8))+Settings!$C$7/24,"")))</f>
        <v/>
      </c>
      <c r="P678" s="106" t="str">
        <f>IF($G678="","",IF(ISNUMBER($G678),$G678+Settings!$C$7/24,IFERROR(DATEVALUE(LEFT($G678,10))+TIMEVALUE(MID($G678,12,8))+Settings!$C$7/24,"")))</f>
        <v/>
      </c>
      <c r="Q678" s="39" t="str">
        <f t="shared" si="181"/>
        <v/>
      </c>
      <c r="R678" s="39" t="str">
        <f t="shared" si="182"/>
        <v/>
      </c>
      <c r="S678" s="107" t="str">
        <f t="shared" si="183"/>
        <v/>
      </c>
      <c r="T678" s="39" t="str">
        <f>IF($C678="","",IF(COUNTIF($C$2:$C678,$C678)=1,1,0))</f>
        <v/>
      </c>
      <c r="U678" s="39" t="str">
        <f>IF($T678=1,COUNTIF($T$2:$T678,1),"")</f>
        <v/>
      </c>
      <c r="V678" s="39" t="str">
        <f>IF($B678="","",IF(COUNTIF($B$2:$B678,$B678)=1,1,0))</f>
        <v/>
      </c>
      <c r="W678" s="39" t="str">
        <f>IF($V678=1,COUNTIF($V$2:$V678,1),"")</f>
        <v/>
      </c>
      <c r="X678" s="39" t="str">
        <f>IF($A678="","",IF(COUNTIF($A$2:$A678,$A678)=1,1,0))</f>
        <v/>
      </c>
      <c r="Y678" s="39" t="str">
        <f>IF($X678=1,COUNTIF($X$2:$X678,1),"")</f>
        <v/>
      </c>
      <c r="Z678" s="39">
        <f>IF(AND($E678="timed",$N678&gt;Settings!$C$8),1,0)</f>
        <v>0</v>
      </c>
      <c r="AA678" s="39">
        <f t="shared" si="184"/>
        <v>0</v>
      </c>
      <c r="AB678" s="39">
        <f t="shared" si="185"/>
        <v>0</v>
      </c>
      <c r="AC678" s="39" t="str">
        <f t="shared" si="186"/>
        <v/>
      </c>
      <c r="AD678" s="39" t="str">
        <f t="shared" si="187"/>
        <v/>
      </c>
      <c r="AE678" s="39" t="str">
        <f t="shared" si="188"/>
        <v/>
      </c>
      <c r="AF678" s="106" t="str">
        <f t="shared" si="189"/>
        <v/>
      </c>
      <c r="AG678" s="39">
        <f t="shared" si="190"/>
        <v>0</v>
      </c>
      <c r="AH678" s="39" t="str">
        <f t="shared" si="191"/>
        <v/>
      </c>
      <c r="AI678" s="39">
        <f>IF(AND($E678="timed",$N678&gt;=Settings!$C$9),1,0)</f>
        <v>0</v>
      </c>
      <c r="AJ678" s="39" t="str">
        <f>IF(OR($S678="",Settings!$C$16=""),"",IF($S678&lt;=Settings!$C$16,1,2))</f>
        <v/>
      </c>
      <c r="AK678" s="39" t="str">
        <f>IF($C678="","",IFERROR(IF(INDEX(Settings!$C$20:$C$59,MATCH($C678,Settings!$B$20:$B$59,0))="",Settings!$C$10,INDEX(Settings!$C$20:$C$59,MATCH($C678,Settings!$B$20:$B$59,0))),Settings!$C$10))</f>
        <v/>
      </c>
      <c r="AL678" s="108">
        <f t="shared" si="192"/>
        <v>0</v>
      </c>
      <c r="AM678" s="39" t="str">
        <f t="shared" si="193"/>
        <v/>
      </c>
      <c r="AN678" s="39" t="str">
        <f t="shared" si="194"/>
        <v/>
      </c>
      <c r="AO678" s="39" t="str">
        <f t="shared" si="195"/>
        <v/>
      </c>
      <c r="AP678" s="39">
        <f t="shared" si="196"/>
        <v>0</v>
      </c>
      <c r="AQ678" s="39">
        <f t="shared" si="197"/>
        <v>0</v>
      </c>
    </row>
    <row r="679" spans="14:43" x14ac:dyDescent="0.25">
      <c r="N679" s="105">
        <f t="shared" si="180"/>
        <v>0</v>
      </c>
      <c r="O679" s="106" t="str">
        <f>IF($F679="","",IF(ISNUMBER($F679),$F679+Settings!$C$7/24,IFERROR(DATEVALUE(LEFT($F679,10))+TIMEVALUE(MID($F679,12,8))+Settings!$C$7/24,"")))</f>
        <v/>
      </c>
      <c r="P679" s="106" t="str">
        <f>IF($G679="","",IF(ISNUMBER($G679),$G679+Settings!$C$7/24,IFERROR(DATEVALUE(LEFT($G679,10))+TIMEVALUE(MID($G679,12,8))+Settings!$C$7/24,"")))</f>
        <v/>
      </c>
      <c r="Q679" s="39" t="str">
        <f t="shared" si="181"/>
        <v/>
      </c>
      <c r="R679" s="39" t="str">
        <f t="shared" si="182"/>
        <v/>
      </c>
      <c r="S679" s="107" t="str">
        <f t="shared" si="183"/>
        <v/>
      </c>
      <c r="T679" s="39" t="str">
        <f>IF($C679="","",IF(COUNTIF($C$2:$C679,$C679)=1,1,0))</f>
        <v/>
      </c>
      <c r="U679" s="39" t="str">
        <f>IF($T679=1,COUNTIF($T$2:$T679,1),"")</f>
        <v/>
      </c>
      <c r="V679" s="39" t="str">
        <f>IF($B679="","",IF(COUNTIF($B$2:$B679,$B679)=1,1,0))</f>
        <v/>
      </c>
      <c r="W679" s="39" t="str">
        <f>IF($V679=1,COUNTIF($V$2:$V679,1),"")</f>
        <v/>
      </c>
      <c r="X679" s="39" t="str">
        <f>IF($A679="","",IF(COUNTIF($A$2:$A679,$A679)=1,1,0))</f>
        <v/>
      </c>
      <c r="Y679" s="39" t="str">
        <f>IF($X679=1,COUNTIF($X$2:$X679,1),"")</f>
        <v/>
      </c>
      <c r="Z679" s="39">
        <f>IF(AND($E679="timed",$N679&gt;Settings!$C$8),1,0)</f>
        <v>0</v>
      </c>
      <c r="AA679" s="39">
        <f t="shared" si="184"/>
        <v>0</v>
      </c>
      <c r="AB679" s="39">
        <f t="shared" si="185"/>
        <v>0</v>
      </c>
      <c r="AC679" s="39" t="str">
        <f t="shared" si="186"/>
        <v/>
      </c>
      <c r="AD679" s="39" t="str">
        <f t="shared" si="187"/>
        <v/>
      </c>
      <c r="AE679" s="39" t="str">
        <f t="shared" si="188"/>
        <v/>
      </c>
      <c r="AF679" s="106" t="str">
        <f t="shared" si="189"/>
        <v/>
      </c>
      <c r="AG679" s="39">
        <f t="shared" si="190"/>
        <v>0</v>
      </c>
      <c r="AH679" s="39" t="str">
        <f t="shared" si="191"/>
        <v/>
      </c>
      <c r="AI679" s="39">
        <f>IF(AND($E679="timed",$N679&gt;=Settings!$C$9),1,0)</f>
        <v>0</v>
      </c>
      <c r="AJ679" s="39" t="str">
        <f>IF(OR($S679="",Settings!$C$16=""),"",IF($S679&lt;=Settings!$C$16,1,2))</f>
        <v/>
      </c>
      <c r="AK679" s="39" t="str">
        <f>IF($C679="","",IFERROR(IF(INDEX(Settings!$C$20:$C$59,MATCH($C679,Settings!$B$20:$B$59,0))="",Settings!$C$10,INDEX(Settings!$C$20:$C$59,MATCH($C679,Settings!$B$20:$B$59,0))),Settings!$C$10))</f>
        <v/>
      </c>
      <c r="AL679" s="108">
        <f t="shared" si="192"/>
        <v>0</v>
      </c>
      <c r="AM679" s="39" t="str">
        <f t="shared" si="193"/>
        <v/>
      </c>
      <c r="AN679" s="39" t="str">
        <f t="shared" si="194"/>
        <v/>
      </c>
      <c r="AO679" s="39" t="str">
        <f t="shared" si="195"/>
        <v/>
      </c>
      <c r="AP679" s="39">
        <f t="shared" si="196"/>
        <v>0</v>
      </c>
      <c r="AQ679" s="39">
        <f t="shared" si="197"/>
        <v>0</v>
      </c>
    </row>
    <row r="680" spans="14:43" x14ac:dyDescent="0.25">
      <c r="N680" s="105">
        <f t="shared" si="180"/>
        <v>0</v>
      </c>
      <c r="O680" s="106" t="str">
        <f>IF($F680="","",IF(ISNUMBER($F680),$F680+Settings!$C$7/24,IFERROR(DATEVALUE(LEFT($F680,10))+TIMEVALUE(MID($F680,12,8))+Settings!$C$7/24,"")))</f>
        <v/>
      </c>
      <c r="P680" s="106" t="str">
        <f>IF($G680="","",IF(ISNUMBER($G680),$G680+Settings!$C$7/24,IFERROR(DATEVALUE(LEFT($G680,10))+TIMEVALUE(MID($G680,12,8))+Settings!$C$7/24,"")))</f>
        <v/>
      </c>
      <c r="Q680" s="39" t="str">
        <f t="shared" si="181"/>
        <v/>
      </c>
      <c r="R680" s="39" t="str">
        <f t="shared" si="182"/>
        <v/>
      </c>
      <c r="S680" s="107" t="str">
        <f t="shared" si="183"/>
        <v/>
      </c>
      <c r="T680" s="39" t="str">
        <f>IF($C680="","",IF(COUNTIF($C$2:$C680,$C680)=1,1,0))</f>
        <v/>
      </c>
      <c r="U680" s="39" t="str">
        <f>IF($T680=1,COUNTIF($T$2:$T680,1),"")</f>
        <v/>
      </c>
      <c r="V680" s="39" t="str">
        <f>IF($B680="","",IF(COUNTIF($B$2:$B680,$B680)=1,1,0))</f>
        <v/>
      </c>
      <c r="W680" s="39" t="str">
        <f>IF($V680=1,COUNTIF($V$2:$V680,1),"")</f>
        <v/>
      </c>
      <c r="X680" s="39" t="str">
        <f>IF($A680="","",IF(COUNTIF($A$2:$A680,$A680)=1,1,0))</f>
        <v/>
      </c>
      <c r="Y680" s="39" t="str">
        <f>IF($X680=1,COUNTIF($X$2:$X680,1),"")</f>
        <v/>
      </c>
      <c r="Z680" s="39">
        <f>IF(AND($E680="timed",$N680&gt;Settings!$C$8),1,0)</f>
        <v>0</v>
      </c>
      <c r="AA680" s="39">
        <f t="shared" si="184"/>
        <v>0</v>
      </c>
      <c r="AB680" s="39">
        <f t="shared" si="185"/>
        <v>0</v>
      </c>
      <c r="AC680" s="39" t="str">
        <f t="shared" si="186"/>
        <v/>
      </c>
      <c r="AD680" s="39" t="str">
        <f t="shared" si="187"/>
        <v/>
      </c>
      <c r="AE680" s="39" t="str">
        <f t="shared" si="188"/>
        <v/>
      </c>
      <c r="AF680" s="106" t="str">
        <f t="shared" si="189"/>
        <v/>
      </c>
      <c r="AG680" s="39">
        <f t="shared" si="190"/>
        <v>0</v>
      </c>
      <c r="AH680" s="39" t="str">
        <f t="shared" si="191"/>
        <v/>
      </c>
      <c r="AI680" s="39">
        <f>IF(AND($E680="timed",$N680&gt;=Settings!$C$9),1,0)</f>
        <v>0</v>
      </c>
      <c r="AJ680" s="39" t="str">
        <f>IF(OR($S680="",Settings!$C$16=""),"",IF($S680&lt;=Settings!$C$16,1,2))</f>
        <v/>
      </c>
      <c r="AK680" s="39" t="str">
        <f>IF($C680="","",IFERROR(IF(INDEX(Settings!$C$20:$C$59,MATCH($C680,Settings!$B$20:$B$59,0))="",Settings!$C$10,INDEX(Settings!$C$20:$C$59,MATCH($C680,Settings!$B$20:$B$59,0))),Settings!$C$10))</f>
        <v/>
      </c>
      <c r="AL680" s="108">
        <f t="shared" si="192"/>
        <v>0</v>
      </c>
      <c r="AM680" s="39" t="str">
        <f t="shared" si="193"/>
        <v/>
      </c>
      <c r="AN680" s="39" t="str">
        <f t="shared" si="194"/>
        <v/>
      </c>
      <c r="AO680" s="39" t="str">
        <f t="shared" si="195"/>
        <v/>
      </c>
      <c r="AP680" s="39">
        <f t="shared" si="196"/>
        <v>0</v>
      </c>
      <c r="AQ680" s="39">
        <f t="shared" si="197"/>
        <v>0</v>
      </c>
    </row>
    <row r="681" spans="14:43" x14ac:dyDescent="0.25">
      <c r="N681" s="105">
        <f t="shared" si="180"/>
        <v>0</v>
      </c>
      <c r="O681" s="106" t="str">
        <f>IF($F681="","",IF(ISNUMBER($F681),$F681+Settings!$C$7/24,IFERROR(DATEVALUE(LEFT($F681,10))+TIMEVALUE(MID($F681,12,8))+Settings!$C$7/24,"")))</f>
        <v/>
      </c>
      <c r="P681" s="106" t="str">
        <f>IF($G681="","",IF(ISNUMBER($G681),$G681+Settings!$C$7/24,IFERROR(DATEVALUE(LEFT($G681,10))+TIMEVALUE(MID($G681,12,8))+Settings!$C$7/24,"")))</f>
        <v/>
      </c>
      <c r="Q681" s="39" t="str">
        <f t="shared" si="181"/>
        <v/>
      </c>
      <c r="R681" s="39" t="str">
        <f t="shared" si="182"/>
        <v/>
      </c>
      <c r="S681" s="107" t="str">
        <f t="shared" si="183"/>
        <v/>
      </c>
      <c r="T681" s="39" t="str">
        <f>IF($C681="","",IF(COUNTIF($C$2:$C681,$C681)=1,1,0))</f>
        <v/>
      </c>
      <c r="U681" s="39" t="str">
        <f>IF($T681=1,COUNTIF($T$2:$T681,1),"")</f>
        <v/>
      </c>
      <c r="V681" s="39" t="str">
        <f>IF($B681="","",IF(COUNTIF($B$2:$B681,$B681)=1,1,0))</f>
        <v/>
      </c>
      <c r="W681" s="39" t="str">
        <f>IF($V681=1,COUNTIF($V$2:$V681,1),"")</f>
        <v/>
      </c>
      <c r="X681" s="39" t="str">
        <f>IF($A681="","",IF(COUNTIF($A$2:$A681,$A681)=1,1,0))</f>
        <v/>
      </c>
      <c r="Y681" s="39" t="str">
        <f>IF($X681=1,COUNTIF($X$2:$X681,1),"")</f>
        <v/>
      </c>
      <c r="Z681" s="39">
        <f>IF(AND($E681="timed",$N681&gt;Settings!$C$8),1,0)</f>
        <v>0</v>
      </c>
      <c r="AA681" s="39">
        <f t="shared" si="184"/>
        <v>0</v>
      </c>
      <c r="AB681" s="39">
        <f t="shared" si="185"/>
        <v>0</v>
      </c>
      <c r="AC681" s="39" t="str">
        <f t="shared" si="186"/>
        <v/>
      </c>
      <c r="AD681" s="39" t="str">
        <f t="shared" si="187"/>
        <v/>
      </c>
      <c r="AE681" s="39" t="str">
        <f t="shared" si="188"/>
        <v/>
      </c>
      <c r="AF681" s="106" t="str">
        <f t="shared" si="189"/>
        <v/>
      </c>
      <c r="AG681" s="39">
        <f t="shared" si="190"/>
        <v>0</v>
      </c>
      <c r="AH681" s="39" t="str">
        <f t="shared" si="191"/>
        <v/>
      </c>
      <c r="AI681" s="39">
        <f>IF(AND($E681="timed",$N681&gt;=Settings!$C$9),1,0)</f>
        <v>0</v>
      </c>
      <c r="AJ681" s="39" t="str">
        <f>IF(OR($S681="",Settings!$C$16=""),"",IF($S681&lt;=Settings!$C$16,1,2))</f>
        <v/>
      </c>
      <c r="AK681" s="39" t="str">
        <f>IF($C681="","",IFERROR(IF(INDEX(Settings!$C$20:$C$59,MATCH($C681,Settings!$B$20:$B$59,0))="",Settings!$C$10,INDEX(Settings!$C$20:$C$59,MATCH($C681,Settings!$B$20:$B$59,0))),Settings!$C$10))</f>
        <v/>
      </c>
      <c r="AL681" s="108">
        <f t="shared" si="192"/>
        <v>0</v>
      </c>
      <c r="AM681" s="39" t="str">
        <f t="shared" si="193"/>
        <v/>
      </c>
      <c r="AN681" s="39" t="str">
        <f t="shared" si="194"/>
        <v/>
      </c>
      <c r="AO681" s="39" t="str">
        <f t="shared" si="195"/>
        <v/>
      </c>
      <c r="AP681" s="39">
        <f t="shared" si="196"/>
        <v>0</v>
      </c>
      <c r="AQ681" s="39">
        <f t="shared" si="197"/>
        <v>0</v>
      </c>
    </row>
    <row r="682" spans="14:43" x14ac:dyDescent="0.25">
      <c r="N682" s="105">
        <f t="shared" si="180"/>
        <v>0</v>
      </c>
      <c r="O682" s="106" t="str">
        <f>IF($F682="","",IF(ISNUMBER($F682),$F682+Settings!$C$7/24,IFERROR(DATEVALUE(LEFT($F682,10))+TIMEVALUE(MID($F682,12,8))+Settings!$C$7/24,"")))</f>
        <v/>
      </c>
      <c r="P682" s="106" t="str">
        <f>IF($G682="","",IF(ISNUMBER($G682),$G682+Settings!$C$7/24,IFERROR(DATEVALUE(LEFT($G682,10))+TIMEVALUE(MID($G682,12,8))+Settings!$C$7/24,"")))</f>
        <v/>
      </c>
      <c r="Q682" s="39" t="str">
        <f t="shared" si="181"/>
        <v/>
      </c>
      <c r="R682" s="39" t="str">
        <f t="shared" si="182"/>
        <v/>
      </c>
      <c r="S682" s="107" t="str">
        <f t="shared" si="183"/>
        <v/>
      </c>
      <c r="T682" s="39" t="str">
        <f>IF($C682="","",IF(COUNTIF($C$2:$C682,$C682)=1,1,0))</f>
        <v/>
      </c>
      <c r="U682" s="39" t="str">
        <f>IF($T682=1,COUNTIF($T$2:$T682,1),"")</f>
        <v/>
      </c>
      <c r="V682" s="39" t="str">
        <f>IF($B682="","",IF(COUNTIF($B$2:$B682,$B682)=1,1,0))</f>
        <v/>
      </c>
      <c r="W682" s="39" t="str">
        <f>IF($V682=1,COUNTIF($V$2:$V682,1),"")</f>
        <v/>
      </c>
      <c r="X682" s="39" t="str">
        <f>IF($A682="","",IF(COUNTIF($A$2:$A682,$A682)=1,1,0))</f>
        <v/>
      </c>
      <c r="Y682" s="39" t="str">
        <f>IF($X682=1,COUNTIF($X$2:$X682,1),"")</f>
        <v/>
      </c>
      <c r="Z682" s="39">
        <f>IF(AND($E682="timed",$N682&gt;Settings!$C$8),1,0)</f>
        <v>0</v>
      </c>
      <c r="AA682" s="39">
        <f t="shared" si="184"/>
        <v>0</v>
      </c>
      <c r="AB682" s="39">
        <f t="shared" si="185"/>
        <v>0</v>
      </c>
      <c r="AC682" s="39" t="str">
        <f t="shared" si="186"/>
        <v/>
      </c>
      <c r="AD682" s="39" t="str">
        <f t="shared" si="187"/>
        <v/>
      </c>
      <c r="AE682" s="39" t="str">
        <f t="shared" si="188"/>
        <v/>
      </c>
      <c r="AF682" s="106" t="str">
        <f t="shared" si="189"/>
        <v/>
      </c>
      <c r="AG682" s="39">
        <f t="shared" si="190"/>
        <v>0</v>
      </c>
      <c r="AH682" s="39" t="str">
        <f t="shared" si="191"/>
        <v/>
      </c>
      <c r="AI682" s="39">
        <f>IF(AND($E682="timed",$N682&gt;=Settings!$C$9),1,0)</f>
        <v>0</v>
      </c>
      <c r="AJ682" s="39" t="str">
        <f>IF(OR($S682="",Settings!$C$16=""),"",IF($S682&lt;=Settings!$C$16,1,2))</f>
        <v/>
      </c>
      <c r="AK682" s="39" t="str">
        <f>IF($C682="","",IFERROR(IF(INDEX(Settings!$C$20:$C$59,MATCH($C682,Settings!$B$20:$B$59,0))="",Settings!$C$10,INDEX(Settings!$C$20:$C$59,MATCH($C682,Settings!$B$20:$B$59,0))),Settings!$C$10))</f>
        <v/>
      </c>
      <c r="AL682" s="108">
        <f t="shared" si="192"/>
        <v>0</v>
      </c>
      <c r="AM682" s="39" t="str">
        <f t="shared" si="193"/>
        <v/>
      </c>
      <c r="AN682" s="39" t="str">
        <f t="shared" si="194"/>
        <v/>
      </c>
      <c r="AO682" s="39" t="str">
        <f t="shared" si="195"/>
        <v/>
      </c>
      <c r="AP682" s="39">
        <f t="shared" si="196"/>
        <v>0</v>
      </c>
      <c r="AQ682" s="39">
        <f t="shared" si="197"/>
        <v>0</v>
      </c>
    </row>
    <row r="683" spans="14:43" x14ac:dyDescent="0.25">
      <c r="N683" s="105">
        <f t="shared" si="180"/>
        <v>0</v>
      </c>
      <c r="O683" s="106" t="str">
        <f>IF($F683="","",IF(ISNUMBER($F683),$F683+Settings!$C$7/24,IFERROR(DATEVALUE(LEFT($F683,10))+TIMEVALUE(MID($F683,12,8))+Settings!$C$7/24,"")))</f>
        <v/>
      </c>
      <c r="P683" s="106" t="str">
        <f>IF($G683="","",IF(ISNUMBER($G683),$G683+Settings!$C$7/24,IFERROR(DATEVALUE(LEFT($G683,10))+TIMEVALUE(MID($G683,12,8))+Settings!$C$7/24,"")))</f>
        <v/>
      </c>
      <c r="Q683" s="39" t="str">
        <f t="shared" si="181"/>
        <v/>
      </c>
      <c r="R683" s="39" t="str">
        <f t="shared" si="182"/>
        <v/>
      </c>
      <c r="S683" s="107" t="str">
        <f t="shared" si="183"/>
        <v/>
      </c>
      <c r="T683" s="39" t="str">
        <f>IF($C683="","",IF(COUNTIF($C$2:$C683,$C683)=1,1,0))</f>
        <v/>
      </c>
      <c r="U683" s="39" t="str">
        <f>IF($T683=1,COUNTIF($T$2:$T683,1),"")</f>
        <v/>
      </c>
      <c r="V683" s="39" t="str">
        <f>IF($B683="","",IF(COUNTIF($B$2:$B683,$B683)=1,1,0))</f>
        <v/>
      </c>
      <c r="W683" s="39" t="str">
        <f>IF($V683=1,COUNTIF($V$2:$V683,1),"")</f>
        <v/>
      </c>
      <c r="X683" s="39" t="str">
        <f>IF($A683="","",IF(COUNTIF($A$2:$A683,$A683)=1,1,0))</f>
        <v/>
      </c>
      <c r="Y683" s="39" t="str">
        <f>IF($X683=1,COUNTIF($X$2:$X683,1),"")</f>
        <v/>
      </c>
      <c r="Z683" s="39">
        <f>IF(AND($E683="timed",$N683&gt;Settings!$C$8),1,0)</f>
        <v>0</v>
      </c>
      <c r="AA683" s="39">
        <f t="shared" si="184"/>
        <v>0</v>
      </c>
      <c r="AB683" s="39">
        <f t="shared" si="185"/>
        <v>0</v>
      </c>
      <c r="AC683" s="39" t="str">
        <f t="shared" si="186"/>
        <v/>
      </c>
      <c r="AD683" s="39" t="str">
        <f t="shared" si="187"/>
        <v/>
      </c>
      <c r="AE683" s="39" t="str">
        <f t="shared" si="188"/>
        <v/>
      </c>
      <c r="AF683" s="106" t="str">
        <f t="shared" si="189"/>
        <v/>
      </c>
      <c r="AG683" s="39">
        <f t="shared" si="190"/>
        <v>0</v>
      </c>
      <c r="AH683" s="39" t="str">
        <f t="shared" si="191"/>
        <v/>
      </c>
      <c r="AI683" s="39">
        <f>IF(AND($E683="timed",$N683&gt;=Settings!$C$9),1,0)</f>
        <v>0</v>
      </c>
      <c r="AJ683" s="39" t="str">
        <f>IF(OR($S683="",Settings!$C$16=""),"",IF($S683&lt;=Settings!$C$16,1,2))</f>
        <v/>
      </c>
      <c r="AK683" s="39" t="str">
        <f>IF($C683="","",IFERROR(IF(INDEX(Settings!$C$20:$C$59,MATCH($C683,Settings!$B$20:$B$59,0))="",Settings!$C$10,INDEX(Settings!$C$20:$C$59,MATCH($C683,Settings!$B$20:$B$59,0))),Settings!$C$10))</f>
        <v/>
      </c>
      <c r="AL683" s="108">
        <f t="shared" si="192"/>
        <v>0</v>
      </c>
      <c r="AM683" s="39" t="str">
        <f t="shared" si="193"/>
        <v/>
      </c>
      <c r="AN683" s="39" t="str">
        <f t="shared" si="194"/>
        <v/>
      </c>
      <c r="AO683" s="39" t="str">
        <f t="shared" si="195"/>
        <v/>
      </c>
      <c r="AP683" s="39">
        <f t="shared" si="196"/>
        <v>0</v>
      </c>
      <c r="AQ683" s="39">
        <f t="shared" si="197"/>
        <v>0</v>
      </c>
    </row>
    <row r="684" spans="14:43" x14ac:dyDescent="0.25">
      <c r="N684" s="105">
        <f t="shared" si="180"/>
        <v>0</v>
      </c>
      <c r="O684" s="106" t="str">
        <f>IF($F684="","",IF(ISNUMBER($F684),$F684+Settings!$C$7/24,IFERROR(DATEVALUE(LEFT($F684,10))+TIMEVALUE(MID($F684,12,8))+Settings!$C$7/24,"")))</f>
        <v/>
      </c>
      <c r="P684" s="106" t="str">
        <f>IF($G684="","",IF(ISNUMBER($G684),$G684+Settings!$C$7/24,IFERROR(DATEVALUE(LEFT($G684,10))+TIMEVALUE(MID($G684,12,8))+Settings!$C$7/24,"")))</f>
        <v/>
      </c>
      <c r="Q684" s="39" t="str">
        <f t="shared" si="181"/>
        <v/>
      </c>
      <c r="R684" s="39" t="str">
        <f t="shared" si="182"/>
        <v/>
      </c>
      <c r="S684" s="107" t="str">
        <f t="shared" si="183"/>
        <v/>
      </c>
      <c r="T684" s="39" t="str">
        <f>IF($C684="","",IF(COUNTIF($C$2:$C684,$C684)=1,1,0))</f>
        <v/>
      </c>
      <c r="U684" s="39" t="str">
        <f>IF($T684=1,COUNTIF($T$2:$T684,1),"")</f>
        <v/>
      </c>
      <c r="V684" s="39" t="str">
        <f>IF($B684="","",IF(COUNTIF($B$2:$B684,$B684)=1,1,0))</f>
        <v/>
      </c>
      <c r="W684" s="39" t="str">
        <f>IF($V684=1,COUNTIF($V$2:$V684,1),"")</f>
        <v/>
      </c>
      <c r="X684" s="39" t="str">
        <f>IF($A684="","",IF(COUNTIF($A$2:$A684,$A684)=1,1,0))</f>
        <v/>
      </c>
      <c r="Y684" s="39" t="str">
        <f>IF($X684=1,COUNTIF($X$2:$X684,1),"")</f>
        <v/>
      </c>
      <c r="Z684" s="39">
        <f>IF(AND($E684="timed",$N684&gt;Settings!$C$8),1,0)</f>
        <v>0</v>
      </c>
      <c r="AA684" s="39">
        <f t="shared" si="184"/>
        <v>0</v>
      </c>
      <c r="AB684" s="39">
        <f t="shared" si="185"/>
        <v>0</v>
      </c>
      <c r="AC684" s="39" t="str">
        <f t="shared" si="186"/>
        <v/>
      </c>
      <c r="AD684" s="39" t="str">
        <f t="shared" si="187"/>
        <v/>
      </c>
      <c r="AE684" s="39" t="str">
        <f t="shared" si="188"/>
        <v/>
      </c>
      <c r="AF684" s="106" t="str">
        <f t="shared" si="189"/>
        <v/>
      </c>
      <c r="AG684" s="39">
        <f t="shared" si="190"/>
        <v>0</v>
      </c>
      <c r="AH684" s="39" t="str">
        <f t="shared" si="191"/>
        <v/>
      </c>
      <c r="AI684" s="39">
        <f>IF(AND($E684="timed",$N684&gt;=Settings!$C$9),1,0)</f>
        <v>0</v>
      </c>
      <c r="AJ684" s="39" t="str">
        <f>IF(OR($S684="",Settings!$C$16=""),"",IF($S684&lt;=Settings!$C$16,1,2))</f>
        <v/>
      </c>
      <c r="AK684" s="39" t="str">
        <f>IF($C684="","",IFERROR(IF(INDEX(Settings!$C$20:$C$59,MATCH($C684,Settings!$B$20:$B$59,0))="",Settings!$C$10,INDEX(Settings!$C$20:$C$59,MATCH($C684,Settings!$B$20:$B$59,0))),Settings!$C$10))</f>
        <v/>
      </c>
      <c r="AL684" s="108">
        <f t="shared" si="192"/>
        <v>0</v>
      </c>
      <c r="AM684" s="39" t="str">
        <f t="shared" si="193"/>
        <v/>
      </c>
      <c r="AN684" s="39" t="str">
        <f t="shared" si="194"/>
        <v/>
      </c>
      <c r="AO684" s="39" t="str">
        <f t="shared" si="195"/>
        <v/>
      </c>
      <c r="AP684" s="39">
        <f t="shared" si="196"/>
        <v>0</v>
      </c>
      <c r="AQ684" s="39">
        <f t="shared" si="197"/>
        <v>0</v>
      </c>
    </row>
    <row r="685" spans="14:43" x14ac:dyDescent="0.25">
      <c r="N685" s="105">
        <f t="shared" si="180"/>
        <v>0</v>
      </c>
      <c r="O685" s="106" t="str">
        <f>IF($F685="","",IF(ISNUMBER($F685),$F685+Settings!$C$7/24,IFERROR(DATEVALUE(LEFT($F685,10))+TIMEVALUE(MID($F685,12,8))+Settings!$C$7/24,"")))</f>
        <v/>
      </c>
      <c r="P685" s="106" t="str">
        <f>IF($G685="","",IF(ISNUMBER($G685),$G685+Settings!$C$7/24,IFERROR(DATEVALUE(LEFT($G685,10))+TIMEVALUE(MID($G685,12,8))+Settings!$C$7/24,"")))</f>
        <v/>
      </c>
      <c r="Q685" s="39" t="str">
        <f t="shared" si="181"/>
        <v/>
      </c>
      <c r="R685" s="39" t="str">
        <f t="shared" si="182"/>
        <v/>
      </c>
      <c r="S685" s="107" t="str">
        <f t="shared" si="183"/>
        <v/>
      </c>
      <c r="T685" s="39" t="str">
        <f>IF($C685="","",IF(COUNTIF($C$2:$C685,$C685)=1,1,0))</f>
        <v/>
      </c>
      <c r="U685" s="39" t="str">
        <f>IF($T685=1,COUNTIF($T$2:$T685,1),"")</f>
        <v/>
      </c>
      <c r="V685" s="39" t="str">
        <f>IF($B685="","",IF(COUNTIF($B$2:$B685,$B685)=1,1,0))</f>
        <v/>
      </c>
      <c r="W685" s="39" t="str">
        <f>IF($V685=1,COUNTIF($V$2:$V685,1),"")</f>
        <v/>
      </c>
      <c r="X685" s="39" t="str">
        <f>IF($A685="","",IF(COUNTIF($A$2:$A685,$A685)=1,1,0))</f>
        <v/>
      </c>
      <c r="Y685" s="39" t="str">
        <f>IF($X685=1,COUNTIF($X$2:$X685,1),"")</f>
        <v/>
      </c>
      <c r="Z685" s="39">
        <f>IF(AND($E685="timed",$N685&gt;Settings!$C$8),1,0)</f>
        <v>0</v>
      </c>
      <c r="AA685" s="39">
        <f t="shared" si="184"/>
        <v>0</v>
      </c>
      <c r="AB685" s="39">
        <f t="shared" si="185"/>
        <v>0</v>
      </c>
      <c r="AC685" s="39" t="str">
        <f t="shared" si="186"/>
        <v/>
      </c>
      <c r="AD685" s="39" t="str">
        <f t="shared" si="187"/>
        <v/>
      </c>
      <c r="AE685" s="39" t="str">
        <f t="shared" si="188"/>
        <v/>
      </c>
      <c r="AF685" s="106" t="str">
        <f t="shared" si="189"/>
        <v/>
      </c>
      <c r="AG685" s="39">
        <f t="shared" si="190"/>
        <v>0</v>
      </c>
      <c r="AH685" s="39" t="str">
        <f t="shared" si="191"/>
        <v/>
      </c>
      <c r="AI685" s="39">
        <f>IF(AND($E685="timed",$N685&gt;=Settings!$C$9),1,0)</f>
        <v>0</v>
      </c>
      <c r="AJ685" s="39" t="str">
        <f>IF(OR($S685="",Settings!$C$16=""),"",IF($S685&lt;=Settings!$C$16,1,2))</f>
        <v/>
      </c>
      <c r="AK685" s="39" t="str">
        <f>IF($C685="","",IFERROR(IF(INDEX(Settings!$C$20:$C$59,MATCH($C685,Settings!$B$20:$B$59,0))="",Settings!$C$10,INDEX(Settings!$C$20:$C$59,MATCH($C685,Settings!$B$20:$B$59,0))),Settings!$C$10))</f>
        <v/>
      </c>
      <c r="AL685" s="108">
        <f t="shared" si="192"/>
        <v>0</v>
      </c>
      <c r="AM685" s="39" t="str">
        <f t="shared" si="193"/>
        <v/>
      </c>
      <c r="AN685" s="39" t="str">
        <f t="shared" si="194"/>
        <v/>
      </c>
      <c r="AO685" s="39" t="str">
        <f t="shared" si="195"/>
        <v/>
      </c>
      <c r="AP685" s="39">
        <f t="shared" si="196"/>
        <v>0</v>
      </c>
      <c r="AQ685" s="39">
        <f t="shared" si="197"/>
        <v>0</v>
      </c>
    </row>
    <row r="686" spans="14:43" x14ac:dyDescent="0.25">
      <c r="N686" s="105">
        <f t="shared" si="180"/>
        <v>0</v>
      </c>
      <c r="O686" s="106" t="str">
        <f>IF($F686="","",IF(ISNUMBER($F686),$F686+Settings!$C$7/24,IFERROR(DATEVALUE(LEFT($F686,10))+TIMEVALUE(MID($F686,12,8))+Settings!$C$7/24,"")))</f>
        <v/>
      </c>
      <c r="P686" s="106" t="str">
        <f>IF($G686="","",IF(ISNUMBER($G686),$G686+Settings!$C$7/24,IFERROR(DATEVALUE(LEFT($G686,10))+TIMEVALUE(MID($G686,12,8))+Settings!$C$7/24,"")))</f>
        <v/>
      </c>
      <c r="Q686" s="39" t="str">
        <f t="shared" si="181"/>
        <v/>
      </c>
      <c r="R686" s="39" t="str">
        <f t="shared" si="182"/>
        <v/>
      </c>
      <c r="S686" s="107" t="str">
        <f t="shared" si="183"/>
        <v/>
      </c>
      <c r="T686" s="39" t="str">
        <f>IF($C686="","",IF(COUNTIF($C$2:$C686,$C686)=1,1,0))</f>
        <v/>
      </c>
      <c r="U686" s="39" t="str">
        <f>IF($T686=1,COUNTIF($T$2:$T686,1),"")</f>
        <v/>
      </c>
      <c r="V686" s="39" t="str">
        <f>IF($B686="","",IF(COUNTIF($B$2:$B686,$B686)=1,1,0))</f>
        <v/>
      </c>
      <c r="W686" s="39" t="str">
        <f>IF($V686=1,COUNTIF($V$2:$V686,1),"")</f>
        <v/>
      </c>
      <c r="X686" s="39" t="str">
        <f>IF($A686="","",IF(COUNTIF($A$2:$A686,$A686)=1,1,0))</f>
        <v/>
      </c>
      <c r="Y686" s="39" t="str">
        <f>IF($X686=1,COUNTIF($X$2:$X686,1),"")</f>
        <v/>
      </c>
      <c r="Z686" s="39">
        <f>IF(AND($E686="timed",$N686&gt;Settings!$C$8),1,0)</f>
        <v>0</v>
      </c>
      <c r="AA686" s="39">
        <f t="shared" si="184"/>
        <v>0</v>
      </c>
      <c r="AB686" s="39">
        <f t="shared" si="185"/>
        <v>0</v>
      </c>
      <c r="AC686" s="39" t="str">
        <f t="shared" si="186"/>
        <v/>
      </c>
      <c r="AD686" s="39" t="str">
        <f t="shared" si="187"/>
        <v/>
      </c>
      <c r="AE686" s="39" t="str">
        <f t="shared" si="188"/>
        <v/>
      </c>
      <c r="AF686" s="106" t="str">
        <f t="shared" si="189"/>
        <v/>
      </c>
      <c r="AG686" s="39">
        <f t="shared" si="190"/>
        <v>0</v>
      </c>
      <c r="AH686" s="39" t="str">
        <f t="shared" si="191"/>
        <v/>
      </c>
      <c r="AI686" s="39">
        <f>IF(AND($E686="timed",$N686&gt;=Settings!$C$9),1,0)</f>
        <v>0</v>
      </c>
      <c r="AJ686" s="39" t="str">
        <f>IF(OR($S686="",Settings!$C$16=""),"",IF($S686&lt;=Settings!$C$16,1,2))</f>
        <v/>
      </c>
      <c r="AK686" s="39" t="str">
        <f>IF($C686="","",IFERROR(IF(INDEX(Settings!$C$20:$C$59,MATCH($C686,Settings!$B$20:$B$59,0))="",Settings!$C$10,INDEX(Settings!$C$20:$C$59,MATCH($C686,Settings!$B$20:$B$59,0))),Settings!$C$10))</f>
        <v/>
      </c>
      <c r="AL686" s="108">
        <f t="shared" si="192"/>
        <v>0</v>
      </c>
      <c r="AM686" s="39" t="str">
        <f t="shared" si="193"/>
        <v/>
      </c>
      <c r="AN686" s="39" t="str">
        <f t="shared" si="194"/>
        <v/>
      </c>
      <c r="AO686" s="39" t="str">
        <f t="shared" si="195"/>
        <v/>
      </c>
      <c r="AP686" s="39">
        <f t="shared" si="196"/>
        <v>0</v>
      </c>
      <c r="AQ686" s="39">
        <f t="shared" si="197"/>
        <v>0</v>
      </c>
    </row>
    <row r="687" spans="14:43" x14ac:dyDescent="0.25">
      <c r="N687" s="105">
        <f t="shared" si="180"/>
        <v>0</v>
      </c>
      <c r="O687" s="106" t="str">
        <f>IF($F687="","",IF(ISNUMBER($F687),$F687+Settings!$C$7/24,IFERROR(DATEVALUE(LEFT($F687,10))+TIMEVALUE(MID($F687,12,8))+Settings!$C$7/24,"")))</f>
        <v/>
      </c>
      <c r="P687" s="106" t="str">
        <f>IF($G687="","",IF(ISNUMBER($G687),$G687+Settings!$C$7/24,IFERROR(DATEVALUE(LEFT($G687,10))+TIMEVALUE(MID($G687,12,8))+Settings!$C$7/24,"")))</f>
        <v/>
      </c>
      <c r="Q687" s="39" t="str">
        <f t="shared" si="181"/>
        <v/>
      </c>
      <c r="R687" s="39" t="str">
        <f t="shared" si="182"/>
        <v/>
      </c>
      <c r="S687" s="107" t="str">
        <f t="shared" si="183"/>
        <v/>
      </c>
      <c r="T687" s="39" t="str">
        <f>IF($C687="","",IF(COUNTIF($C$2:$C687,$C687)=1,1,0))</f>
        <v/>
      </c>
      <c r="U687" s="39" t="str">
        <f>IF($T687=1,COUNTIF($T$2:$T687,1),"")</f>
        <v/>
      </c>
      <c r="V687" s="39" t="str">
        <f>IF($B687="","",IF(COUNTIF($B$2:$B687,$B687)=1,1,0))</f>
        <v/>
      </c>
      <c r="W687" s="39" t="str">
        <f>IF($V687=1,COUNTIF($V$2:$V687,1),"")</f>
        <v/>
      </c>
      <c r="X687" s="39" t="str">
        <f>IF($A687="","",IF(COUNTIF($A$2:$A687,$A687)=1,1,0))</f>
        <v/>
      </c>
      <c r="Y687" s="39" t="str">
        <f>IF($X687=1,COUNTIF($X$2:$X687,1),"")</f>
        <v/>
      </c>
      <c r="Z687" s="39">
        <f>IF(AND($E687="timed",$N687&gt;Settings!$C$8),1,0)</f>
        <v>0</v>
      </c>
      <c r="AA687" s="39">
        <f t="shared" si="184"/>
        <v>0</v>
      </c>
      <c r="AB687" s="39">
        <f t="shared" si="185"/>
        <v>0</v>
      </c>
      <c r="AC687" s="39" t="str">
        <f t="shared" si="186"/>
        <v/>
      </c>
      <c r="AD687" s="39" t="str">
        <f t="shared" si="187"/>
        <v/>
      </c>
      <c r="AE687" s="39" t="str">
        <f t="shared" si="188"/>
        <v/>
      </c>
      <c r="AF687" s="106" t="str">
        <f t="shared" si="189"/>
        <v/>
      </c>
      <c r="AG687" s="39">
        <f t="shared" si="190"/>
        <v>0</v>
      </c>
      <c r="AH687" s="39" t="str">
        <f t="shared" si="191"/>
        <v/>
      </c>
      <c r="AI687" s="39">
        <f>IF(AND($E687="timed",$N687&gt;=Settings!$C$9),1,0)</f>
        <v>0</v>
      </c>
      <c r="AJ687" s="39" t="str">
        <f>IF(OR($S687="",Settings!$C$16=""),"",IF($S687&lt;=Settings!$C$16,1,2))</f>
        <v/>
      </c>
      <c r="AK687" s="39" t="str">
        <f>IF($C687="","",IFERROR(IF(INDEX(Settings!$C$20:$C$59,MATCH($C687,Settings!$B$20:$B$59,0))="",Settings!$C$10,INDEX(Settings!$C$20:$C$59,MATCH($C687,Settings!$B$20:$B$59,0))),Settings!$C$10))</f>
        <v/>
      </c>
      <c r="AL687" s="108">
        <f t="shared" si="192"/>
        <v>0</v>
      </c>
      <c r="AM687" s="39" t="str">
        <f t="shared" si="193"/>
        <v/>
      </c>
      <c r="AN687" s="39" t="str">
        <f t="shared" si="194"/>
        <v/>
      </c>
      <c r="AO687" s="39" t="str">
        <f t="shared" si="195"/>
        <v/>
      </c>
      <c r="AP687" s="39">
        <f t="shared" si="196"/>
        <v>0</v>
      </c>
      <c r="AQ687" s="39">
        <f t="shared" si="197"/>
        <v>0</v>
      </c>
    </row>
    <row r="688" spans="14:43" x14ac:dyDescent="0.25">
      <c r="N688" s="105">
        <f t="shared" si="180"/>
        <v>0</v>
      </c>
      <c r="O688" s="106" t="str">
        <f>IF($F688="","",IF(ISNUMBER($F688),$F688+Settings!$C$7/24,IFERROR(DATEVALUE(LEFT($F688,10))+TIMEVALUE(MID($F688,12,8))+Settings!$C$7/24,"")))</f>
        <v/>
      </c>
      <c r="P688" s="106" t="str">
        <f>IF($G688="","",IF(ISNUMBER($G688),$G688+Settings!$C$7/24,IFERROR(DATEVALUE(LEFT($G688,10))+TIMEVALUE(MID($G688,12,8))+Settings!$C$7/24,"")))</f>
        <v/>
      </c>
      <c r="Q688" s="39" t="str">
        <f t="shared" si="181"/>
        <v/>
      </c>
      <c r="R688" s="39" t="str">
        <f t="shared" si="182"/>
        <v/>
      </c>
      <c r="S688" s="107" t="str">
        <f t="shared" si="183"/>
        <v/>
      </c>
      <c r="T688" s="39" t="str">
        <f>IF($C688="","",IF(COUNTIF($C$2:$C688,$C688)=1,1,0))</f>
        <v/>
      </c>
      <c r="U688" s="39" t="str">
        <f>IF($T688=1,COUNTIF($T$2:$T688,1),"")</f>
        <v/>
      </c>
      <c r="V688" s="39" t="str">
        <f>IF($B688="","",IF(COUNTIF($B$2:$B688,$B688)=1,1,0))</f>
        <v/>
      </c>
      <c r="W688" s="39" t="str">
        <f>IF($V688=1,COUNTIF($V$2:$V688,1),"")</f>
        <v/>
      </c>
      <c r="X688" s="39" t="str">
        <f>IF($A688="","",IF(COUNTIF($A$2:$A688,$A688)=1,1,0))</f>
        <v/>
      </c>
      <c r="Y688" s="39" t="str">
        <f>IF($X688=1,COUNTIF($X$2:$X688,1),"")</f>
        <v/>
      </c>
      <c r="Z688" s="39">
        <f>IF(AND($E688="timed",$N688&gt;Settings!$C$8),1,0)</f>
        <v>0</v>
      </c>
      <c r="AA688" s="39">
        <f t="shared" si="184"/>
        <v>0</v>
      </c>
      <c r="AB688" s="39">
        <f t="shared" si="185"/>
        <v>0</v>
      </c>
      <c r="AC688" s="39" t="str">
        <f t="shared" si="186"/>
        <v/>
      </c>
      <c r="AD688" s="39" t="str">
        <f t="shared" si="187"/>
        <v/>
      </c>
      <c r="AE688" s="39" t="str">
        <f t="shared" si="188"/>
        <v/>
      </c>
      <c r="AF688" s="106" t="str">
        <f t="shared" si="189"/>
        <v/>
      </c>
      <c r="AG688" s="39">
        <f t="shared" si="190"/>
        <v>0</v>
      </c>
      <c r="AH688" s="39" t="str">
        <f t="shared" si="191"/>
        <v/>
      </c>
      <c r="AI688" s="39">
        <f>IF(AND($E688="timed",$N688&gt;=Settings!$C$9),1,0)</f>
        <v>0</v>
      </c>
      <c r="AJ688" s="39" t="str">
        <f>IF(OR($S688="",Settings!$C$16=""),"",IF($S688&lt;=Settings!$C$16,1,2))</f>
        <v/>
      </c>
      <c r="AK688" s="39" t="str">
        <f>IF($C688="","",IFERROR(IF(INDEX(Settings!$C$20:$C$59,MATCH($C688,Settings!$B$20:$B$59,0))="",Settings!$C$10,INDEX(Settings!$C$20:$C$59,MATCH($C688,Settings!$B$20:$B$59,0))),Settings!$C$10))</f>
        <v/>
      </c>
      <c r="AL688" s="108">
        <f t="shared" si="192"/>
        <v>0</v>
      </c>
      <c r="AM688" s="39" t="str">
        <f t="shared" si="193"/>
        <v/>
      </c>
      <c r="AN688" s="39" t="str">
        <f t="shared" si="194"/>
        <v/>
      </c>
      <c r="AO688" s="39" t="str">
        <f t="shared" si="195"/>
        <v/>
      </c>
      <c r="AP688" s="39">
        <f t="shared" si="196"/>
        <v>0</v>
      </c>
      <c r="AQ688" s="39">
        <f t="shared" si="197"/>
        <v>0</v>
      </c>
    </row>
    <row r="689" spans="14:43" x14ac:dyDescent="0.25">
      <c r="N689" s="105">
        <f t="shared" si="180"/>
        <v>0</v>
      </c>
      <c r="O689" s="106" t="str">
        <f>IF($F689="","",IF(ISNUMBER($F689),$F689+Settings!$C$7/24,IFERROR(DATEVALUE(LEFT($F689,10))+TIMEVALUE(MID($F689,12,8))+Settings!$C$7/24,"")))</f>
        <v/>
      </c>
      <c r="P689" s="106" t="str">
        <f>IF($G689="","",IF(ISNUMBER($G689),$G689+Settings!$C$7/24,IFERROR(DATEVALUE(LEFT($G689,10))+TIMEVALUE(MID($G689,12,8))+Settings!$C$7/24,"")))</f>
        <v/>
      </c>
      <c r="Q689" s="39" t="str">
        <f t="shared" si="181"/>
        <v/>
      </c>
      <c r="R689" s="39" t="str">
        <f t="shared" si="182"/>
        <v/>
      </c>
      <c r="S689" s="107" t="str">
        <f t="shared" si="183"/>
        <v/>
      </c>
      <c r="T689" s="39" t="str">
        <f>IF($C689="","",IF(COUNTIF($C$2:$C689,$C689)=1,1,0))</f>
        <v/>
      </c>
      <c r="U689" s="39" t="str">
        <f>IF($T689=1,COUNTIF($T$2:$T689,1),"")</f>
        <v/>
      </c>
      <c r="V689" s="39" t="str">
        <f>IF($B689="","",IF(COUNTIF($B$2:$B689,$B689)=1,1,0))</f>
        <v/>
      </c>
      <c r="W689" s="39" t="str">
        <f>IF($V689=1,COUNTIF($V$2:$V689,1),"")</f>
        <v/>
      </c>
      <c r="X689" s="39" t="str">
        <f>IF($A689="","",IF(COUNTIF($A$2:$A689,$A689)=1,1,0))</f>
        <v/>
      </c>
      <c r="Y689" s="39" t="str">
        <f>IF($X689=1,COUNTIF($X$2:$X689,1),"")</f>
        <v/>
      </c>
      <c r="Z689" s="39">
        <f>IF(AND($E689="timed",$N689&gt;Settings!$C$8),1,0)</f>
        <v>0</v>
      </c>
      <c r="AA689" s="39">
        <f t="shared" si="184"/>
        <v>0</v>
      </c>
      <c r="AB689" s="39">
        <f t="shared" si="185"/>
        <v>0</v>
      </c>
      <c r="AC689" s="39" t="str">
        <f t="shared" si="186"/>
        <v/>
      </c>
      <c r="AD689" s="39" t="str">
        <f t="shared" si="187"/>
        <v/>
      </c>
      <c r="AE689" s="39" t="str">
        <f t="shared" si="188"/>
        <v/>
      </c>
      <c r="AF689" s="106" t="str">
        <f t="shared" si="189"/>
        <v/>
      </c>
      <c r="AG689" s="39">
        <f t="shared" si="190"/>
        <v>0</v>
      </c>
      <c r="AH689" s="39" t="str">
        <f t="shared" si="191"/>
        <v/>
      </c>
      <c r="AI689" s="39">
        <f>IF(AND($E689="timed",$N689&gt;=Settings!$C$9),1,0)</f>
        <v>0</v>
      </c>
      <c r="AJ689" s="39" t="str">
        <f>IF(OR($S689="",Settings!$C$16=""),"",IF($S689&lt;=Settings!$C$16,1,2))</f>
        <v/>
      </c>
      <c r="AK689" s="39" t="str">
        <f>IF($C689="","",IFERROR(IF(INDEX(Settings!$C$20:$C$59,MATCH($C689,Settings!$B$20:$B$59,0))="",Settings!$C$10,INDEX(Settings!$C$20:$C$59,MATCH($C689,Settings!$B$20:$B$59,0))),Settings!$C$10))</f>
        <v/>
      </c>
      <c r="AL689" s="108">
        <f t="shared" si="192"/>
        <v>0</v>
      </c>
      <c r="AM689" s="39" t="str">
        <f t="shared" si="193"/>
        <v/>
      </c>
      <c r="AN689" s="39" t="str">
        <f t="shared" si="194"/>
        <v/>
      </c>
      <c r="AO689" s="39" t="str">
        <f t="shared" si="195"/>
        <v/>
      </c>
      <c r="AP689" s="39">
        <f t="shared" si="196"/>
        <v>0</v>
      </c>
      <c r="AQ689" s="39">
        <f t="shared" si="197"/>
        <v>0</v>
      </c>
    </row>
    <row r="690" spans="14:43" x14ac:dyDescent="0.25">
      <c r="N690" s="105">
        <f t="shared" si="180"/>
        <v>0</v>
      </c>
      <c r="O690" s="106" t="str">
        <f>IF($F690="","",IF(ISNUMBER($F690),$F690+Settings!$C$7/24,IFERROR(DATEVALUE(LEFT($F690,10))+TIMEVALUE(MID($F690,12,8))+Settings!$C$7/24,"")))</f>
        <v/>
      </c>
      <c r="P690" s="106" t="str">
        <f>IF($G690="","",IF(ISNUMBER($G690),$G690+Settings!$C$7/24,IFERROR(DATEVALUE(LEFT($G690,10))+TIMEVALUE(MID($G690,12,8))+Settings!$C$7/24,"")))</f>
        <v/>
      </c>
      <c r="Q690" s="39" t="str">
        <f t="shared" si="181"/>
        <v/>
      </c>
      <c r="R690" s="39" t="str">
        <f t="shared" si="182"/>
        <v/>
      </c>
      <c r="S690" s="107" t="str">
        <f t="shared" si="183"/>
        <v/>
      </c>
      <c r="T690" s="39" t="str">
        <f>IF($C690="","",IF(COUNTIF($C$2:$C690,$C690)=1,1,0))</f>
        <v/>
      </c>
      <c r="U690" s="39" t="str">
        <f>IF($T690=1,COUNTIF($T$2:$T690,1),"")</f>
        <v/>
      </c>
      <c r="V690" s="39" t="str">
        <f>IF($B690="","",IF(COUNTIF($B$2:$B690,$B690)=1,1,0))</f>
        <v/>
      </c>
      <c r="W690" s="39" t="str">
        <f>IF($V690=1,COUNTIF($V$2:$V690,1),"")</f>
        <v/>
      </c>
      <c r="X690" s="39" t="str">
        <f>IF($A690="","",IF(COUNTIF($A$2:$A690,$A690)=1,1,0))</f>
        <v/>
      </c>
      <c r="Y690" s="39" t="str">
        <f>IF($X690=1,COUNTIF($X$2:$X690,1),"")</f>
        <v/>
      </c>
      <c r="Z690" s="39">
        <f>IF(AND($E690="timed",$N690&gt;Settings!$C$8),1,0)</f>
        <v>0</v>
      </c>
      <c r="AA690" s="39">
        <f t="shared" si="184"/>
        <v>0</v>
      </c>
      <c r="AB690" s="39">
        <f t="shared" si="185"/>
        <v>0</v>
      </c>
      <c r="AC690" s="39" t="str">
        <f t="shared" si="186"/>
        <v/>
      </c>
      <c r="AD690" s="39" t="str">
        <f t="shared" si="187"/>
        <v/>
      </c>
      <c r="AE690" s="39" t="str">
        <f t="shared" si="188"/>
        <v/>
      </c>
      <c r="AF690" s="106" t="str">
        <f t="shared" si="189"/>
        <v/>
      </c>
      <c r="AG690" s="39">
        <f t="shared" si="190"/>
        <v>0</v>
      </c>
      <c r="AH690" s="39" t="str">
        <f t="shared" si="191"/>
        <v/>
      </c>
      <c r="AI690" s="39">
        <f>IF(AND($E690="timed",$N690&gt;=Settings!$C$9),1,0)</f>
        <v>0</v>
      </c>
      <c r="AJ690" s="39" t="str">
        <f>IF(OR($S690="",Settings!$C$16=""),"",IF($S690&lt;=Settings!$C$16,1,2))</f>
        <v/>
      </c>
      <c r="AK690" s="39" t="str">
        <f>IF($C690="","",IFERROR(IF(INDEX(Settings!$C$20:$C$59,MATCH($C690,Settings!$B$20:$B$59,0))="",Settings!$C$10,INDEX(Settings!$C$20:$C$59,MATCH($C690,Settings!$B$20:$B$59,0))),Settings!$C$10))</f>
        <v/>
      </c>
      <c r="AL690" s="108">
        <f t="shared" si="192"/>
        <v>0</v>
      </c>
      <c r="AM690" s="39" t="str">
        <f t="shared" si="193"/>
        <v/>
      </c>
      <c r="AN690" s="39" t="str">
        <f t="shared" si="194"/>
        <v/>
      </c>
      <c r="AO690" s="39" t="str">
        <f t="shared" si="195"/>
        <v/>
      </c>
      <c r="AP690" s="39">
        <f t="shared" si="196"/>
        <v>0</v>
      </c>
      <c r="AQ690" s="39">
        <f t="shared" si="197"/>
        <v>0</v>
      </c>
    </row>
    <row r="691" spans="14:43" x14ac:dyDescent="0.25">
      <c r="N691" s="105">
        <f t="shared" si="180"/>
        <v>0</v>
      </c>
      <c r="O691" s="106" t="str">
        <f>IF($F691="","",IF(ISNUMBER($F691),$F691+Settings!$C$7/24,IFERROR(DATEVALUE(LEFT($F691,10))+TIMEVALUE(MID($F691,12,8))+Settings!$C$7/24,"")))</f>
        <v/>
      </c>
      <c r="P691" s="106" t="str">
        <f>IF($G691="","",IF(ISNUMBER($G691),$G691+Settings!$C$7/24,IFERROR(DATEVALUE(LEFT($G691,10))+TIMEVALUE(MID($G691,12,8))+Settings!$C$7/24,"")))</f>
        <v/>
      </c>
      <c r="Q691" s="39" t="str">
        <f t="shared" si="181"/>
        <v/>
      </c>
      <c r="R691" s="39" t="str">
        <f t="shared" si="182"/>
        <v/>
      </c>
      <c r="S691" s="107" t="str">
        <f t="shared" si="183"/>
        <v/>
      </c>
      <c r="T691" s="39" t="str">
        <f>IF($C691="","",IF(COUNTIF($C$2:$C691,$C691)=1,1,0))</f>
        <v/>
      </c>
      <c r="U691" s="39" t="str">
        <f>IF($T691=1,COUNTIF($T$2:$T691,1),"")</f>
        <v/>
      </c>
      <c r="V691" s="39" t="str">
        <f>IF($B691="","",IF(COUNTIF($B$2:$B691,$B691)=1,1,0))</f>
        <v/>
      </c>
      <c r="W691" s="39" t="str">
        <f>IF($V691=1,COUNTIF($V$2:$V691,1),"")</f>
        <v/>
      </c>
      <c r="X691" s="39" t="str">
        <f>IF($A691="","",IF(COUNTIF($A$2:$A691,$A691)=1,1,0))</f>
        <v/>
      </c>
      <c r="Y691" s="39" t="str">
        <f>IF($X691=1,COUNTIF($X$2:$X691,1),"")</f>
        <v/>
      </c>
      <c r="Z691" s="39">
        <f>IF(AND($E691="timed",$N691&gt;Settings!$C$8),1,0)</f>
        <v>0</v>
      </c>
      <c r="AA691" s="39">
        <f t="shared" si="184"/>
        <v>0</v>
      </c>
      <c r="AB691" s="39">
        <f t="shared" si="185"/>
        <v>0</v>
      </c>
      <c r="AC691" s="39" t="str">
        <f t="shared" si="186"/>
        <v/>
      </c>
      <c r="AD691" s="39" t="str">
        <f t="shared" si="187"/>
        <v/>
      </c>
      <c r="AE691" s="39" t="str">
        <f t="shared" si="188"/>
        <v/>
      </c>
      <c r="AF691" s="106" t="str">
        <f t="shared" si="189"/>
        <v/>
      </c>
      <c r="AG691" s="39">
        <f t="shared" si="190"/>
        <v>0</v>
      </c>
      <c r="AH691" s="39" t="str">
        <f t="shared" si="191"/>
        <v/>
      </c>
      <c r="AI691" s="39">
        <f>IF(AND($E691="timed",$N691&gt;=Settings!$C$9),1,0)</f>
        <v>0</v>
      </c>
      <c r="AJ691" s="39" t="str">
        <f>IF(OR($S691="",Settings!$C$16=""),"",IF($S691&lt;=Settings!$C$16,1,2))</f>
        <v/>
      </c>
      <c r="AK691" s="39" t="str">
        <f>IF($C691="","",IFERROR(IF(INDEX(Settings!$C$20:$C$59,MATCH($C691,Settings!$B$20:$B$59,0))="",Settings!$C$10,INDEX(Settings!$C$20:$C$59,MATCH($C691,Settings!$B$20:$B$59,0))),Settings!$C$10))</f>
        <v/>
      </c>
      <c r="AL691" s="108">
        <f t="shared" si="192"/>
        <v>0</v>
      </c>
      <c r="AM691" s="39" t="str">
        <f t="shared" si="193"/>
        <v/>
      </c>
      <c r="AN691" s="39" t="str">
        <f t="shared" si="194"/>
        <v/>
      </c>
      <c r="AO691" s="39" t="str">
        <f t="shared" si="195"/>
        <v/>
      </c>
      <c r="AP691" s="39">
        <f t="shared" si="196"/>
        <v>0</v>
      </c>
      <c r="AQ691" s="39">
        <f t="shared" si="197"/>
        <v>0</v>
      </c>
    </row>
    <row r="692" spans="14:43" x14ac:dyDescent="0.25">
      <c r="N692" s="105">
        <f t="shared" si="180"/>
        <v>0</v>
      </c>
      <c r="O692" s="106" t="str">
        <f>IF($F692="","",IF(ISNUMBER($F692),$F692+Settings!$C$7/24,IFERROR(DATEVALUE(LEFT($F692,10))+TIMEVALUE(MID($F692,12,8))+Settings!$C$7/24,"")))</f>
        <v/>
      </c>
      <c r="P692" s="106" t="str">
        <f>IF($G692="","",IF(ISNUMBER($G692),$G692+Settings!$C$7/24,IFERROR(DATEVALUE(LEFT($G692,10))+TIMEVALUE(MID($G692,12,8))+Settings!$C$7/24,"")))</f>
        <v/>
      </c>
      <c r="Q692" s="39" t="str">
        <f t="shared" si="181"/>
        <v/>
      </c>
      <c r="R692" s="39" t="str">
        <f t="shared" si="182"/>
        <v/>
      </c>
      <c r="S692" s="107" t="str">
        <f t="shared" si="183"/>
        <v/>
      </c>
      <c r="T692" s="39" t="str">
        <f>IF($C692="","",IF(COUNTIF($C$2:$C692,$C692)=1,1,0))</f>
        <v/>
      </c>
      <c r="U692" s="39" t="str">
        <f>IF($T692=1,COUNTIF($T$2:$T692,1),"")</f>
        <v/>
      </c>
      <c r="V692" s="39" t="str">
        <f>IF($B692="","",IF(COUNTIF($B$2:$B692,$B692)=1,1,0))</f>
        <v/>
      </c>
      <c r="W692" s="39" t="str">
        <f>IF($V692=1,COUNTIF($V$2:$V692,1),"")</f>
        <v/>
      </c>
      <c r="X692" s="39" t="str">
        <f>IF($A692="","",IF(COUNTIF($A$2:$A692,$A692)=1,1,0))</f>
        <v/>
      </c>
      <c r="Y692" s="39" t="str">
        <f>IF($X692=1,COUNTIF($X$2:$X692,1),"")</f>
        <v/>
      </c>
      <c r="Z692" s="39">
        <f>IF(AND($E692="timed",$N692&gt;Settings!$C$8),1,0)</f>
        <v>0</v>
      </c>
      <c r="AA692" s="39">
        <f t="shared" si="184"/>
        <v>0</v>
      </c>
      <c r="AB692" s="39">
        <f t="shared" si="185"/>
        <v>0</v>
      </c>
      <c r="AC692" s="39" t="str">
        <f t="shared" si="186"/>
        <v/>
      </c>
      <c r="AD692" s="39" t="str">
        <f t="shared" si="187"/>
        <v/>
      </c>
      <c r="AE692" s="39" t="str">
        <f t="shared" si="188"/>
        <v/>
      </c>
      <c r="AF692" s="106" t="str">
        <f t="shared" si="189"/>
        <v/>
      </c>
      <c r="AG692" s="39">
        <f t="shared" si="190"/>
        <v>0</v>
      </c>
      <c r="AH692" s="39" t="str">
        <f t="shared" si="191"/>
        <v/>
      </c>
      <c r="AI692" s="39">
        <f>IF(AND($E692="timed",$N692&gt;=Settings!$C$9),1,0)</f>
        <v>0</v>
      </c>
      <c r="AJ692" s="39" t="str">
        <f>IF(OR($S692="",Settings!$C$16=""),"",IF($S692&lt;=Settings!$C$16,1,2))</f>
        <v/>
      </c>
      <c r="AK692" s="39" t="str">
        <f>IF($C692="","",IFERROR(IF(INDEX(Settings!$C$20:$C$59,MATCH($C692,Settings!$B$20:$B$59,0))="",Settings!$C$10,INDEX(Settings!$C$20:$C$59,MATCH($C692,Settings!$B$20:$B$59,0))),Settings!$C$10))</f>
        <v/>
      </c>
      <c r="AL692" s="108">
        <f t="shared" si="192"/>
        <v>0</v>
      </c>
      <c r="AM692" s="39" t="str">
        <f t="shared" si="193"/>
        <v/>
      </c>
      <c r="AN692" s="39" t="str">
        <f t="shared" si="194"/>
        <v/>
      </c>
      <c r="AO692" s="39" t="str">
        <f t="shared" si="195"/>
        <v/>
      </c>
      <c r="AP692" s="39">
        <f t="shared" si="196"/>
        <v>0</v>
      </c>
      <c r="AQ692" s="39">
        <f t="shared" si="197"/>
        <v>0</v>
      </c>
    </row>
    <row r="693" spans="14:43" x14ac:dyDescent="0.25">
      <c r="N693" s="105">
        <f t="shared" si="180"/>
        <v>0</v>
      </c>
      <c r="O693" s="106" t="str">
        <f>IF($F693="","",IF(ISNUMBER($F693),$F693+Settings!$C$7/24,IFERROR(DATEVALUE(LEFT($F693,10))+TIMEVALUE(MID($F693,12,8))+Settings!$C$7/24,"")))</f>
        <v/>
      </c>
      <c r="P693" s="106" t="str">
        <f>IF($G693="","",IF(ISNUMBER($G693),$G693+Settings!$C$7/24,IFERROR(DATEVALUE(LEFT($G693,10))+TIMEVALUE(MID($G693,12,8))+Settings!$C$7/24,"")))</f>
        <v/>
      </c>
      <c r="Q693" s="39" t="str">
        <f t="shared" si="181"/>
        <v/>
      </c>
      <c r="R693" s="39" t="str">
        <f t="shared" si="182"/>
        <v/>
      </c>
      <c r="S693" s="107" t="str">
        <f t="shared" si="183"/>
        <v/>
      </c>
      <c r="T693" s="39" t="str">
        <f>IF($C693="","",IF(COUNTIF($C$2:$C693,$C693)=1,1,0))</f>
        <v/>
      </c>
      <c r="U693" s="39" t="str">
        <f>IF($T693=1,COUNTIF($T$2:$T693,1),"")</f>
        <v/>
      </c>
      <c r="V693" s="39" t="str">
        <f>IF($B693="","",IF(COUNTIF($B$2:$B693,$B693)=1,1,0))</f>
        <v/>
      </c>
      <c r="W693" s="39" t="str">
        <f>IF($V693=1,COUNTIF($V$2:$V693,1),"")</f>
        <v/>
      </c>
      <c r="X693" s="39" t="str">
        <f>IF($A693="","",IF(COUNTIF($A$2:$A693,$A693)=1,1,0))</f>
        <v/>
      </c>
      <c r="Y693" s="39" t="str">
        <f>IF($X693=1,COUNTIF($X$2:$X693,1),"")</f>
        <v/>
      </c>
      <c r="Z693" s="39">
        <f>IF(AND($E693="timed",$N693&gt;Settings!$C$8),1,0)</f>
        <v>0</v>
      </c>
      <c r="AA693" s="39">
        <f t="shared" si="184"/>
        <v>0</v>
      </c>
      <c r="AB693" s="39">
        <f t="shared" si="185"/>
        <v>0</v>
      </c>
      <c r="AC693" s="39" t="str">
        <f t="shared" si="186"/>
        <v/>
      </c>
      <c r="AD693" s="39" t="str">
        <f t="shared" si="187"/>
        <v/>
      </c>
      <c r="AE693" s="39" t="str">
        <f t="shared" si="188"/>
        <v/>
      </c>
      <c r="AF693" s="106" t="str">
        <f t="shared" si="189"/>
        <v/>
      </c>
      <c r="AG693" s="39">
        <f t="shared" si="190"/>
        <v>0</v>
      </c>
      <c r="AH693" s="39" t="str">
        <f t="shared" si="191"/>
        <v/>
      </c>
      <c r="AI693" s="39">
        <f>IF(AND($E693="timed",$N693&gt;=Settings!$C$9),1,0)</f>
        <v>0</v>
      </c>
      <c r="AJ693" s="39" t="str">
        <f>IF(OR($S693="",Settings!$C$16=""),"",IF($S693&lt;=Settings!$C$16,1,2))</f>
        <v/>
      </c>
      <c r="AK693" s="39" t="str">
        <f>IF($C693="","",IFERROR(IF(INDEX(Settings!$C$20:$C$59,MATCH($C693,Settings!$B$20:$B$59,0))="",Settings!$C$10,INDEX(Settings!$C$20:$C$59,MATCH($C693,Settings!$B$20:$B$59,0))),Settings!$C$10))</f>
        <v/>
      </c>
      <c r="AL693" s="108">
        <f t="shared" si="192"/>
        <v>0</v>
      </c>
      <c r="AM693" s="39" t="str">
        <f t="shared" si="193"/>
        <v/>
      </c>
      <c r="AN693" s="39" t="str">
        <f t="shared" si="194"/>
        <v/>
      </c>
      <c r="AO693" s="39" t="str">
        <f t="shared" si="195"/>
        <v/>
      </c>
      <c r="AP693" s="39">
        <f t="shared" si="196"/>
        <v>0</v>
      </c>
      <c r="AQ693" s="39">
        <f t="shared" si="197"/>
        <v>0</v>
      </c>
    </row>
    <row r="694" spans="14:43" x14ac:dyDescent="0.25">
      <c r="N694" s="105">
        <f t="shared" si="180"/>
        <v>0</v>
      </c>
      <c r="O694" s="106" t="str">
        <f>IF($F694="","",IF(ISNUMBER($F694),$F694+Settings!$C$7/24,IFERROR(DATEVALUE(LEFT($F694,10))+TIMEVALUE(MID($F694,12,8))+Settings!$C$7/24,"")))</f>
        <v/>
      </c>
      <c r="P694" s="106" t="str">
        <f>IF($G694="","",IF(ISNUMBER($G694),$G694+Settings!$C$7/24,IFERROR(DATEVALUE(LEFT($G694,10))+TIMEVALUE(MID($G694,12,8))+Settings!$C$7/24,"")))</f>
        <v/>
      </c>
      <c r="Q694" s="39" t="str">
        <f t="shared" si="181"/>
        <v/>
      </c>
      <c r="R694" s="39" t="str">
        <f t="shared" si="182"/>
        <v/>
      </c>
      <c r="S694" s="107" t="str">
        <f t="shared" si="183"/>
        <v/>
      </c>
      <c r="T694" s="39" t="str">
        <f>IF($C694="","",IF(COUNTIF($C$2:$C694,$C694)=1,1,0))</f>
        <v/>
      </c>
      <c r="U694" s="39" t="str">
        <f>IF($T694=1,COUNTIF($T$2:$T694,1),"")</f>
        <v/>
      </c>
      <c r="V694" s="39" t="str">
        <f>IF($B694="","",IF(COUNTIF($B$2:$B694,$B694)=1,1,0))</f>
        <v/>
      </c>
      <c r="W694" s="39" t="str">
        <f>IF($V694=1,COUNTIF($V$2:$V694,1),"")</f>
        <v/>
      </c>
      <c r="X694" s="39" t="str">
        <f>IF($A694="","",IF(COUNTIF($A$2:$A694,$A694)=1,1,0))</f>
        <v/>
      </c>
      <c r="Y694" s="39" t="str">
        <f>IF($X694=1,COUNTIF($X$2:$X694,1),"")</f>
        <v/>
      </c>
      <c r="Z694" s="39">
        <f>IF(AND($E694="timed",$N694&gt;Settings!$C$8),1,0)</f>
        <v>0</v>
      </c>
      <c r="AA694" s="39">
        <f t="shared" si="184"/>
        <v>0</v>
      </c>
      <c r="AB694" s="39">
        <f t="shared" si="185"/>
        <v>0</v>
      </c>
      <c r="AC694" s="39" t="str">
        <f t="shared" si="186"/>
        <v/>
      </c>
      <c r="AD694" s="39" t="str">
        <f t="shared" si="187"/>
        <v/>
      </c>
      <c r="AE694" s="39" t="str">
        <f t="shared" si="188"/>
        <v/>
      </c>
      <c r="AF694" s="106" t="str">
        <f t="shared" si="189"/>
        <v/>
      </c>
      <c r="AG694" s="39">
        <f t="shared" si="190"/>
        <v>0</v>
      </c>
      <c r="AH694" s="39" t="str">
        <f t="shared" si="191"/>
        <v/>
      </c>
      <c r="AI694" s="39">
        <f>IF(AND($E694="timed",$N694&gt;=Settings!$C$9),1,0)</f>
        <v>0</v>
      </c>
      <c r="AJ694" s="39" t="str">
        <f>IF(OR($S694="",Settings!$C$16=""),"",IF($S694&lt;=Settings!$C$16,1,2))</f>
        <v/>
      </c>
      <c r="AK694" s="39" t="str">
        <f>IF($C694="","",IFERROR(IF(INDEX(Settings!$C$20:$C$59,MATCH($C694,Settings!$B$20:$B$59,0))="",Settings!$C$10,INDEX(Settings!$C$20:$C$59,MATCH($C694,Settings!$B$20:$B$59,0))),Settings!$C$10))</f>
        <v/>
      </c>
      <c r="AL694" s="108">
        <f t="shared" si="192"/>
        <v>0</v>
      </c>
      <c r="AM694" s="39" t="str">
        <f t="shared" si="193"/>
        <v/>
      </c>
      <c r="AN694" s="39" t="str">
        <f t="shared" si="194"/>
        <v/>
      </c>
      <c r="AO694" s="39" t="str">
        <f t="shared" si="195"/>
        <v/>
      </c>
      <c r="AP694" s="39">
        <f t="shared" si="196"/>
        <v>0</v>
      </c>
      <c r="AQ694" s="39">
        <f t="shared" si="197"/>
        <v>0</v>
      </c>
    </row>
    <row r="695" spans="14:43" x14ac:dyDescent="0.25">
      <c r="N695" s="105">
        <f t="shared" si="180"/>
        <v>0</v>
      </c>
      <c r="O695" s="106" t="str">
        <f>IF($F695="","",IF(ISNUMBER($F695),$F695+Settings!$C$7/24,IFERROR(DATEVALUE(LEFT($F695,10))+TIMEVALUE(MID($F695,12,8))+Settings!$C$7/24,"")))</f>
        <v/>
      </c>
      <c r="P695" s="106" t="str">
        <f>IF($G695="","",IF(ISNUMBER($G695),$G695+Settings!$C$7/24,IFERROR(DATEVALUE(LEFT($G695,10))+TIMEVALUE(MID($G695,12,8))+Settings!$C$7/24,"")))</f>
        <v/>
      </c>
      <c r="Q695" s="39" t="str">
        <f t="shared" si="181"/>
        <v/>
      </c>
      <c r="R695" s="39" t="str">
        <f t="shared" si="182"/>
        <v/>
      </c>
      <c r="S695" s="107" t="str">
        <f t="shared" si="183"/>
        <v/>
      </c>
      <c r="T695" s="39" t="str">
        <f>IF($C695="","",IF(COUNTIF($C$2:$C695,$C695)=1,1,0))</f>
        <v/>
      </c>
      <c r="U695" s="39" t="str">
        <f>IF($T695=1,COUNTIF($T$2:$T695,1),"")</f>
        <v/>
      </c>
      <c r="V695" s="39" t="str">
        <f>IF($B695="","",IF(COUNTIF($B$2:$B695,$B695)=1,1,0))</f>
        <v/>
      </c>
      <c r="W695" s="39" t="str">
        <f>IF($V695=1,COUNTIF($V$2:$V695,1),"")</f>
        <v/>
      </c>
      <c r="X695" s="39" t="str">
        <f>IF($A695="","",IF(COUNTIF($A$2:$A695,$A695)=1,1,0))</f>
        <v/>
      </c>
      <c r="Y695" s="39" t="str">
        <f>IF($X695=1,COUNTIF($X$2:$X695,1),"")</f>
        <v/>
      </c>
      <c r="Z695" s="39">
        <f>IF(AND($E695="timed",$N695&gt;Settings!$C$8),1,0)</f>
        <v>0</v>
      </c>
      <c r="AA695" s="39">
        <f t="shared" si="184"/>
        <v>0</v>
      </c>
      <c r="AB695" s="39">
        <f t="shared" si="185"/>
        <v>0</v>
      </c>
      <c r="AC695" s="39" t="str">
        <f t="shared" si="186"/>
        <v/>
      </c>
      <c r="AD695" s="39" t="str">
        <f t="shared" si="187"/>
        <v/>
      </c>
      <c r="AE695" s="39" t="str">
        <f t="shared" si="188"/>
        <v/>
      </c>
      <c r="AF695" s="106" t="str">
        <f t="shared" si="189"/>
        <v/>
      </c>
      <c r="AG695" s="39">
        <f t="shared" si="190"/>
        <v>0</v>
      </c>
      <c r="AH695" s="39" t="str">
        <f t="shared" si="191"/>
        <v/>
      </c>
      <c r="AI695" s="39">
        <f>IF(AND($E695="timed",$N695&gt;=Settings!$C$9),1,0)</f>
        <v>0</v>
      </c>
      <c r="AJ695" s="39" t="str">
        <f>IF(OR($S695="",Settings!$C$16=""),"",IF($S695&lt;=Settings!$C$16,1,2))</f>
        <v/>
      </c>
      <c r="AK695" s="39" t="str">
        <f>IF($C695="","",IFERROR(IF(INDEX(Settings!$C$20:$C$59,MATCH($C695,Settings!$B$20:$B$59,0))="",Settings!$C$10,INDEX(Settings!$C$20:$C$59,MATCH($C695,Settings!$B$20:$B$59,0))),Settings!$C$10))</f>
        <v/>
      </c>
      <c r="AL695" s="108">
        <f t="shared" si="192"/>
        <v>0</v>
      </c>
      <c r="AM695" s="39" t="str">
        <f t="shared" si="193"/>
        <v/>
      </c>
      <c r="AN695" s="39" t="str">
        <f t="shared" si="194"/>
        <v/>
      </c>
      <c r="AO695" s="39" t="str">
        <f t="shared" si="195"/>
        <v/>
      </c>
      <c r="AP695" s="39">
        <f t="shared" si="196"/>
        <v>0</v>
      </c>
      <c r="AQ695" s="39">
        <f t="shared" si="197"/>
        <v>0</v>
      </c>
    </row>
    <row r="696" spans="14:43" x14ac:dyDescent="0.25">
      <c r="N696" s="105">
        <f t="shared" si="180"/>
        <v>0</v>
      </c>
      <c r="O696" s="106" t="str">
        <f>IF($F696="","",IF(ISNUMBER($F696),$F696+Settings!$C$7/24,IFERROR(DATEVALUE(LEFT($F696,10))+TIMEVALUE(MID($F696,12,8))+Settings!$C$7/24,"")))</f>
        <v/>
      </c>
      <c r="P696" s="106" t="str">
        <f>IF($G696="","",IF(ISNUMBER($G696),$G696+Settings!$C$7/24,IFERROR(DATEVALUE(LEFT($G696,10))+TIMEVALUE(MID($G696,12,8))+Settings!$C$7/24,"")))</f>
        <v/>
      </c>
      <c r="Q696" s="39" t="str">
        <f t="shared" si="181"/>
        <v/>
      </c>
      <c r="R696" s="39" t="str">
        <f t="shared" si="182"/>
        <v/>
      </c>
      <c r="S696" s="107" t="str">
        <f t="shared" si="183"/>
        <v/>
      </c>
      <c r="T696" s="39" t="str">
        <f>IF($C696="","",IF(COUNTIF($C$2:$C696,$C696)=1,1,0))</f>
        <v/>
      </c>
      <c r="U696" s="39" t="str">
        <f>IF($T696=1,COUNTIF($T$2:$T696,1),"")</f>
        <v/>
      </c>
      <c r="V696" s="39" t="str">
        <f>IF($B696="","",IF(COUNTIF($B$2:$B696,$B696)=1,1,0))</f>
        <v/>
      </c>
      <c r="W696" s="39" t="str">
        <f>IF($V696=1,COUNTIF($V$2:$V696,1),"")</f>
        <v/>
      </c>
      <c r="X696" s="39" t="str">
        <f>IF($A696="","",IF(COUNTIF($A$2:$A696,$A696)=1,1,0))</f>
        <v/>
      </c>
      <c r="Y696" s="39" t="str">
        <f>IF($X696=1,COUNTIF($X$2:$X696,1),"")</f>
        <v/>
      </c>
      <c r="Z696" s="39">
        <f>IF(AND($E696="timed",$N696&gt;Settings!$C$8),1,0)</f>
        <v>0</v>
      </c>
      <c r="AA696" s="39">
        <f t="shared" si="184"/>
        <v>0</v>
      </c>
      <c r="AB696" s="39">
        <f t="shared" si="185"/>
        <v>0</v>
      </c>
      <c r="AC696" s="39" t="str">
        <f t="shared" si="186"/>
        <v/>
      </c>
      <c r="AD696" s="39" t="str">
        <f t="shared" si="187"/>
        <v/>
      </c>
      <c r="AE696" s="39" t="str">
        <f t="shared" si="188"/>
        <v/>
      </c>
      <c r="AF696" s="106" t="str">
        <f t="shared" si="189"/>
        <v/>
      </c>
      <c r="AG696" s="39">
        <f t="shared" si="190"/>
        <v>0</v>
      </c>
      <c r="AH696" s="39" t="str">
        <f t="shared" si="191"/>
        <v/>
      </c>
      <c r="AI696" s="39">
        <f>IF(AND($E696="timed",$N696&gt;=Settings!$C$9),1,0)</f>
        <v>0</v>
      </c>
      <c r="AJ696" s="39" t="str">
        <f>IF(OR($S696="",Settings!$C$16=""),"",IF($S696&lt;=Settings!$C$16,1,2))</f>
        <v/>
      </c>
      <c r="AK696" s="39" t="str">
        <f>IF($C696="","",IFERROR(IF(INDEX(Settings!$C$20:$C$59,MATCH($C696,Settings!$B$20:$B$59,0))="",Settings!$C$10,INDEX(Settings!$C$20:$C$59,MATCH($C696,Settings!$B$20:$B$59,0))),Settings!$C$10))</f>
        <v/>
      </c>
      <c r="AL696" s="108">
        <f t="shared" si="192"/>
        <v>0</v>
      </c>
      <c r="AM696" s="39" t="str">
        <f t="shared" si="193"/>
        <v/>
      </c>
      <c r="AN696" s="39" t="str">
        <f t="shared" si="194"/>
        <v/>
      </c>
      <c r="AO696" s="39" t="str">
        <f t="shared" si="195"/>
        <v/>
      </c>
      <c r="AP696" s="39">
        <f t="shared" si="196"/>
        <v>0</v>
      </c>
      <c r="AQ696" s="39">
        <f t="shared" si="197"/>
        <v>0</v>
      </c>
    </row>
    <row r="697" spans="14:43" x14ac:dyDescent="0.25">
      <c r="N697" s="105">
        <f t="shared" si="180"/>
        <v>0</v>
      </c>
      <c r="O697" s="106" t="str">
        <f>IF($F697="","",IF(ISNUMBER($F697),$F697+Settings!$C$7/24,IFERROR(DATEVALUE(LEFT($F697,10))+TIMEVALUE(MID($F697,12,8))+Settings!$C$7/24,"")))</f>
        <v/>
      </c>
      <c r="P697" s="106" t="str">
        <f>IF($G697="","",IF(ISNUMBER($G697),$G697+Settings!$C$7/24,IFERROR(DATEVALUE(LEFT($G697,10))+TIMEVALUE(MID($G697,12,8))+Settings!$C$7/24,"")))</f>
        <v/>
      </c>
      <c r="Q697" s="39" t="str">
        <f t="shared" si="181"/>
        <v/>
      </c>
      <c r="R697" s="39" t="str">
        <f t="shared" si="182"/>
        <v/>
      </c>
      <c r="S697" s="107" t="str">
        <f t="shared" si="183"/>
        <v/>
      </c>
      <c r="T697" s="39" t="str">
        <f>IF($C697="","",IF(COUNTIF($C$2:$C697,$C697)=1,1,0))</f>
        <v/>
      </c>
      <c r="U697" s="39" t="str">
        <f>IF($T697=1,COUNTIF($T$2:$T697,1),"")</f>
        <v/>
      </c>
      <c r="V697" s="39" t="str">
        <f>IF($B697="","",IF(COUNTIF($B$2:$B697,$B697)=1,1,0))</f>
        <v/>
      </c>
      <c r="W697" s="39" t="str">
        <f>IF($V697=1,COUNTIF($V$2:$V697,1),"")</f>
        <v/>
      </c>
      <c r="X697" s="39" t="str">
        <f>IF($A697="","",IF(COUNTIF($A$2:$A697,$A697)=1,1,0))</f>
        <v/>
      </c>
      <c r="Y697" s="39" t="str">
        <f>IF($X697=1,COUNTIF($X$2:$X697,1),"")</f>
        <v/>
      </c>
      <c r="Z697" s="39">
        <f>IF(AND($E697="timed",$N697&gt;Settings!$C$8),1,0)</f>
        <v>0</v>
      </c>
      <c r="AA697" s="39">
        <f t="shared" si="184"/>
        <v>0</v>
      </c>
      <c r="AB697" s="39">
        <f t="shared" si="185"/>
        <v>0</v>
      </c>
      <c r="AC697" s="39" t="str">
        <f t="shared" si="186"/>
        <v/>
      </c>
      <c r="AD697" s="39" t="str">
        <f t="shared" si="187"/>
        <v/>
      </c>
      <c r="AE697" s="39" t="str">
        <f t="shared" si="188"/>
        <v/>
      </c>
      <c r="AF697" s="106" t="str">
        <f t="shared" si="189"/>
        <v/>
      </c>
      <c r="AG697" s="39">
        <f t="shared" si="190"/>
        <v>0</v>
      </c>
      <c r="AH697" s="39" t="str">
        <f t="shared" si="191"/>
        <v/>
      </c>
      <c r="AI697" s="39">
        <f>IF(AND($E697="timed",$N697&gt;=Settings!$C$9),1,0)</f>
        <v>0</v>
      </c>
      <c r="AJ697" s="39" t="str">
        <f>IF(OR($S697="",Settings!$C$16=""),"",IF($S697&lt;=Settings!$C$16,1,2))</f>
        <v/>
      </c>
      <c r="AK697" s="39" t="str">
        <f>IF($C697="","",IFERROR(IF(INDEX(Settings!$C$20:$C$59,MATCH($C697,Settings!$B$20:$B$59,0))="",Settings!$C$10,INDEX(Settings!$C$20:$C$59,MATCH($C697,Settings!$B$20:$B$59,0))),Settings!$C$10))</f>
        <v/>
      </c>
      <c r="AL697" s="108">
        <f t="shared" si="192"/>
        <v>0</v>
      </c>
      <c r="AM697" s="39" t="str">
        <f t="shared" si="193"/>
        <v/>
      </c>
      <c r="AN697" s="39" t="str">
        <f t="shared" si="194"/>
        <v/>
      </c>
      <c r="AO697" s="39" t="str">
        <f t="shared" si="195"/>
        <v/>
      </c>
      <c r="AP697" s="39">
        <f t="shared" si="196"/>
        <v>0</v>
      </c>
      <c r="AQ697" s="39">
        <f t="shared" si="197"/>
        <v>0</v>
      </c>
    </row>
    <row r="698" spans="14:43" x14ac:dyDescent="0.25">
      <c r="N698" s="105">
        <f t="shared" si="180"/>
        <v>0</v>
      </c>
      <c r="O698" s="106" t="str">
        <f>IF($F698="","",IF(ISNUMBER($F698),$F698+Settings!$C$7/24,IFERROR(DATEVALUE(LEFT($F698,10))+TIMEVALUE(MID($F698,12,8))+Settings!$C$7/24,"")))</f>
        <v/>
      </c>
      <c r="P698" s="106" t="str">
        <f>IF($G698="","",IF(ISNUMBER($G698),$G698+Settings!$C$7/24,IFERROR(DATEVALUE(LEFT($G698,10))+TIMEVALUE(MID($G698,12,8))+Settings!$C$7/24,"")))</f>
        <v/>
      </c>
      <c r="Q698" s="39" t="str">
        <f t="shared" si="181"/>
        <v/>
      </c>
      <c r="R698" s="39" t="str">
        <f t="shared" si="182"/>
        <v/>
      </c>
      <c r="S698" s="107" t="str">
        <f t="shared" si="183"/>
        <v/>
      </c>
      <c r="T698" s="39" t="str">
        <f>IF($C698="","",IF(COUNTIF($C$2:$C698,$C698)=1,1,0))</f>
        <v/>
      </c>
      <c r="U698" s="39" t="str">
        <f>IF($T698=1,COUNTIF($T$2:$T698,1),"")</f>
        <v/>
      </c>
      <c r="V698" s="39" t="str">
        <f>IF($B698="","",IF(COUNTIF($B$2:$B698,$B698)=1,1,0))</f>
        <v/>
      </c>
      <c r="W698" s="39" t="str">
        <f>IF($V698=1,COUNTIF($V$2:$V698,1),"")</f>
        <v/>
      </c>
      <c r="X698" s="39" t="str">
        <f>IF($A698="","",IF(COUNTIF($A$2:$A698,$A698)=1,1,0))</f>
        <v/>
      </c>
      <c r="Y698" s="39" t="str">
        <f>IF($X698=1,COUNTIF($X$2:$X698,1),"")</f>
        <v/>
      </c>
      <c r="Z698" s="39">
        <f>IF(AND($E698="timed",$N698&gt;Settings!$C$8),1,0)</f>
        <v>0</v>
      </c>
      <c r="AA698" s="39">
        <f t="shared" si="184"/>
        <v>0</v>
      </c>
      <c r="AB698" s="39">
        <f t="shared" si="185"/>
        <v>0</v>
      </c>
      <c r="AC698" s="39" t="str">
        <f t="shared" si="186"/>
        <v/>
      </c>
      <c r="AD698" s="39" t="str">
        <f t="shared" si="187"/>
        <v/>
      </c>
      <c r="AE698" s="39" t="str">
        <f t="shared" si="188"/>
        <v/>
      </c>
      <c r="AF698" s="106" t="str">
        <f t="shared" si="189"/>
        <v/>
      </c>
      <c r="AG698" s="39">
        <f t="shared" si="190"/>
        <v>0</v>
      </c>
      <c r="AH698" s="39" t="str">
        <f t="shared" si="191"/>
        <v/>
      </c>
      <c r="AI698" s="39">
        <f>IF(AND($E698="timed",$N698&gt;=Settings!$C$9),1,0)</f>
        <v>0</v>
      </c>
      <c r="AJ698" s="39" t="str">
        <f>IF(OR($S698="",Settings!$C$16=""),"",IF($S698&lt;=Settings!$C$16,1,2))</f>
        <v/>
      </c>
      <c r="AK698" s="39" t="str">
        <f>IF($C698="","",IFERROR(IF(INDEX(Settings!$C$20:$C$59,MATCH($C698,Settings!$B$20:$B$59,0))="",Settings!$C$10,INDEX(Settings!$C$20:$C$59,MATCH($C698,Settings!$B$20:$B$59,0))),Settings!$C$10))</f>
        <v/>
      </c>
      <c r="AL698" s="108">
        <f t="shared" si="192"/>
        <v>0</v>
      </c>
      <c r="AM698" s="39" t="str">
        <f t="shared" si="193"/>
        <v/>
      </c>
      <c r="AN698" s="39" t="str">
        <f t="shared" si="194"/>
        <v/>
      </c>
      <c r="AO698" s="39" t="str">
        <f t="shared" si="195"/>
        <v/>
      </c>
      <c r="AP698" s="39">
        <f t="shared" si="196"/>
        <v>0</v>
      </c>
      <c r="AQ698" s="39">
        <f t="shared" si="197"/>
        <v>0</v>
      </c>
    </row>
    <row r="699" spans="14:43" x14ac:dyDescent="0.25">
      <c r="N699" s="105">
        <f t="shared" si="180"/>
        <v>0</v>
      </c>
      <c r="O699" s="106" t="str">
        <f>IF($F699="","",IF(ISNUMBER($F699),$F699+Settings!$C$7/24,IFERROR(DATEVALUE(LEFT($F699,10))+TIMEVALUE(MID($F699,12,8))+Settings!$C$7/24,"")))</f>
        <v/>
      </c>
      <c r="P699" s="106" t="str">
        <f>IF($G699="","",IF(ISNUMBER($G699),$G699+Settings!$C$7/24,IFERROR(DATEVALUE(LEFT($G699,10))+TIMEVALUE(MID($G699,12,8))+Settings!$C$7/24,"")))</f>
        <v/>
      </c>
      <c r="Q699" s="39" t="str">
        <f t="shared" si="181"/>
        <v/>
      </c>
      <c r="R699" s="39" t="str">
        <f t="shared" si="182"/>
        <v/>
      </c>
      <c r="S699" s="107" t="str">
        <f t="shared" si="183"/>
        <v/>
      </c>
      <c r="T699" s="39" t="str">
        <f>IF($C699="","",IF(COUNTIF($C$2:$C699,$C699)=1,1,0))</f>
        <v/>
      </c>
      <c r="U699" s="39" t="str">
        <f>IF($T699=1,COUNTIF($T$2:$T699,1),"")</f>
        <v/>
      </c>
      <c r="V699" s="39" t="str">
        <f>IF($B699="","",IF(COUNTIF($B$2:$B699,$B699)=1,1,0))</f>
        <v/>
      </c>
      <c r="W699" s="39" t="str">
        <f>IF($V699=1,COUNTIF($V$2:$V699,1),"")</f>
        <v/>
      </c>
      <c r="X699" s="39" t="str">
        <f>IF($A699="","",IF(COUNTIF($A$2:$A699,$A699)=1,1,0))</f>
        <v/>
      </c>
      <c r="Y699" s="39" t="str">
        <f>IF($X699=1,COUNTIF($X$2:$X699,1),"")</f>
        <v/>
      </c>
      <c r="Z699" s="39">
        <f>IF(AND($E699="timed",$N699&gt;Settings!$C$8),1,0)</f>
        <v>0</v>
      </c>
      <c r="AA699" s="39">
        <f t="shared" si="184"/>
        <v>0</v>
      </c>
      <c r="AB699" s="39">
        <f t="shared" si="185"/>
        <v>0</v>
      </c>
      <c r="AC699" s="39" t="str">
        <f t="shared" si="186"/>
        <v/>
      </c>
      <c r="AD699" s="39" t="str">
        <f t="shared" si="187"/>
        <v/>
      </c>
      <c r="AE699" s="39" t="str">
        <f t="shared" si="188"/>
        <v/>
      </c>
      <c r="AF699" s="106" t="str">
        <f t="shared" si="189"/>
        <v/>
      </c>
      <c r="AG699" s="39">
        <f t="shared" si="190"/>
        <v>0</v>
      </c>
      <c r="AH699" s="39" t="str">
        <f t="shared" si="191"/>
        <v/>
      </c>
      <c r="AI699" s="39">
        <f>IF(AND($E699="timed",$N699&gt;=Settings!$C$9),1,0)</f>
        <v>0</v>
      </c>
      <c r="AJ699" s="39" t="str">
        <f>IF(OR($S699="",Settings!$C$16=""),"",IF($S699&lt;=Settings!$C$16,1,2))</f>
        <v/>
      </c>
      <c r="AK699" s="39" t="str">
        <f>IF($C699="","",IFERROR(IF(INDEX(Settings!$C$20:$C$59,MATCH($C699,Settings!$B$20:$B$59,0))="",Settings!$C$10,INDEX(Settings!$C$20:$C$59,MATCH($C699,Settings!$B$20:$B$59,0))),Settings!$C$10))</f>
        <v/>
      </c>
      <c r="AL699" s="108">
        <f t="shared" si="192"/>
        <v>0</v>
      </c>
      <c r="AM699" s="39" t="str">
        <f t="shared" si="193"/>
        <v/>
      </c>
      <c r="AN699" s="39" t="str">
        <f t="shared" si="194"/>
        <v/>
      </c>
      <c r="AO699" s="39" t="str">
        <f t="shared" si="195"/>
        <v/>
      </c>
      <c r="AP699" s="39">
        <f t="shared" si="196"/>
        <v>0</v>
      </c>
      <c r="AQ699" s="39">
        <f t="shared" si="197"/>
        <v>0</v>
      </c>
    </row>
    <row r="700" spans="14:43" x14ac:dyDescent="0.25">
      <c r="N700" s="105">
        <f t="shared" si="180"/>
        <v>0</v>
      </c>
      <c r="O700" s="106" t="str">
        <f>IF($F700="","",IF(ISNUMBER($F700),$F700+Settings!$C$7/24,IFERROR(DATEVALUE(LEFT($F700,10))+TIMEVALUE(MID($F700,12,8))+Settings!$C$7/24,"")))</f>
        <v/>
      </c>
      <c r="P700" s="106" t="str">
        <f>IF($G700="","",IF(ISNUMBER($G700),$G700+Settings!$C$7/24,IFERROR(DATEVALUE(LEFT($G700,10))+TIMEVALUE(MID($G700,12,8))+Settings!$C$7/24,"")))</f>
        <v/>
      </c>
      <c r="Q700" s="39" t="str">
        <f t="shared" si="181"/>
        <v/>
      </c>
      <c r="R700" s="39" t="str">
        <f t="shared" si="182"/>
        <v/>
      </c>
      <c r="S700" s="107" t="str">
        <f t="shared" si="183"/>
        <v/>
      </c>
      <c r="T700" s="39" t="str">
        <f>IF($C700="","",IF(COUNTIF($C$2:$C700,$C700)=1,1,0))</f>
        <v/>
      </c>
      <c r="U700" s="39" t="str">
        <f>IF($T700=1,COUNTIF($T$2:$T700,1),"")</f>
        <v/>
      </c>
      <c r="V700" s="39" t="str">
        <f>IF($B700="","",IF(COUNTIF($B$2:$B700,$B700)=1,1,0))</f>
        <v/>
      </c>
      <c r="W700" s="39" t="str">
        <f>IF($V700=1,COUNTIF($V$2:$V700,1),"")</f>
        <v/>
      </c>
      <c r="X700" s="39" t="str">
        <f>IF($A700="","",IF(COUNTIF($A$2:$A700,$A700)=1,1,0))</f>
        <v/>
      </c>
      <c r="Y700" s="39" t="str">
        <f>IF($X700=1,COUNTIF($X$2:$X700,1),"")</f>
        <v/>
      </c>
      <c r="Z700" s="39">
        <f>IF(AND($E700="timed",$N700&gt;Settings!$C$8),1,0)</f>
        <v>0</v>
      </c>
      <c r="AA700" s="39">
        <f t="shared" si="184"/>
        <v>0</v>
      </c>
      <c r="AB700" s="39">
        <f t="shared" si="185"/>
        <v>0</v>
      </c>
      <c r="AC700" s="39" t="str">
        <f t="shared" si="186"/>
        <v/>
      </c>
      <c r="AD700" s="39" t="str">
        <f t="shared" si="187"/>
        <v/>
      </c>
      <c r="AE700" s="39" t="str">
        <f t="shared" si="188"/>
        <v/>
      </c>
      <c r="AF700" s="106" t="str">
        <f t="shared" si="189"/>
        <v/>
      </c>
      <c r="AG700" s="39">
        <f t="shared" si="190"/>
        <v>0</v>
      </c>
      <c r="AH700" s="39" t="str">
        <f t="shared" si="191"/>
        <v/>
      </c>
      <c r="AI700" s="39">
        <f>IF(AND($E700="timed",$N700&gt;=Settings!$C$9),1,0)</f>
        <v>0</v>
      </c>
      <c r="AJ700" s="39" t="str">
        <f>IF(OR($S700="",Settings!$C$16=""),"",IF($S700&lt;=Settings!$C$16,1,2))</f>
        <v/>
      </c>
      <c r="AK700" s="39" t="str">
        <f>IF($C700="","",IFERROR(IF(INDEX(Settings!$C$20:$C$59,MATCH($C700,Settings!$B$20:$B$59,0))="",Settings!$C$10,INDEX(Settings!$C$20:$C$59,MATCH($C700,Settings!$B$20:$B$59,0))),Settings!$C$10))</f>
        <v/>
      </c>
      <c r="AL700" s="108">
        <f t="shared" si="192"/>
        <v>0</v>
      </c>
      <c r="AM700" s="39" t="str">
        <f t="shared" si="193"/>
        <v/>
      </c>
      <c r="AN700" s="39" t="str">
        <f t="shared" si="194"/>
        <v/>
      </c>
      <c r="AO700" s="39" t="str">
        <f t="shared" si="195"/>
        <v/>
      </c>
      <c r="AP700" s="39">
        <f t="shared" si="196"/>
        <v>0</v>
      </c>
      <c r="AQ700" s="39">
        <f t="shared" si="197"/>
        <v>0</v>
      </c>
    </row>
    <row r="701" spans="14:43" x14ac:dyDescent="0.25">
      <c r="N701" s="105">
        <f t="shared" si="180"/>
        <v>0</v>
      </c>
      <c r="O701" s="106" t="str">
        <f>IF($F701="","",IF(ISNUMBER($F701),$F701+Settings!$C$7/24,IFERROR(DATEVALUE(LEFT($F701,10))+TIMEVALUE(MID($F701,12,8))+Settings!$C$7/24,"")))</f>
        <v/>
      </c>
      <c r="P701" s="106" t="str">
        <f>IF($G701="","",IF(ISNUMBER($G701),$G701+Settings!$C$7/24,IFERROR(DATEVALUE(LEFT($G701,10))+TIMEVALUE(MID($G701,12,8))+Settings!$C$7/24,"")))</f>
        <v/>
      </c>
      <c r="Q701" s="39" t="str">
        <f t="shared" si="181"/>
        <v/>
      </c>
      <c r="R701" s="39" t="str">
        <f t="shared" si="182"/>
        <v/>
      </c>
      <c r="S701" s="107" t="str">
        <f t="shared" si="183"/>
        <v/>
      </c>
      <c r="T701" s="39" t="str">
        <f>IF($C701="","",IF(COUNTIF($C$2:$C701,$C701)=1,1,0))</f>
        <v/>
      </c>
      <c r="U701" s="39" t="str">
        <f>IF($T701=1,COUNTIF($T$2:$T701,1),"")</f>
        <v/>
      </c>
      <c r="V701" s="39" t="str">
        <f>IF($B701="","",IF(COUNTIF($B$2:$B701,$B701)=1,1,0))</f>
        <v/>
      </c>
      <c r="W701" s="39" t="str">
        <f>IF($V701=1,COUNTIF($V$2:$V701,1),"")</f>
        <v/>
      </c>
      <c r="X701" s="39" t="str">
        <f>IF($A701="","",IF(COUNTIF($A$2:$A701,$A701)=1,1,0))</f>
        <v/>
      </c>
      <c r="Y701" s="39" t="str">
        <f>IF($X701=1,COUNTIF($X$2:$X701,1),"")</f>
        <v/>
      </c>
      <c r="Z701" s="39">
        <f>IF(AND($E701="timed",$N701&gt;Settings!$C$8),1,0)</f>
        <v>0</v>
      </c>
      <c r="AA701" s="39">
        <f t="shared" si="184"/>
        <v>0</v>
      </c>
      <c r="AB701" s="39">
        <f t="shared" si="185"/>
        <v>0</v>
      </c>
      <c r="AC701" s="39" t="str">
        <f t="shared" si="186"/>
        <v/>
      </c>
      <c r="AD701" s="39" t="str">
        <f t="shared" si="187"/>
        <v/>
      </c>
      <c r="AE701" s="39" t="str">
        <f t="shared" si="188"/>
        <v/>
      </c>
      <c r="AF701" s="106" t="str">
        <f t="shared" si="189"/>
        <v/>
      </c>
      <c r="AG701" s="39">
        <f t="shared" si="190"/>
        <v>0</v>
      </c>
      <c r="AH701" s="39" t="str">
        <f t="shared" si="191"/>
        <v/>
      </c>
      <c r="AI701" s="39">
        <f>IF(AND($E701="timed",$N701&gt;=Settings!$C$9),1,0)</f>
        <v>0</v>
      </c>
      <c r="AJ701" s="39" t="str">
        <f>IF(OR($S701="",Settings!$C$16=""),"",IF($S701&lt;=Settings!$C$16,1,2))</f>
        <v/>
      </c>
      <c r="AK701" s="39" t="str">
        <f>IF($C701="","",IFERROR(IF(INDEX(Settings!$C$20:$C$59,MATCH($C701,Settings!$B$20:$B$59,0))="",Settings!$C$10,INDEX(Settings!$C$20:$C$59,MATCH($C701,Settings!$B$20:$B$59,0))),Settings!$C$10))</f>
        <v/>
      </c>
      <c r="AL701" s="108">
        <f t="shared" si="192"/>
        <v>0</v>
      </c>
      <c r="AM701" s="39" t="str">
        <f t="shared" si="193"/>
        <v/>
      </c>
      <c r="AN701" s="39" t="str">
        <f t="shared" si="194"/>
        <v/>
      </c>
      <c r="AO701" s="39" t="str">
        <f t="shared" si="195"/>
        <v/>
      </c>
      <c r="AP701" s="39">
        <f t="shared" si="196"/>
        <v>0</v>
      </c>
      <c r="AQ701" s="39">
        <f t="shared" si="197"/>
        <v>0</v>
      </c>
    </row>
    <row r="702" spans="14:43" x14ac:dyDescent="0.25">
      <c r="N702" s="105">
        <f t="shared" si="180"/>
        <v>0</v>
      </c>
      <c r="O702" s="106" t="str">
        <f>IF($F702="","",IF(ISNUMBER($F702),$F702+Settings!$C$7/24,IFERROR(DATEVALUE(LEFT($F702,10))+TIMEVALUE(MID($F702,12,8))+Settings!$C$7/24,"")))</f>
        <v/>
      </c>
      <c r="P702" s="106" t="str">
        <f>IF($G702="","",IF(ISNUMBER($G702),$G702+Settings!$C$7/24,IFERROR(DATEVALUE(LEFT($G702,10))+TIMEVALUE(MID($G702,12,8))+Settings!$C$7/24,"")))</f>
        <v/>
      </c>
      <c r="Q702" s="39" t="str">
        <f t="shared" si="181"/>
        <v/>
      </c>
      <c r="R702" s="39" t="str">
        <f t="shared" si="182"/>
        <v/>
      </c>
      <c r="S702" s="107" t="str">
        <f t="shared" si="183"/>
        <v/>
      </c>
      <c r="T702" s="39" t="str">
        <f>IF($C702="","",IF(COUNTIF($C$2:$C702,$C702)=1,1,0))</f>
        <v/>
      </c>
      <c r="U702" s="39" t="str">
        <f>IF($T702=1,COUNTIF($T$2:$T702,1),"")</f>
        <v/>
      </c>
      <c r="V702" s="39" t="str">
        <f>IF($B702="","",IF(COUNTIF($B$2:$B702,$B702)=1,1,0))</f>
        <v/>
      </c>
      <c r="W702" s="39" t="str">
        <f>IF($V702=1,COUNTIF($V$2:$V702,1),"")</f>
        <v/>
      </c>
      <c r="X702" s="39" t="str">
        <f>IF($A702="","",IF(COUNTIF($A$2:$A702,$A702)=1,1,0))</f>
        <v/>
      </c>
      <c r="Y702" s="39" t="str">
        <f>IF($X702=1,COUNTIF($X$2:$X702,1),"")</f>
        <v/>
      </c>
      <c r="Z702" s="39">
        <f>IF(AND($E702="timed",$N702&gt;Settings!$C$8),1,0)</f>
        <v>0</v>
      </c>
      <c r="AA702" s="39">
        <f t="shared" si="184"/>
        <v>0</v>
      </c>
      <c r="AB702" s="39">
        <f t="shared" si="185"/>
        <v>0</v>
      </c>
      <c r="AC702" s="39" t="str">
        <f t="shared" si="186"/>
        <v/>
      </c>
      <c r="AD702" s="39" t="str">
        <f t="shared" si="187"/>
        <v/>
      </c>
      <c r="AE702" s="39" t="str">
        <f t="shared" si="188"/>
        <v/>
      </c>
      <c r="AF702" s="106" t="str">
        <f t="shared" si="189"/>
        <v/>
      </c>
      <c r="AG702" s="39">
        <f t="shared" si="190"/>
        <v>0</v>
      </c>
      <c r="AH702" s="39" t="str">
        <f t="shared" si="191"/>
        <v/>
      </c>
      <c r="AI702" s="39">
        <f>IF(AND($E702="timed",$N702&gt;=Settings!$C$9),1,0)</f>
        <v>0</v>
      </c>
      <c r="AJ702" s="39" t="str">
        <f>IF(OR($S702="",Settings!$C$16=""),"",IF($S702&lt;=Settings!$C$16,1,2))</f>
        <v/>
      </c>
      <c r="AK702" s="39" t="str">
        <f>IF($C702="","",IFERROR(IF(INDEX(Settings!$C$20:$C$59,MATCH($C702,Settings!$B$20:$B$59,0))="",Settings!$C$10,INDEX(Settings!$C$20:$C$59,MATCH($C702,Settings!$B$20:$B$59,0))),Settings!$C$10))</f>
        <v/>
      </c>
      <c r="AL702" s="108">
        <f t="shared" si="192"/>
        <v>0</v>
      </c>
      <c r="AM702" s="39" t="str">
        <f t="shared" si="193"/>
        <v/>
      </c>
      <c r="AN702" s="39" t="str">
        <f t="shared" si="194"/>
        <v/>
      </c>
      <c r="AO702" s="39" t="str">
        <f t="shared" si="195"/>
        <v/>
      </c>
      <c r="AP702" s="39">
        <f t="shared" si="196"/>
        <v>0</v>
      </c>
      <c r="AQ702" s="39">
        <f t="shared" si="197"/>
        <v>0</v>
      </c>
    </row>
    <row r="703" spans="14:43" x14ac:dyDescent="0.25">
      <c r="N703" s="105">
        <f t="shared" si="180"/>
        <v>0</v>
      </c>
      <c r="O703" s="106" t="str">
        <f>IF($F703="","",IF(ISNUMBER($F703),$F703+Settings!$C$7/24,IFERROR(DATEVALUE(LEFT($F703,10))+TIMEVALUE(MID($F703,12,8))+Settings!$C$7/24,"")))</f>
        <v/>
      </c>
      <c r="P703" s="106" t="str">
        <f>IF($G703="","",IF(ISNUMBER($G703),$G703+Settings!$C$7/24,IFERROR(DATEVALUE(LEFT($G703,10))+TIMEVALUE(MID($G703,12,8))+Settings!$C$7/24,"")))</f>
        <v/>
      </c>
      <c r="Q703" s="39" t="str">
        <f t="shared" si="181"/>
        <v/>
      </c>
      <c r="R703" s="39" t="str">
        <f t="shared" si="182"/>
        <v/>
      </c>
      <c r="S703" s="107" t="str">
        <f t="shared" si="183"/>
        <v/>
      </c>
      <c r="T703" s="39" t="str">
        <f>IF($C703="","",IF(COUNTIF($C$2:$C703,$C703)=1,1,0))</f>
        <v/>
      </c>
      <c r="U703" s="39" t="str">
        <f>IF($T703=1,COUNTIF($T$2:$T703,1),"")</f>
        <v/>
      </c>
      <c r="V703" s="39" t="str">
        <f>IF($B703="","",IF(COUNTIF($B$2:$B703,$B703)=1,1,0))</f>
        <v/>
      </c>
      <c r="W703" s="39" t="str">
        <f>IF($V703=1,COUNTIF($V$2:$V703,1),"")</f>
        <v/>
      </c>
      <c r="X703" s="39" t="str">
        <f>IF($A703="","",IF(COUNTIF($A$2:$A703,$A703)=1,1,0))</f>
        <v/>
      </c>
      <c r="Y703" s="39" t="str">
        <f>IF($X703=1,COUNTIF($X$2:$X703,1),"")</f>
        <v/>
      </c>
      <c r="Z703" s="39">
        <f>IF(AND($E703="timed",$N703&gt;Settings!$C$8),1,0)</f>
        <v>0</v>
      </c>
      <c r="AA703" s="39">
        <f t="shared" si="184"/>
        <v>0</v>
      </c>
      <c r="AB703" s="39">
        <f t="shared" si="185"/>
        <v>0</v>
      </c>
      <c r="AC703" s="39" t="str">
        <f t="shared" si="186"/>
        <v/>
      </c>
      <c r="AD703" s="39" t="str">
        <f t="shared" si="187"/>
        <v/>
      </c>
      <c r="AE703" s="39" t="str">
        <f t="shared" si="188"/>
        <v/>
      </c>
      <c r="AF703" s="106" t="str">
        <f t="shared" si="189"/>
        <v/>
      </c>
      <c r="AG703" s="39">
        <f t="shared" si="190"/>
        <v>0</v>
      </c>
      <c r="AH703" s="39" t="str">
        <f t="shared" si="191"/>
        <v/>
      </c>
      <c r="AI703" s="39">
        <f>IF(AND($E703="timed",$N703&gt;=Settings!$C$9),1,0)</f>
        <v>0</v>
      </c>
      <c r="AJ703" s="39" t="str">
        <f>IF(OR($S703="",Settings!$C$16=""),"",IF($S703&lt;=Settings!$C$16,1,2))</f>
        <v/>
      </c>
      <c r="AK703" s="39" t="str">
        <f>IF($C703="","",IFERROR(IF(INDEX(Settings!$C$20:$C$59,MATCH($C703,Settings!$B$20:$B$59,0))="",Settings!$C$10,INDEX(Settings!$C$20:$C$59,MATCH($C703,Settings!$B$20:$B$59,0))),Settings!$C$10))</f>
        <v/>
      </c>
      <c r="AL703" s="108">
        <f t="shared" si="192"/>
        <v>0</v>
      </c>
      <c r="AM703" s="39" t="str">
        <f t="shared" si="193"/>
        <v/>
      </c>
      <c r="AN703" s="39" t="str">
        <f t="shared" si="194"/>
        <v/>
      </c>
      <c r="AO703" s="39" t="str">
        <f t="shared" si="195"/>
        <v/>
      </c>
      <c r="AP703" s="39">
        <f t="shared" si="196"/>
        <v>0</v>
      </c>
      <c r="AQ703" s="39">
        <f t="shared" si="197"/>
        <v>0</v>
      </c>
    </row>
    <row r="704" spans="14:43" x14ac:dyDescent="0.25">
      <c r="N704" s="105">
        <f t="shared" si="180"/>
        <v>0</v>
      </c>
      <c r="O704" s="106" t="str">
        <f>IF($F704="","",IF(ISNUMBER($F704),$F704+Settings!$C$7/24,IFERROR(DATEVALUE(LEFT($F704,10))+TIMEVALUE(MID($F704,12,8))+Settings!$C$7/24,"")))</f>
        <v/>
      </c>
      <c r="P704" s="106" t="str">
        <f>IF($G704="","",IF(ISNUMBER($G704),$G704+Settings!$C$7/24,IFERROR(DATEVALUE(LEFT($G704,10))+TIMEVALUE(MID($G704,12,8))+Settings!$C$7/24,"")))</f>
        <v/>
      </c>
      <c r="Q704" s="39" t="str">
        <f t="shared" si="181"/>
        <v/>
      </c>
      <c r="R704" s="39" t="str">
        <f t="shared" si="182"/>
        <v/>
      </c>
      <c r="S704" s="107" t="str">
        <f t="shared" si="183"/>
        <v/>
      </c>
      <c r="T704" s="39" t="str">
        <f>IF($C704="","",IF(COUNTIF($C$2:$C704,$C704)=1,1,0))</f>
        <v/>
      </c>
      <c r="U704" s="39" t="str">
        <f>IF($T704=1,COUNTIF($T$2:$T704,1),"")</f>
        <v/>
      </c>
      <c r="V704" s="39" t="str">
        <f>IF($B704="","",IF(COUNTIF($B$2:$B704,$B704)=1,1,0))</f>
        <v/>
      </c>
      <c r="W704" s="39" t="str">
        <f>IF($V704=1,COUNTIF($V$2:$V704,1),"")</f>
        <v/>
      </c>
      <c r="X704" s="39" t="str">
        <f>IF($A704="","",IF(COUNTIF($A$2:$A704,$A704)=1,1,0))</f>
        <v/>
      </c>
      <c r="Y704" s="39" t="str">
        <f>IF($X704=1,COUNTIF($X$2:$X704,1),"")</f>
        <v/>
      </c>
      <c r="Z704" s="39">
        <f>IF(AND($E704="timed",$N704&gt;Settings!$C$8),1,0)</f>
        <v>0</v>
      </c>
      <c r="AA704" s="39">
        <f t="shared" si="184"/>
        <v>0</v>
      </c>
      <c r="AB704" s="39">
        <f t="shared" si="185"/>
        <v>0</v>
      </c>
      <c r="AC704" s="39" t="str">
        <f t="shared" si="186"/>
        <v/>
      </c>
      <c r="AD704" s="39" t="str">
        <f t="shared" si="187"/>
        <v/>
      </c>
      <c r="AE704" s="39" t="str">
        <f t="shared" si="188"/>
        <v/>
      </c>
      <c r="AF704" s="106" t="str">
        <f t="shared" si="189"/>
        <v/>
      </c>
      <c r="AG704" s="39">
        <f t="shared" si="190"/>
        <v>0</v>
      </c>
      <c r="AH704" s="39" t="str">
        <f t="shared" si="191"/>
        <v/>
      </c>
      <c r="AI704" s="39">
        <f>IF(AND($E704="timed",$N704&gt;=Settings!$C$9),1,0)</f>
        <v>0</v>
      </c>
      <c r="AJ704" s="39" t="str">
        <f>IF(OR($S704="",Settings!$C$16=""),"",IF($S704&lt;=Settings!$C$16,1,2))</f>
        <v/>
      </c>
      <c r="AK704" s="39" t="str">
        <f>IF($C704="","",IFERROR(IF(INDEX(Settings!$C$20:$C$59,MATCH($C704,Settings!$B$20:$B$59,0))="",Settings!$C$10,INDEX(Settings!$C$20:$C$59,MATCH($C704,Settings!$B$20:$B$59,0))),Settings!$C$10))</f>
        <v/>
      </c>
      <c r="AL704" s="108">
        <f t="shared" si="192"/>
        <v>0</v>
      </c>
      <c r="AM704" s="39" t="str">
        <f t="shared" si="193"/>
        <v/>
      </c>
      <c r="AN704" s="39" t="str">
        <f t="shared" si="194"/>
        <v/>
      </c>
      <c r="AO704" s="39" t="str">
        <f t="shared" si="195"/>
        <v/>
      </c>
      <c r="AP704" s="39">
        <f t="shared" si="196"/>
        <v>0</v>
      </c>
      <c r="AQ704" s="39">
        <f t="shared" si="197"/>
        <v>0</v>
      </c>
    </row>
    <row r="705" spans="14:43" x14ac:dyDescent="0.25">
      <c r="N705" s="105">
        <f t="shared" si="180"/>
        <v>0</v>
      </c>
      <c r="O705" s="106" t="str">
        <f>IF($F705="","",IF(ISNUMBER($F705),$F705+Settings!$C$7/24,IFERROR(DATEVALUE(LEFT($F705,10))+TIMEVALUE(MID($F705,12,8))+Settings!$C$7/24,"")))</f>
        <v/>
      </c>
      <c r="P705" s="106" t="str">
        <f>IF($G705="","",IF(ISNUMBER($G705),$G705+Settings!$C$7/24,IFERROR(DATEVALUE(LEFT($G705,10))+TIMEVALUE(MID($G705,12,8))+Settings!$C$7/24,"")))</f>
        <v/>
      </c>
      <c r="Q705" s="39" t="str">
        <f t="shared" si="181"/>
        <v/>
      </c>
      <c r="R705" s="39" t="str">
        <f t="shared" si="182"/>
        <v/>
      </c>
      <c r="S705" s="107" t="str">
        <f t="shared" si="183"/>
        <v/>
      </c>
      <c r="T705" s="39" t="str">
        <f>IF($C705="","",IF(COUNTIF($C$2:$C705,$C705)=1,1,0))</f>
        <v/>
      </c>
      <c r="U705" s="39" t="str">
        <f>IF($T705=1,COUNTIF($T$2:$T705,1),"")</f>
        <v/>
      </c>
      <c r="V705" s="39" t="str">
        <f>IF($B705="","",IF(COUNTIF($B$2:$B705,$B705)=1,1,0))</f>
        <v/>
      </c>
      <c r="W705" s="39" t="str">
        <f>IF($V705=1,COUNTIF($V$2:$V705,1),"")</f>
        <v/>
      </c>
      <c r="X705" s="39" t="str">
        <f>IF($A705="","",IF(COUNTIF($A$2:$A705,$A705)=1,1,0))</f>
        <v/>
      </c>
      <c r="Y705" s="39" t="str">
        <f>IF($X705=1,COUNTIF($X$2:$X705,1),"")</f>
        <v/>
      </c>
      <c r="Z705" s="39">
        <f>IF(AND($E705="timed",$N705&gt;Settings!$C$8),1,0)</f>
        <v>0</v>
      </c>
      <c r="AA705" s="39">
        <f t="shared" si="184"/>
        <v>0</v>
      </c>
      <c r="AB705" s="39">
        <f t="shared" si="185"/>
        <v>0</v>
      </c>
      <c r="AC705" s="39" t="str">
        <f t="shared" si="186"/>
        <v/>
      </c>
      <c r="AD705" s="39" t="str">
        <f t="shared" si="187"/>
        <v/>
      </c>
      <c r="AE705" s="39" t="str">
        <f t="shared" si="188"/>
        <v/>
      </c>
      <c r="AF705" s="106" t="str">
        <f t="shared" si="189"/>
        <v/>
      </c>
      <c r="AG705" s="39">
        <f t="shared" si="190"/>
        <v>0</v>
      </c>
      <c r="AH705" s="39" t="str">
        <f t="shared" si="191"/>
        <v/>
      </c>
      <c r="AI705" s="39">
        <f>IF(AND($E705="timed",$N705&gt;=Settings!$C$9),1,0)</f>
        <v>0</v>
      </c>
      <c r="AJ705" s="39" t="str">
        <f>IF(OR($S705="",Settings!$C$16=""),"",IF($S705&lt;=Settings!$C$16,1,2))</f>
        <v/>
      </c>
      <c r="AK705" s="39" t="str">
        <f>IF($C705="","",IFERROR(IF(INDEX(Settings!$C$20:$C$59,MATCH($C705,Settings!$B$20:$B$59,0))="",Settings!$C$10,INDEX(Settings!$C$20:$C$59,MATCH($C705,Settings!$B$20:$B$59,0))),Settings!$C$10))</f>
        <v/>
      </c>
      <c r="AL705" s="108">
        <f t="shared" si="192"/>
        <v>0</v>
      </c>
      <c r="AM705" s="39" t="str">
        <f t="shared" si="193"/>
        <v/>
      </c>
      <c r="AN705" s="39" t="str">
        <f t="shared" si="194"/>
        <v/>
      </c>
      <c r="AO705" s="39" t="str">
        <f t="shared" si="195"/>
        <v/>
      </c>
      <c r="AP705" s="39">
        <f t="shared" si="196"/>
        <v>0</v>
      </c>
      <c r="AQ705" s="39">
        <f t="shared" si="197"/>
        <v>0</v>
      </c>
    </row>
    <row r="706" spans="14:43" x14ac:dyDescent="0.25">
      <c r="N706" s="105">
        <f t="shared" ref="N706:N769" si="198">IF($E706&lt;&gt;"timed",0,IF(ISNUMBER($H706),$H706,IFERROR(VALUE($H706),0)))</f>
        <v>0</v>
      </c>
      <c r="O706" s="106" t="str">
        <f>IF($F706="","",IF(ISNUMBER($F706),$F706+Settings!$C$7/24,IFERROR(DATEVALUE(LEFT($F706,10))+TIMEVALUE(MID($F706,12,8))+Settings!$C$7/24,"")))</f>
        <v/>
      </c>
      <c r="P706" s="106" t="str">
        <f>IF($G706="","",IF(ISNUMBER($G706),$G706+Settings!$C$7/24,IFERROR(DATEVALUE(LEFT($G706,10))+TIMEVALUE(MID($G706,12,8))+Settings!$C$7/24,"")))</f>
        <v/>
      </c>
      <c r="Q706" s="39" t="str">
        <f t="shared" ref="Q706:Q769" si="199">IF($O706="","",HOUR($O706))</f>
        <v/>
      </c>
      <c r="R706" s="39" t="str">
        <f t="shared" ref="R706:R769" si="200">IF($O706="","",WEEKDAY($O706,2))</f>
        <v/>
      </c>
      <c r="S706" s="107" t="str">
        <f t="shared" ref="S706:S769" si="201">IF($A706="","",IF(ISNUMBER($A706),INT($A706),IFERROR(DATEVALUE($A706),"")))</f>
        <v/>
      </c>
      <c r="T706" s="39" t="str">
        <f>IF($C706="","",IF(COUNTIF($C$2:$C706,$C706)=1,1,0))</f>
        <v/>
      </c>
      <c r="U706" s="39" t="str">
        <f>IF($T706=1,COUNTIF($T$2:$T706,1),"")</f>
        <v/>
      </c>
      <c r="V706" s="39" t="str">
        <f>IF($B706="","",IF(COUNTIF($B$2:$B706,$B706)=1,1,0))</f>
        <v/>
      </c>
      <c r="W706" s="39" t="str">
        <f>IF($V706=1,COUNTIF($V$2:$V706,1),"")</f>
        <v/>
      </c>
      <c r="X706" s="39" t="str">
        <f>IF($A706="","",IF(COUNTIF($A$2:$A706,$A706)=1,1,0))</f>
        <v/>
      </c>
      <c r="Y706" s="39" t="str">
        <f>IF($X706=1,COUNTIF($X$2:$X706,1),"")</f>
        <v/>
      </c>
      <c r="Z706" s="39">
        <f>IF(AND($E706="timed",$N706&gt;Settings!$C$8),1,0)</f>
        <v>0</v>
      </c>
      <c r="AA706" s="39">
        <f t="shared" ref="AA706:AA769" si="202">IF(AND($E706="timed",$G706=""),1,0)</f>
        <v>0</v>
      </c>
      <c r="AB706" s="39">
        <f t="shared" ref="AB706:AB769" si="203">IF($E706&lt;&gt;"timed",0,IF(ISNUMBER($I706),$I706,IFERROR(VALUE($I706),0)))</f>
        <v>0</v>
      </c>
      <c r="AC706" s="39" t="str">
        <f t="shared" ref="AC706:AC769" si="204">IF(OR($E706&lt;&gt;"timed",$O706=""),"",ROUND($O706*86400,0)*10000+ROW())</f>
        <v/>
      </c>
      <c r="AD706" s="39" t="str">
        <f t="shared" ref="AD706:AD769" si="205">IF($AC706="","",COUNTIF($AC$2:$AC$1201,"&lt;"&amp;$AC706)+1)</f>
        <v/>
      </c>
      <c r="AE706" s="39" t="str">
        <f t="shared" ref="AE706:AE769" si="206">IF($AD706="","",IFERROR(IF(INDEX($S$2:$S$1201,MATCH($AD706-1,$AD$2:$AD$1201,0))=$S706,INDEX($C$2:$C$1201,MATCH($AD706-1,$AD$2:$AD$1201,0)),""),""))</f>
        <v/>
      </c>
      <c r="AF706" s="106" t="str">
        <f t="shared" ref="AF706:AF769" si="207">IF($AD706="","",IFERROR(IF(INDEX($S$2:$S$1201,MATCH($AD706-1,$AD$2:$AD$1201,0))=$S706,INDEX($P$2:$P$1201,MATCH($AD706-1,$AD$2:$AD$1201,0)),""),""))</f>
        <v/>
      </c>
      <c r="AG706" s="39">
        <f t="shared" ref="AG706:AG769" si="208">IF(OR($E706&lt;&gt;"timed",$AE706=""),0,IF($AE706=$C706,0,1))</f>
        <v>0</v>
      </c>
      <c r="AH706" s="39" t="str">
        <f t="shared" ref="AH706:AH769" si="209">IF(OR($AF706="",$O706=""),"",MAX(0,ROUND(($O706-$AF706)*1440,0)))</f>
        <v/>
      </c>
      <c r="AI706" s="39">
        <f>IF(AND($E706="timed",$N706&gt;=Settings!$C$9),1,0)</f>
        <v>0</v>
      </c>
      <c r="AJ706" s="39" t="str">
        <f>IF(OR($S706="",Settings!$C$16=""),"",IF($S706&lt;=Settings!$C$16,1,2))</f>
        <v/>
      </c>
      <c r="AK706" s="39" t="str">
        <f>IF($C706="","",IFERROR(IF(INDEX(Settings!$C$20:$C$59,MATCH($C706,Settings!$B$20:$B$59,0))="",Settings!$C$10,INDEX(Settings!$C$20:$C$59,MATCH($C706,Settings!$B$20:$B$59,0))),Settings!$C$10))</f>
        <v/>
      </c>
      <c r="AL706" s="108">
        <f t="shared" ref="AL706:AL769" si="210">IF(OR($N706=0,$AK706=""),0,ROUND($N706/60*$AK706,2))</f>
        <v>0</v>
      </c>
      <c r="AM706" s="39" t="str">
        <f t="shared" ref="AM706:AM769" si="211">IF($AD706="","",IFERROR(INDEX($S$2:$S$1201,MATCH($AD706-1,$AD$2:$AD$1201,0)),""))</f>
        <v/>
      </c>
      <c r="AN706" s="39" t="str">
        <f t="shared" ref="AN706:AN769" si="212">IF($Z706=1,$N706+ROW()/1000000,"")</f>
        <v/>
      </c>
      <c r="AO706" s="39" t="str">
        <f t="shared" ref="AO706:AO769" si="213">IF(OR($E706&lt;&gt;"timed",$P706=""),"",ROUND($P706*86400,0)*10000+ROW())</f>
        <v/>
      </c>
      <c r="AP706" s="39">
        <f t="shared" ref="AP706:AP769" si="214">IF($AC706="",0,IF(COUNTIFS($S$2:$S$1201,$S706,$AC$2:$AC$1201,"&lt;"&amp;$AC706)=0,1,0))</f>
        <v>0</v>
      </c>
      <c r="AQ706" s="39">
        <f t="shared" ref="AQ706:AQ769" si="215">IF($AO706="",0,IF(COUNTIFS($S$2:$S$1201,$S706,$AO$2:$AO$1201,"&gt;"&amp;$AO706)=0,1,0))</f>
        <v>0</v>
      </c>
    </row>
    <row r="707" spans="14:43" x14ac:dyDescent="0.25">
      <c r="N707" s="105">
        <f t="shared" si="198"/>
        <v>0</v>
      </c>
      <c r="O707" s="106" t="str">
        <f>IF($F707="","",IF(ISNUMBER($F707),$F707+Settings!$C$7/24,IFERROR(DATEVALUE(LEFT($F707,10))+TIMEVALUE(MID($F707,12,8))+Settings!$C$7/24,"")))</f>
        <v/>
      </c>
      <c r="P707" s="106" t="str">
        <f>IF($G707="","",IF(ISNUMBER($G707),$G707+Settings!$C$7/24,IFERROR(DATEVALUE(LEFT($G707,10))+TIMEVALUE(MID($G707,12,8))+Settings!$C$7/24,"")))</f>
        <v/>
      </c>
      <c r="Q707" s="39" t="str">
        <f t="shared" si="199"/>
        <v/>
      </c>
      <c r="R707" s="39" t="str">
        <f t="shared" si="200"/>
        <v/>
      </c>
      <c r="S707" s="107" t="str">
        <f t="shared" si="201"/>
        <v/>
      </c>
      <c r="T707" s="39" t="str">
        <f>IF($C707="","",IF(COUNTIF($C$2:$C707,$C707)=1,1,0))</f>
        <v/>
      </c>
      <c r="U707" s="39" t="str">
        <f>IF($T707=1,COUNTIF($T$2:$T707,1),"")</f>
        <v/>
      </c>
      <c r="V707" s="39" t="str">
        <f>IF($B707="","",IF(COUNTIF($B$2:$B707,$B707)=1,1,0))</f>
        <v/>
      </c>
      <c r="W707" s="39" t="str">
        <f>IF($V707=1,COUNTIF($V$2:$V707,1),"")</f>
        <v/>
      </c>
      <c r="X707" s="39" t="str">
        <f>IF($A707="","",IF(COUNTIF($A$2:$A707,$A707)=1,1,0))</f>
        <v/>
      </c>
      <c r="Y707" s="39" t="str">
        <f>IF($X707=1,COUNTIF($X$2:$X707,1),"")</f>
        <v/>
      </c>
      <c r="Z707" s="39">
        <f>IF(AND($E707="timed",$N707&gt;Settings!$C$8),1,0)</f>
        <v>0</v>
      </c>
      <c r="AA707" s="39">
        <f t="shared" si="202"/>
        <v>0</v>
      </c>
      <c r="AB707" s="39">
        <f t="shared" si="203"/>
        <v>0</v>
      </c>
      <c r="AC707" s="39" t="str">
        <f t="shared" si="204"/>
        <v/>
      </c>
      <c r="AD707" s="39" t="str">
        <f t="shared" si="205"/>
        <v/>
      </c>
      <c r="AE707" s="39" t="str">
        <f t="shared" si="206"/>
        <v/>
      </c>
      <c r="AF707" s="106" t="str">
        <f t="shared" si="207"/>
        <v/>
      </c>
      <c r="AG707" s="39">
        <f t="shared" si="208"/>
        <v>0</v>
      </c>
      <c r="AH707" s="39" t="str">
        <f t="shared" si="209"/>
        <v/>
      </c>
      <c r="AI707" s="39">
        <f>IF(AND($E707="timed",$N707&gt;=Settings!$C$9),1,0)</f>
        <v>0</v>
      </c>
      <c r="AJ707" s="39" t="str">
        <f>IF(OR($S707="",Settings!$C$16=""),"",IF($S707&lt;=Settings!$C$16,1,2))</f>
        <v/>
      </c>
      <c r="AK707" s="39" t="str">
        <f>IF($C707="","",IFERROR(IF(INDEX(Settings!$C$20:$C$59,MATCH($C707,Settings!$B$20:$B$59,0))="",Settings!$C$10,INDEX(Settings!$C$20:$C$59,MATCH($C707,Settings!$B$20:$B$59,0))),Settings!$C$10))</f>
        <v/>
      </c>
      <c r="AL707" s="108">
        <f t="shared" si="210"/>
        <v>0</v>
      </c>
      <c r="AM707" s="39" t="str">
        <f t="shared" si="211"/>
        <v/>
      </c>
      <c r="AN707" s="39" t="str">
        <f t="shared" si="212"/>
        <v/>
      </c>
      <c r="AO707" s="39" t="str">
        <f t="shared" si="213"/>
        <v/>
      </c>
      <c r="AP707" s="39">
        <f t="shared" si="214"/>
        <v>0</v>
      </c>
      <c r="AQ707" s="39">
        <f t="shared" si="215"/>
        <v>0</v>
      </c>
    </row>
    <row r="708" spans="14:43" x14ac:dyDescent="0.25">
      <c r="N708" s="105">
        <f t="shared" si="198"/>
        <v>0</v>
      </c>
      <c r="O708" s="106" t="str">
        <f>IF($F708="","",IF(ISNUMBER($F708),$F708+Settings!$C$7/24,IFERROR(DATEVALUE(LEFT($F708,10))+TIMEVALUE(MID($F708,12,8))+Settings!$C$7/24,"")))</f>
        <v/>
      </c>
      <c r="P708" s="106" t="str">
        <f>IF($G708="","",IF(ISNUMBER($G708),$G708+Settings!$C$7/24,IFERROR(DATEVALUE(LEFT($G708,10))+TIMEVALUE(MID($G708,12,8))+Settings!$C$7/24,"")))</f>
        <v/>
      </c>
      <c r="Q708" s="39" t="str">
        <f t="shared" si="199"/>
        <v/>
      </c>
      <c r="R708" s="39" t="str">
        <f t="shared" si="200"/>
        <v/>
      </c>
      <c r="S708" s="107" t="str">
        <f t="shared" si="201"/>
        <v/>
      </c>
      <c r="T708" s="39" t="str">
        <f>IF($C708="","",IF(COUNTIF($C$2:$C708,$C708)=1,1,0))</f>
        <v/>
      </c>
      <c r="U708" s="39" t="str">
        <f>IF($T708=1,COUNTIF($T$2:$T708,1),"")</f>
        <v/>
      </c>
      <c r="V708" s="39" t="str">
        <f>IF($B708="","",IF(COUNTIF($B$2:$B708,$B708)=1,1,0))</f>
        <v/>
      </c>
      <c r="W708" s="39" t="str">
        <f>IF($V708=1,COUNTIF($V$2:$V708,1),"")</f>
        <v/>
      </c>
      <c r="X708" s="39" t="str">
        <f>IF($A708="","",IF(COUNTIF($A$2:$A708,$A708)=1,1,0))</f>
        <v/>
      </c>
      <c r="Y708" s="39" t="str">
        <f>IF($X708=1,COUNTIF($X$2:$X708,1),"")</f>
        <v/>
      </c>
      <c r="Z708" s="39">
        <f>IF(AND($E708="timed",$N708&gt;Settings!$C$8),1,0)</f>
        <v>0</v>
      </c>
      <c r="AA708" s="39">
        <f t="shared" si="202"/>
        <v>0</v>
      </c>
      <c r="AB708" s="39">
        <f t="shared" si="203"/>
        <v>0</v>
      </c>
      <c r="AC708" s="39" t="str">
        <f t="shared" si="204"/>
        <v/>
      </c>
      <c r="AD708" s="39" t="str">
        <f t="shared" si="205"/>
        <v/>
      </c>
      <c r="AE708" s="39" t="str">
        <f t="shared" si="206"/>
        <v/>
      </c>
      <c r="AF708" s="106" t="str">
        <f t="shared" si="207"/>
        <v/>
      </c>
      <c r="AG708" s="39">
        <f t="shared" si="208"/>
        <v>0</v>
      </c>
      <c r="AH708" s="39" t="str">
        <f t="shared" si="209"/>
        <v/>
      </c>
      <c r="AI708" s="39">
        <f>IF(AND($E708="timed",$N708&gt;=Settings!$C$9),1,0)</f>
        <v>0</v>
      </c>
      <c r="AJ708" s="39" t="str">
        <f>IF(OR($S708="",Settings!$C$16=""),"",IF($S708&lt;=Settings!$C$16,1,2))</f>
        <v/>
      </c>
      <c r="AK708" s="39" t="str">
        <f>IF($C708="","",IFERROR(IF(INDEX(Settings!$C$20:$C$59,MATCH($C708,Settings!$B$20:$B$59,0))="",Settings!$C$10,INDEX(Settings!$C$20:$C$59,MATCH($C708,Settings!$B$20:$B$59,0))),Settings!$C$10))</f>
        <v/>
      </c>
      <c r="AL708" s="108">
        <f t="shared" si="210"/>
        <v>0</v>
      </c>
      <c r="AM708" s="39" t="str">
        <f t="shared" si="211"/>
        <v/>
      </c>
      <c r="AN708" s="39" t="str">
        <f t="shared" si="212"/>
        <v/>
      </c>
      <c r="AO708" s="39" t="str">
        <f t="shared" si="213"/>
        <v/>
      </c>
      <c r="AP708" s="39">
        <f t="shared" si="214"/>
        <v>0</v>
      </c>
      <c r="AQ708" s="39">
        <f t="shared" si="215"/>
        <v>0</v>
      </c>
    </row>
    <row r="709" spans="14:43" x14ac:dyDescent="0.25">
      <c r="N709" s="105">
        <f t="shared" si="198"/>
        <v>0</v>
      </c>
      <c r="O709" s="106" t="str">
        <f>IF($F709="","",IF(ISNUMBER($F709),$F709+Settings!$C$7/24,IFERROR(DATEVALUE(LEFT($F709,10))+TIMEVALUE(MID($F709,12,8))+Settings!$C$7/24,"")))</f>
        <v/>
      </c>
      <c r="P709" s="106" t="str">
        <f>IF($G709="","",IF(ISNUMBER($G709),$G709+Settings!$C$7/24,IFERROR(DATEVALUE(LEFT($G709,10))+TIMEVALUE(MID($G709,12,8))+Settings!$C$7/24,"")))</f>
        <v/>
      </c>
      <c r="Q709" s="39" t="str">
        <f t="shared" si="199"/>
        <v/>
      </c>
      <c r="R709" s="39" t="str">
        <f t="shared" si="200"/>
        <v/>
      </c>
      <c r="S709" s="107" t="str">
        <f t="shared" si="201"/>
        <v/>
      </c>
      <c r="T709" s="39" t="str">
        <f>IF($C709="","",IF(COUNTIF($C$2:$C709,$C709)=1,1,0))</f>
        <v/>
      </c>
      <c r="U709" s="39" t="str">
        <f>IF($T709=1,COUNTIF($T$2:$T709,1),"")</f>
        <v/>
      </c>
      <c r="V709" s="39" t="str">
        <f>IF($B709="","",IF(COUNTIF($B$2:$B709,$B709)=1,1,0))</f>
        <v/>
      </c>
      <c r="W709" s="39" t="str">
        <f>IF($V709=1,COUNTIF($V$2:$V709,1),"")</f>
        <v/>
      </c>
      <c r="X709" s="39" t="str">
        <f>IF($A709="","",IF(COUNTIF($A$2:$A709,$A709)=1,1,0))</f>
        <v/>
      </c>
      <c r="Y709" s="39" t="str">
        <f>IF($X709=1,COUNTIF($X$2:$X709,1),"")</f>
        <v/>
      </c>
      <c r="Z709" s="39">
        <f>IF(AND($E709="timed",$N709&gt;Settings!$C$8),1,0)</f>
        <v>0</v>
      </c>
      <c r="AA709" s="39">
        <f t="shared" si="202"/>
        <v>0</v>
      </c>
      <c r="AB709" s="39">
        <f t="shared" si="203"/>
        <v>0</v>
      </c>
      <c r="AC709" s="39" t="str">
        <f t="shared" si="204"/>
        <v/>
      </c>
      <c r="AD709" s="39" t="str">
        <f t="shared" si="205"/>
        <v/>
      </c>
      <c r="AE709" s="39" t="str">
        <f t="shared" si="206"/>
        <v/>
      </c>
      <c r="AF709" s="106" t="str">
        <f t="shared" si="207"/>
        <v/>
      </c>
      <c r="AG709" s="39">
        <f t="shared" si="208"/>
        <v>0</v>
      </c>
      <c r="AH709" s="39" t="str">
        <f t="shared" si="209"/>
        <v/>
      </c>
      <c r="AI709" s="39">
        <f>IF(AND($E709="timed",$N709&gt;=Settings!$C$9),1,0)</f>
        <v>0</v>
      </c>
      <c r="AJ709" s="39" t="str">
        <f>IF(OR($S709="",Settings!$C$16=""),"",IF($S709&lt;=Settings!$C$16,1,2))</f>
        <v/>
      </c>
      <c r="AK709" s="39" t="str">
        <f>IF($C709="","",IFERROR(IF(INDEX(Settings!$C$20:$C$59,MATCH($C709,Settings!$B$20:$B$59,0))="",Settings!$C$10,INDEX(Settings!$C$20:$C$59,MATCH($C709,Settings!$B$20:$B$59,0))),Settings!$C$10))</f>
        <v/>
      </c>
      <c r="AL709" s="108">
        <f t="shared" si="210"/>
        <v>0</v>
      </c>
      <c r="AM709" s="39" t="str">
        <f t="shared" si="211"/>
        <v/>
      </c>
      <c r="AN709" s="39" t="str">
        <f t="shared" si="212"/>
        <v/>
      </c>
      <c r="AO709" s="39" t="str">
        <f t="shared" si="213"/>
        <v/>
      </c>
      <c r="AP709" s="39">
        <f t="shared" si="214"/>
        <v>0</v>
      </c>
      <c r="AQ709" s="39">
        <f t="shared" si="215"/>
        <v>0</v>
      </c>
    </row>
    <row r="710" spans="14:43" x14ac:dyDescent="0.25">
      <c r="N710" s="105">
        <f t="shared" si="198"/>
        <v>0</v>
      </c>
      <c r="O710" s="106" t="str">
        <f>IF($F710="","",IF(ISNUMBER($F710),$F710+Settings!$C$7/24,IFERROR(DATEVALUE(LEFT($F710,10))+TIMEVALUE(MID($F710,12,8))+Settings!$C$7/24,"")))</f>
        <v/>
      </c>
      <c r="P710" s="106" t="str">
        <f>IF($G710="","",IF(ISNUMBER($G710),$G710+Settings!$C$7/24,IFERROR(DATEVALUE(LEFT($G710,10))+TIMEVALUE(MID($G710,12,8))+Settings!$C$7/24,"")))</f>
        <v/>
      </c>
      <c r="Q710" s="39" t="str">
        <f t="shared" si="199"/>
        <v/>
      </c>
      <c r="R710" s="39" t="str">
        <f t="shared" si="200"/>
        <v/>
      </c>
      <c r="S710" s="107" t="str">
        <f t="shared" si="201"/>
        <v/>
      </c>
      <c r="T710" s="39" t="str">
        <f>IF($C710="","",IF(COUNTIF($C$2:$C710,$C710)=1,1,0))</f>
        <v/>
      </c>
      <c r="U710" s="39" t="str">
        <f>IF($T710=1,COUNTIF($T$2:$T710,1),"")</f>
        <v/>
      </c>
      <c r="V710" s="39" t="str">
        <f>IF($B710="","",IF(COUNTIF($B$2:$B710,$B710)=1,1,0))</f>
        <v/>
      </c>
      <c r="W710" s="39" t="str">
        <f>IF($V710=1,COUNTIF($V$2:$V710,1),"")</f>
        <v/>
      </c>
      <c r="X710" s="39" t="str">
        <f>IF($A710="","",IF(COUNTIF($A$2:$A710,$A710)=1,1,0))</f>
        <v/>
      </c>
      <c r="Y710" s="39" t="str">
        <f>IF($X710=1,COUNTIF($X$2:$X710,1),"")</f>
        <v/>
      </c>
      <c r="Z710" s="39">
        <f>IF(AND($E710="timed",$N710&gt;Settings!$C$8),1,0)</f>
        <v>0</v>
      </c>
      <c r="AA710" s="39">
        <f t="shared" si="202"/>
        <v>0</v>
      </c>
      <c r="AB710" s="39">
        <f t="shared" si="203"/>
        <v>0</v>
      </c>
      <c r="AC710" s="39" t="str">
        <f t="shared" si="204"/>
        <v/>
      </c>
      <c r="AD710" s="39" t="str">
        <f t="shared" si="205"/>
        <v/>
      </c>
      <c r="AE710" s="39" t="str">
        <f t="shared" si="206"/>
        <v/>
      </c>
      <c r="AF710" s="106" t="str">
        <f t="shared" si="207"/>
        <v/>
      </c>
      <c r="AG710" s="39">
        <f t="shared" si="208"/>
        <v>0</v>
      </c>
      <c r="AH710" s="39" t="str">
        <f t="shared" si="209"/>
        <v/>
      </c>
      <c r="AI710" s="39">
        <f>IF(AND($E710="timed",$N710&gt;=Settings!$C$9),1,0)</f>
        <v>0</v>
      </c>
      <c r="AJ710" s="39" t="str">
        <f>IF(OR($S710="",Settings!$C$16=""),"",IF($S710&lt;=Settings!$C$16,1,2))</f>
        <v/>
      </c>
      <c r="AK710" s="39" t="str">
        <f>IF($C710="","",IFERROR(IF(INDEX(Settings!$C$20:$C$59,MATCH($C710,Settings!$B$20:$B$59,0))="",Settings!$C$10,INDEX(Settings!$C$20:$C$59,MATCH($C710,Settings!$B$20:$B$59,0))),Settings!$C$10))</f>
        <v/>
      </c>
      <c r="AL710" s="108">
        <f t="shared" si="210"/>
        <v>0</v>
      </c>
      <c r="AM710" s="39" t="str">
        <f t="shared" si="211"/>
        <v/>
      </c>
      <c r="AN710" s="39" t="str">
        <f t="shared" si="212"/>
        <v/>
      </c>
      <c r="AO710" s="39" t="str">
        <f t="shared" si="213"/>
        <v/>
      </c>
      <c r="AP710" s="39">
        <f t="shared" si="214"/>
        <v>0</v>
      </c>
      <c r="AQ710" s="39">
        <f t="shared" si="215"/>
        <v>0</v>
      </c>
    </row>
    <row r="711" spans="14:43" x14ac:dyDescent="0.25">
      <c r="N711" s="105">
        <f t="shared" si="198"/>
        <v>0</v>
      </c>
      <c r="O711" s="106" t="str">
        <f>IF($F711="","",IF(ISNUMBER($F711),$F711+Settings!$C$7/24,IFERROR(DATEVALUE(LEFT($F711,10))+TIMEVALUE(MID($F711,12,8))+Settings!$C$7/24,"")))</f>
        <v/>
      </c>
      <c r="P711" s="106" t="str">
        <f>IF($G711="","",IF(ISNUMBER($G711),$G711+Settings!$C$7/24,IFERROR(DATEVALUE(LEFT($G711,10))+TIMEVALUE(MID($G711,12,8))+Settings!$C$7/24,"")))</f>
        <v/>
      </c>
      <c r="Q711" s="39" t="str">
        <f t="shared" si="199"/>
        <v/>
      </c>
      <c r="R711" s="39" t="str">
        <f t="shared" si="200"/>
        <v/>
      </c>
      <c r="S711" s="107" t="str">
        <f t="shared" si="201"/>
        <v/>
      </c>
      <c r="T711" s="39" t="str">
        <f>IF($C711="","",IF(COUNTIF($C$2:$C711,$C711)=1,1,0))</f>
        <v/>
      </c>
      <c r="U711" s="39" t="str">
        <f>IF($T711=1,COUNTIF($T$2:$T711,1),"")</f>
        <v/>
      </c>
      <c r="V711" s="39" t="str">
        <f>IF($B711="","",IF(COUNTIF($B$2:$B711,$B711)=1,1,0))</f>
        <v/>
      </c>
      <c r="W711" s="39" t="str">
        <f>IF($V711=1,COUNTIF($V$2:$V711,1),"")</f>
        <v/>
      </c>
      <c r="X711" s="39" t="str">
        <f>IF($A711="","",IF(COUNTIF($A$2:$A711,$A711)=1,1,0))</f>
        <v/>
      </c>
      <c r="Y711" s="39" t="str">
        <f>IF($X711=1,COUNTIF($X$2:$X711,1),"")</f>
        <v/>
      </c>
      <c r="Z711" s="39">
        <f>IF(AND($E711="timed",$N711&gt;Settings!$C$8),1,0)</f>
        <v>0</v>
      </c>
      <c r="AA711" s="39">
        <f t="shared" si="202"/>
        <v>0</v>
      </c>
      <c r="AB711" s="39">
        <f t="shared" si="203"/>
        <v>0</v>
      </c>
      <c r="AC711" s="39" t="str">
        <f t="shared" si="204"/>
        <v/>
      </c>
      <c r="AD711" s="39" t="str">
        <f t="shared" si="205"/>
        <v/>
      </c>
      <c r="AE711" s="39" t="str">
        <f t="shared" si="206"/>
        <v/>
      </c>
      <c r="AF711" s="106" t="str">
        <f t="shared" si="207"/>
        <v/>
      </c>
      <c r="AG711" s="39">
        <f t="shared" si="208"/>
        <v>0</v>
      </c>
      <c r="AH711" s="39" t="str">
        <f t="shared" si="209"/>
        <v/>
      </c>
      <c r="AI711" s="39">
        <f>IF(AND($E711="timed",$N711&gt;=Settings!$C$9),1,0)</f>
        <v>0</v>
      </c>
      <c r="AJ711" s="39" t="str">
        <f>IF(OR($S711="",Settings!$C$16=""),"",IF($S711&lt;=Settings!$C$16,1,2))</f>
        <v/>
      </c>
      <c r="AK711" s="39" t="str">
        <f>IF($C711="","",IFERROR(IF(INDEX(Settings!$C$20:$C$59,MATCH($C711,Settings!$B$20:$B$59,0))="",Settings!$C$10,INDEX(Settings!$C$20:$C$59,MATCH($C711,Settings!$B$20:$B$59,0))),Settings!$C$10))</f>
        <v/>
      </c>
      <c r="AL711" s="108">
        <f t="shared" si="210"/>
        <v>0</v>
      </c>
      <c r="AM711" s="39" t="str">
        <f t="shared" si="211"/>
        <v/>
      </c>
      <c r="AN711" s="39" t="str">
        <f t="shared" si="212"/>
        <v/>
      </c>
      <c r="AO711" s="39" t="str">
        <f t="shared" si="213"/>
        <v/>
      </c>
      <c r="AP711" s="39">
        <f t="shared" si="214"/>
        <v>0</v>
      </c>
      <c r="AQ711" s="39">
        <f t="shared" si="215"/>
        <v>0</v>
      </c>
    </row>
    <row r="712" spans="14:43" x14ac:dyDescent="0.25">
      <c r="N712" s="105">
        <f t="shared" si="198"/>
        <v>0</v>
      </c>
      <c r="O712" s="106" t="str">
        <f>IF($F712="","",IF(ISNUMBER($F712),$F712+Settings!$C$7/24,IFERROR(DATEVALUE(LEFT($F712,10))+TIMEVALUE(MID($F712,12,8))+Settings!$C$7/24,"")))</f>
        <v/>
      </c>
      <c r="P712" s="106" t="str">
        <f>IF($G712="","",IF(ISNUMBER($G712),$G712+Settings!$C$7/24,IFERROR(DATEVALUE(LEFT($G712,10))+TIMEVALUE(MID($G712,12,8))+Settings!$C$7/24,"")))</f>
        <v/>
      </c>
      <c r="Q712" s="39" t="str">
        <f t="shared" si="199"/>
        <v/>
      </c>
      <c r="R712" s="39" t="str">
        <f t="shared" si="200"/>
        <v/>
      </c>
      <c r="S712" s="107" t="str">
        <f t="shared" si="201"/>
        <v/>
      </c>
      <c r="T712" s="39" t="str">
        <f>IF($C712="","",IF(COUNTIF($C$2:$C712,$C712)=1,1,0))</f>
        <v/>
      </c>
      <c r="U712" s="39" t="str">
        <f>IF($T712=1,COUNTIF($T$2:$T712,1),"")</f>
        <v/>
      </c>
      <c r="V712" s="39" t="str">
        <f>IF($B712="","",IF(COUNTIF($B$2:$B712,$B712)=1,1,0))</f>
        <v/>
      </c>
      <c r="W712" s="39" t="str">
        <f>IF($V712=1,COUNTIF($V$2:$V712,1),"")</f>
        <v/>
      </c>
      <c r="X712" s="39" t="str">
        <f>IF($A712="","",IF(COUNTIF($A$2:$A712,$A712)=1,1,0))</f>
        <v/>
      </c>
      <c r="Y712" s="39" t="str">
        <f>IF($X712=1,COUNTIF($X$2:$X712,1),"")</f>
        <v/>
      </c>
      <c r="Z712" s="39">
        <f>IF(AND($E712="timed",$N712&gt;Settings!$C$8),1,0)</f>
        <v>0</v>
      </c>
      <c r="AA712" s="39">
        <f t="shared" si="202"/>
        <v>0</v>
      </c>
      <c r="AB712" s="39">
        <f t="shared" si="203"/>
        <v>0</v>
      </c>
      <c r="AC712" s="39" t="str">
        <f t="shared" si="204"/>
        <v/>
      </c>
      <c r="AD712" s="39" t="str">
        <f t="shared" si="205"/>
        <v/>
      </c>
      <c r="AE712" s="39" t="str">
        <f t="shared" si="206"/>
        <v/>
      </c>
      <c r="AF712" s="106" t="str">
        <f t="shared" si="207"/>
        <v/>
      </c>
      <c r="AG712" s="39">
        <f t="shared" si="208"/>
        <v>0</v>
      </c>
      <c r="AH712" s="39" t="str">
        <f t="shared" si="209"/>
        <v/>
      </c>
      <c r="AI712" s="39">
        <f>IF(AND($E712="timed",$N712&gt;=Settings!$C$9),1,0)</f>
        <v>0</v>
      </c>
      <c r="AJ712" s="39" t="str">
        <f>IF(OR($S712="",Settings!$C$16=""),"",IF($S712&lt;=Settings!$C$16,1,2))</f>
        <v/>
      </c>
      <c r="AK712" s="39" t="str">
        <f>IF($C712="","",IFERROR(IF(INDEX(Settings!$C$20:$C$59,MATCH($C712,Settings!$B$20:$B$59,0))="",Settings!$C$10,INDEX(Settings!$C$20:$C$59,MATCH($C712,Settings!$B$20:$B$59,0))),Settings!$C$10))</f>
        <v/>
      </c>
      <c r="AL712" s="108">
        <f t="shared" si="210"/>
        <v>0</v>
      </c>
      <c r="AM712" s="39" t="str">
        <f t="shared" si="211"/>
        <v/>
      </c>
      <c r="AN712" s="39" t="str">
        <f t="shared" si="212"/>
        <v/>
      </c>
      <c r="AO712" s="39" t="str">
        <f t="shared" si="213"/>
        <v/>
      </c>
      <c r="AP712" s="39">
        <f t="shared" si="214"/>
        <v>0</v>
      </c>
      <c r="AQ712" s="39">
        <f t="shared" si="215"/>
        <v>0</v>
      </c>
    </row>
    <row r="713" spans="14:43" x14ac:dyDescent="0.25">
      <c r="N713" s="105">
        <f t="shared" si="198"/>
        <v>0</v>
      </c>
      <c r="O713" s="106" t="str">
        <f>IF($F713="","",IF(ISNUMBER($F713),$F713+Settings!$C$7/24,IFERROR(DATEVALUE(LEFT($F713,10))+TIMEVALUE(MID($F713,12,8))+Settings!$C$7/24,"")))</f>
        <v/>
      </c>
      <c r="P713" s="106" t="str">
        <f>IF($G713="","",IF(ISNUMBER($G713),$G713+Settings!$C$7/24,IFERROR(DATEVALUE(LEFT($G713,10))+TIMEVALUE(MID($G713,12,8))+Settings!$C$7/24,"")))</f>
        <v/>
      </c>
      <c r="Q713" s="39" t="str">
        <f t="shared" si="199"/>
        <v/>
      </c>
      <c r="R713" s="39" t="str">
        <f t="shared" si="200"/>
        <v/>
      </c>
      <c r="S713" s="107" t="str">
        <f t="shared" si="201"/>
        <v/>
      </c>
      <c r="T713" s="39" t="str">
        <f>IF($C713="","",IF(COUNTIF($C$2:$C713,$C713)=1,1,0))</f>
        <v/>
      </c>
      <c r="U713" s="39" t="str">
        <f>IF($T713=1,COUNTIF($T$2:$T713,1),"")</f>
        <v/>
      </c>
      <c r="V713" s="39" t="str">
        <f>IF($B713="","",IF(COUNTIF($B$2:$B713,$B713)=1,1,0))</f>
        <v/>
      </c>
      <c r="W713" s="39" t="str">
        <f>IF($V713=1,COUNTIF($V$2:$V713,1),"")</f>
        <v/>
      </c>
      <c r="X713" s="39" t="str">
        <f>IF($A713="","",IF(COUNTIF($A$2:$A713,$A713)=1,1,0))</f>
        <v/>
      </c>
      <c r="Y713" s="39" t="str">
        <f>IF($X713=1,COUNTIF($X$2:$X713,1),"")</f>
        <v/>
      </c>
      <c r="Z713" s="39">
        <f>IF(AND($E713="timed",$N713&gt;Settings!$C$8),1,0)</f>
        <v>0</v>
      </c>
      <c r="AA713" s="39">
        <f t="shared" si="202"/>
        <v>0</v>
      </c>
      <c r="AB713" s="39">
        <f t="shared" si="203"/>
        <v>0</v>
      </c>
      <c r="AC713" s="39" t="str">
        <f t="shared" si="204"/>
        <v/>
      </c>
      <c r="AD713" s="39" t="str">
        <f t="shared" si="205"/>
        <v/>
      </c>
      <c r="AE713" s="39" t="str">
        <f t="shared" si="206"/>
        <v/>
      </c>
      <c r="AF713" s="106" t="str">
        <f t="shared" si="207"/>
        <v/>
      </c>
      <c r="AG713" s="39">
        <f t="shared" si="208"/>
        <v>0</v>
      </c>
      <c r="AH713" s="39" t="str">
        <f t="shared" si="209"/>
        <v/>
      </c>
      <c r="AI713" s="39">
        <f>IF(AND($E713="timed",$N713&gt;=Settings!$C$9),1,0)</f>
        <v>0</v>
      </c>
      <c r="AJ713" s="39" t="str">
        <f>IF(OR($S713="",Settings!$C$16=""),"",IF($S713&lt;=Settings!$C$16,1,2))</f>
        <v/>
      </c>
      <c r="AK713" s="39" t="str">
        <f>IF($C713="","",IFERROR(IF(INDEX(Settings!$C$20:$C$59,MATCH($C713,Settings!$B$20:$B$59,0))="",Settings!$C$10,INDEX(Settings!$C$20:$C$59,MATCH($C713,Settings!$B$20:$B$59,0))),Settings!$C$10))</f>
        <v/>
      </c>
      <c r="AL713" s="108">
        <f t="shared" si="210"/>
        <v>0</v>
      </c>
      <c r="AM713" s="39" t="str">
        <f t="shared" si="211"/>
        <v/>
      </c>
      <c r="AN713" s="39" t="str">
        <f t="shared" si="212"/>
        <v/>
      </c>
      <c r="AO713" s="39" t="str">
        <f t="shared" si="213"/>
        <v/>
      </c>
      <c r="AP713" s="39">
        <f t="shared" si="214"/>
        <v>0</v>
      </c>
      <c r="AQ713" s="39">
        <f t="shared" si="215"/>
        <v>0</v>
      </c>
    </row>
    <row r="714" spans="14:43" x14ac:dyDescent="0.25">
      <c r="N714" s="105">
        <f t="shared" si="198"/>
        <v>0</v>
      </c>
      <c r="O714" s="106" t="str">
        <f>IF($F714="","",IF(ISNUMBER($F714),$F714+Settings!$C$7/24,IFERROR(DATEVALUE(LEFT($F714,10))+TIMEVALUE(MID($F714,12,8))+Settings!$C$7/24,"")))</f>
        <v/>
      </c>
      <c r="P714" s="106" t="str">
        <f>IF($G714="","",IF(ISNUMBER($G714),$G714+Settings!$C$7/24,IFERROR(DATEVALUE(LEFT($G714,10))+TIMEVALUE(MID($G714,12,8))+Settings!$C$7/24,"")))</f>
        <v/>
      </c>
      <c r="Q714" s="39" t="str">
        <f t="shared" si="199"/>
        <v/>
      </c>
      <c r="R714" s="39" t="str">
        <f t="shared" si="200"/>
        <v/>
      </c>
      <c r="S714" s="107" t="str">
        <f t="shared" si="201"/>
        <v/>
      </c>
      <c r="T714" s="39" t="str">
        <f>IF($C714="","",IF(COUNTIF($C$2:$C714,$C714)=1,1,0))</f>
        <v/>
      </c>
      <c r="U714" s="39" t="str">
        <f>IF($T714=1,COUNTIF($T$2:$T714,1),"")</f>
        <v/>
      </c>
      <c r="V714" s="39" t="str">
        <f>IF($B714="","",IF(COUNTIF($B$2:$B714,$B714)=1,1,0))</f>
        <v/>
      </c>
      <c r="W714" s="39" t="str">
        <f>IF($V714=1,COUNTIF($V$2:$V714,1),"")</f>
        <v/>
      </c>
      <c r="X714" s="39" t="str">
        <f>IF($A714="","",IF(COUNTIF($A$2:$A714,$A714)=1,1,0))</f>
        <v/>
      </c>
      <c r="Y714" s="39" t="str">
        <f>IF($X714=1,COUNTIF($X$2:$X714,1),"")</f>
        <v/>
      </c>
      <c r="Z714" s="39">
        <f>IF(AND($E714="timed",$N714&gt;Settings!$C$8),1,0)</f>
        <v>0</v>
      </c>
      <c r="AA714" s="39">
        <f t="shared" si="202"/>
        <v>0</v>
      </c>
      <c r="AB714" s="39">
        <f t="shared" si="203"/>
        <v>0</v>
      </c>
      <c r="AC714" s="39" t="str">
        <f t="shared" si="204"/>
        <v/>
      </c>
      <c r="AD714" s="39" t="str">
        <f t="shared" si="205"/>
        <v/>
      </c>
      <c r="AE714" s="39" t="str">
        <f t="shared" si="206"/>
        <v/>
      </c>
      <c r="AF714" s="106" t="str">
        <f t="shared" si="207"/>
        <v/>
      </c>
      <c r="AG714" s="39">
        <f t="shared" si="208"/>
        <v>0</v>
      </c>
      <c r="AH714" s="39" t="str">
        <f t="shared" si="209"/>
        <v/>
      </c>
      <c r="AI714" s="39">
        <f>IF(AND($E714="timed",$N714&gt;=Settings!$C$9),1,0)</f>
        <v>0</v>
      </c>
      <c r="AJ714" s="39" t="str">
        <f>IF(OR($S714="",Settings!$C$16=""),"",IF($S714&lt;=Settings!$C$16,1,2))</f>
        <v/>
      </c>
      <c r="AK714" s="39" t="str">
        <f>IF($C714="","",IFERROR(IF(INDEX(Settings!$C$20:$C$59,MATCH($C714,Settings!$B$20:$B$59,0))="",Settings!$C$10,INDEX(Settings!$C$20:$C$59,MATCH($C714,Settings!$B$20:$B$59,0))),Settings!$C$10))</f>
        <v/>
      </c>
      <c r="AL714" s="108">
        <f t="shared" si="210"/>
        <v>0</v>
      </c>
      <c r="AM714" s="39" t="str">
        <f t="shared" si="211"/>
        <v/>
      </c>
      <c r="AN714" s="39" t="str">
        <f t="shared" si="212"/>
        <v/>
      </c>
      <c r="AO714" s="39" t="str">
        <f t="shared" si="213"/>
        <v/>
      </c>
      <c r="AP714" s="39">
        <f t="shared" si="214"/>
        <v>0</v>
      </c>
      <c r="AQ714" s="39">
        <f t="shared" si="215"/>
        <v>0</v>
      </c>
    </row>
    <row r="715" spans="14:43" x14ac:dyDescent="0.25">
      <c r="N715" s="105">
        <f t="shared" si="198"/>
        <v>0</v>
      </c>
      <c r="O715" s="106" t="str">
        <f>IF($F715="","",IF(ISNUMBER($F715),$F715+Settings!$C$7/24,IFERROR(DATEVALUE(LEFT($F715,10))+TIMEVALUE(MID($F715,12,8))+Settings!$C$7/24,"")))</f>
        <v/>
      </c>
      <c r="P715" s="106" t="str">
        <f>IF($G715="","",IF(ISNUMBER($G715),$G715+Settings!$C$7/24,IFERROR(DATEVALUE(LEFT($G715,10))+TIMEVALUE(MID($G715,12,8))+Settings!$C$7/24,"")))</f>
        <v/>
      </c>
      <c r="Q715" s="39" t="str">
        <f t="shared" si="199"/>
        <v/>
      </c>
      <c r="R715" s="39" t="str">
        <f t="shared" si="200"/>
        <v/>
      </c>
      <c r="S715" s="107" t="str">
        <f t="shared" si="201"/>
        <v/>
      </c>
      <c r="T715" s="39" t="str">
        <f>IF($C715="","",IF(COUNTIF($C$2:$C715,$C715)=1,1,0))</f>
        <v/>
      </c>
      <c r="U715" s="39" t="str">
        <f>IF($T715=1,COUNTIF($T$2:$T715,1),"")</f>
        <v/>
      </c>
      <c r="V715" s="39" t="str">
        <f>IF($B715="","",IF(COUNTIF($B$2:$B715,$B715)=1,1,0))</f>
        <v/>
      </c>
      <c r="W715" s="39" t="str">
        <f>IF($V715=1,COUNTIF($V$2:$V715,1),"")</f>
        <v/>
      </c>
      <c r="X715" s="39" t="str">
        <f>IF($A715="","",IF(COUNTIF($A$2:$A715,$A715)=1,1,0))</f>
        <v/>
      </c>
      <c r="Y715" s="39" t="str">
        <f>IF($X715=1,COUNTIF($X$2:$X715,1),"")</f>
        <v/>
      </c>
      <c r="Z715" s="39">
        <f>IF(AND($E715="timed",$N715&gt;Settings!$C$8),1,0)</f>
        <v>0</v>
      </c>
      <c r="AA715" s="39">
        <f t="shared" si="202"/>
        <v>0</v>
      </c>
      <c r="AB715" s="39">
        <f t="shared" si="203"/>
        <v>0</v>
      </c>
      <c r="AC715" s="39" t="str">
        <f t="shared" si="204"/>
        <v/>
      </c>
      <c r="AD715" s="39" t="str">
        <f t="shared" si="205"/>
        <v/>
      </c>
      <c r="AE715" s="39" t="str">
        <f t="shared" si="206"/>
        <v/>
      </c>
      <c r="AF715" s="106" t="str">
        <f t="shared" si="207"/>
        <v/>
      </c>
      <c r="AG715" s="39">
        <f t="shared" si="208"/>
        <v>0</v>
      </c>
      <c r="AH715" s="39" t="str">
        <f t="shared" si="209"/>
        <v/>
      </c>
      <c r="AI715" s="39">
        <f>IF(AND($E715="timed",$N715&gt;=Settings!$C$9),1,0)</f>
        <v>0</v>
      </c>
      <c r="AJ715" s="39" t="str">
        <f>IF(OR($S715="",Settings!$C$16=""),"",IF($S715&lt;=Settings!$C$16,1,2))</f>
        <v/>
      </c>
      <c r="AK715" s="39" t="str">
        <f>IF($C715="","",IFERROR(IF(INDEX(Settings!$C$20:$C$59,MATCH($C715,Settings!$B$20:$B$59,0))="",Settings!$C$10,INDEX(Settings!$C$20:$C$59,MATCH($C715,Settings!$B$20:$B$59,0))),Settings!$C$10))</f>
        <v/>
      </c>
      <c r="AL715" s="108">
        <f t="shared" si="210"/>
        <v>0</v>
      </c>
      <c r="AM715" s="39" t="str">
        <f t="shared" si="211"/>
        <v/>
      </c>
      <c r="AN715" s="39" t="str">
        <f t="shared" si="212"/>
        <v/>
      </c>
      <c r="AO715" s="39" t="str">
        <f t="shared" si="213"/>
        <v/>
      </c>
      <c r="AP715" s="39">
        <f t="shared" si="214"/>
        <v>0</v>
      </c>
      <c r="AQ715" s="39">
        <f t="shared" si="215"/>
        <v>0</v>
      </c>
    </row>
    <row r="716" spans="14:43" x14ac:dyDescent="0.25">
      <c r="N716" s="105">
        <f t="shared" si="198"/>
        <v>0</v>
      </c>
      <c r="O716" s="106" t="str">
        <f>IF($F716="","",IF(ISNUMBER($F716),$F716+Settings!$C$7/24,IFERROR(DATEVALUE(LEFT($F716,10))+TIMEVALUE(MID($F716,12,8))+Settings!$C$7/24,"")))</f>
        <v/>
      </c>
      <c r="P716" s="106" t="str">
        <f>IF($G716="","",IF(ISNUMBER($G716),$G716+Settings!$C$7/24,IFERROR(DATEVALUE(LEFT($G716,10))+TIMEVALUE(MID($G716,12,8))+Settings!$C$7/24,"")))</f>
        <v/>
      </c>
      <c r="Q716" s="39" t="str">
        <f t="shared" si="199"/>
        <v/>
      </c>
      <c r="R716" s="39" t="str">
        <f t="shared" si="200"/>
        <v/>
      </c>
      <c r="S716" s="107" t="str">
        <f t="shared" si="201"/>
        <v/>
      </c>
      <c r="T716" s="39" t="str">
        <f>IF($C716="","",IF(COUNTIF($C$2:$C716,$C716)=1,1,0))</f>
        <v/>
      </c>
      <c r="U716" s="39" t="str">
        <f>IF($T716=1,COUNTIF($T$2:$T716,1),"")</f>
        <v/>
      </c>
      <c r="V716" s="39" t="str">
        <f>IF($B716="","",IF(COUNTIF($B$2:$B716,$B716)=1,1,0))</f>
        <v/>
      </c>
      <c r="W716" s="39" t="str">
        <f>IF($V716=1,COUNTIF($V$2:$V716,1),"")</f>
        <v/>
      </c>
      <c r="X716" s="39" t="str">
        <f>IF($A716="","",IF(COUNTIF($A$2:$A716,$A716)=1,1,0))</f>
        <v/>
      </c>
      <c r="Y716" s="39" t="str">
        <f>IF($X716=1,COUNTIF($X$2:$X716,1),"")</f>
        <v/>
      </c>
      <c r="Z716" s="39">
        <f>IF(AND($E716="timed",$N716&gt;Settings!$C$8),1,0)</f>
        <v>0</v>
      </c>
      <c r="AA716" s="39">
        <f t="shared" si="202"/>
        <v>0</v>
      </c>
      <c r="AB716" s="39">
        <f t="shared" si="203"/>
        <v>0</v>
      </c>
      <c r="AC716" s="39" t="str">
        <f t="shared" si="204"/>
        <v/>
      </c>
      <c r="AD716" s="39" t="str">
        <f t="shared" si="205"/>
        <v/>
      </c>
      <c r="AE716" s="39" t="str">
        <f t="shared" si="206"/>
        <v/>
      </c>
      <c r="AF716" s="106" t="str">
        <f t="shared" si="207"/>
        <v/>
      </c>
      <c r="AG716" s="39">
        <f t="shared" si="208"/>
        <v>0</v>
      </c>
      <c r="AH716" s="39" t="str">
        <f t="shared" si="209"/>
        <v/>
      </c>
      <c r="AI716" s="39">
        <f>IF(AND($E716="timed",$N716&gt;=Settings!$C$9),1,0)</f>
        <v>0</v>
      </c>
      <c r="AJ716" s="39" t="str">
        <f>IF(OR($S716="",Settings!$C$16=""),"",IF($S716&lt;=Settings!$C$16,1,2))</f>
        <v/>
      </c>
      <c r="AK716" s="39" t="str">
        <f>IF($C716="","",IFERROR(IF(INDEX(Settings!$C$20:$C$59,MATCH($C716,Settings!$B$20:$B$59,0))="",Settings!$C$10,INDEX(Settings!$C$20:$C$59,MATCH($C716,Settings!$B$20:$B$59,0))),Settings!$C$10))</f>
        <v/>
      </c>
      <c r="AL716" s="108">
        <f t="shared" si="210"/>
        <v>0</v>
      </c>
      <c r="AM716" s="39" t="str">
        <f t="shared" si="211"/>
        <v/>
      </c>
      <c r="AN716" s="39" t="str">
        <f t="shared" si="212"/>
        <v/>
      </c>
      <c r="AO716" s="39" t="str">
        <f t="shared" si="213"/>
        <v/>
      </c>
      <c r="AP716" s="39">
        <f t="shared" si="214"/>
        <v>0</v>
      </c>
      <c r="AQ716" s="39">
        <f t="shared" si="215"/>
        <v>0</v>
      </c>
    </row>
    <row r="717" spans="14:43" x14ac:dyDescent="0.25">
      <c r="N717" s="105">
        <f t="shared" si="198"/>
        <v>0</v>
      </c>
      <c r="O717" s="106" t="str">
        <f>IF($F717="","",IF(ISNUMBER($F717),$F717+Settings!$C$7/24,IFERROR(DATEVALUE(LEFT($F717,10))+TIMEVALUE(MID($F717,12,8))+Settings!$C$7/24,"")))</f>
        <v/>
      </c>
      <c r="P717" s="106" t="str">
        <f>IF($G717="","",IF(ISNUMBER($G717),$G717+Settings!$C$7/24,IFERROR(DATEVALUE(LEFT($G717,10))+TIMEVALUE(MID($G717,12,8))+Settings!$C$7/24,"")))</f>
        <v/>
      </c>
      <c r="Q717" s="39" t="str">
        <f t="shared" si="199"/>
        <v/>
      </c>
      <c r="R717" s="39" t="str">
        <f t="shared" si="200"/>
        <v/>
      </c>
      <c r="S717" s="107" t="str">
        <f t="shared" si="201"/>
        <v/>
      </c>
      <c r="T717" s="39" t="str">
        <f>IF($C717="","",IF(COUNTIF($C$2:$C717,$C717)=1,1,0))</f>
        <v/>
      </c>
      <c r="U717" s="39" t="str">
        <f>IF($T717=1,COUNTIF($T$2:$T717,1),"")</f>
        <v/>
      </c>
      <c r="V717" s="39" t="str">
        <f>IF($B717="","",IF(COUNTIF($B$2:$B717,$B717)=1,1,0))</f>
        <v/>
      </c>
      <c r="W717" s="39" t="str">
        <f>IF($V717=1,COUNTIF($V$2:$V717,1),"")</f>
        <v/>
      </c>
      <c r="X717" s="39" t="str">
        <f>IF($A717="","",IF(COUNTIF($A$2:$A717,$A717)=1,1,0))</f>
        <v/>
      </c>
      <c r="Y717" s="39" t="str">
        <f>IF($X717=1,COUNTIF($X$2:$X717,1),"")</f>
        <v/>
      </c>
      <c r="Z717" s="39">
        <f>IF(AND($E717="timed",$N717&gt;Settings!$C$8),1,0)</f>
        <v>0</v>
      </c>
      <c r="AA717" s="39">
        <f t="shared" si="202"/>
        <v>0</v>
      </c>
      <c r="AB717" s="39">
        <f t="shared" si="203"/>
        <v>0</v>
      </c>
      <c r="AC717" s="39" t="str">
        <f t="shared" si="204"/>
        <v/>
      </c>
      <c r="AD717" s="39" t="str">
        <f t="shared" si="205"/>
        <v/>
      </c>
      <c r="AE717" s="39" t="str">
        <f t="shared" si="206"/>
        <v/>
      </c>
      <c r="AF717" s="106" t="str">
        <f t="shared" si="207"/>
        <v/>
      </c>
      <c r="AG717" s="39">
        <f t="shared" si="208"/>
        <v>0</v>
      </c>
      <c r="AH717" s="39" t="str">
        <f t="shared" si="209"/>
        <v/>
      </c>
      <c r="AI717" s="39">
        <f>IF(AND($E717="timed",$N717&gt;=Settings!$C$9),1,0)</f>
        <v>0</v>
      </c>
      <c r="AJ717" s="39" t="str">
        <f>IF(OR($S717="",Settings!$C$16=""),"",IF($S717&lt;=Settings!$C$16,1,2))</f>
        <v/>
      </c>
      <c r="AK717" s="39" t="str">
        <f>IF($C717="","",IFERROR(IF(INDEX(Settings!$C$20:$C$59,MATCH($C717,Settings!$B$20:$B$59,0))="",Settings!$C$10,INDEX(Settings!$C$20:$C$59,MATCH($C717,Settings!$B$20:$B$59,0))),Settings!$C$10))</f>
        <v/>
      </c>
      <c r="AL717" s="108">
        <f t="shared" si="210"/>
        <v>0</v>
      </c>
      <c r="AM717" s="39" t="str">
        <f t="shared" si="211"/>
        <v/>
      </c>
      <c r="AN717" s="39" t="str">
        <f t="shared" si="212"/>
        <v/>
      </c>
      <c r="AO717" s="39" t="str">
        <f t="shared" si="213"/>
        <v/>
      </c>
      <c r="AP717" s="39">
        <f t="shared" si="214"/>
        <v>0</v>
      </c>
      <c r="AQ717" s="39">
        <f t="shared" si="215"/>
        <v>0</v>
      </c>
    </row>
    <row r="718" spans="14:43" x14ac:dyDescent="0.25">
      <c r="N718" s="105">
        <f t="shared" si="198"/>
        <v>0</v>
      </c>
      <c r="O718" s="106" t="str">
        <f>IF($F718="","",IF(ISNUMBER($F718),$F718+Settings!$C$7/24,IFERROR(DATEVALUE(LEFT($F718,10))+TIMEVALUE(MID($F718,12,8))+Settings!$C$7/24,"")))</f>
        <v/>
      </c>
      <c r="P718" s="106" t="str">
        <f>IF($G718="","",IF(ISNUMBER($G718),$G718+Settings!$C$7/24,IFERROR(DATEVALUE(LEFT($G718,10))+TIMEVALUE(MID($G718,12,8))+Settings!$C$7/24,"")))</f>
        <v/>
      </c>
      <c r="Q718" s="39" t="str">
        <f t="shared" si="199"/>
        <v/>
      </c>
      <c r="R718" s="39" t="str">
        <f t="shared" si="200"/>
        <v/>
      </c>
      <c r="S718" s="107" t="str">
        <f t="shared" si="201"/>
        <v/>
      </c>
      <c r="T718" s="39" t="str">
        <f>IF($C718="","",IF(COUNTIF($C$2:$C718,$C718)=1,1,0))</f>
        <v/>
      </c>
      <c r="U718" s="39" t="str">
        <f>IF($T718=1,COUNTIF($T$2:$T718,1),"")</f>
        <v/>
      </c>
      <c r="V718" s="39" t="str">
        <f>IF($B718="","",IF(COUNTIF($B$2:$B718,$B718)=1,1,0))</f>
        <v/>
      </c>
      <c r="W718" s="39" t="str">
        <f>IF($V718=1,COUNTIF($V$2:$V718,1),"")</f>
        <v/>
      </c>
      <c r="X718" s="39" t="str">
        <f>IF($A718="","",IF(COUNTIF($A$2:$A718,$A718)=1,1,0))</f>
        <v/>
      </c>
      <c r="Y718" s="39" t="str">
        <f>IF($X718=1,COUNTIF($X$2:$X718,1),"")</f>
        <v/>
      </c>
      <c r="Z718" s="39">
        <f>IF(AND($E718="timed",$N718&gt;Settings!$C$8),1,0)</f>
        <v>0</v>
      </c>
      <c r="AA718" s="39">
        <f t="shared" si="202"/>
        <v>0</v>
      </c>
      <c r="AB718" s="39">
        <f t="shared" si="203"/>
        <v>0</v>
      </c>
      <c r="AC718" s="39" t="str">
        <f t="shared" si="204"/>
        <v/>
      </c>
      <c r="AD718" s="39" t="str">
        <f t="shared" si="205"/>
        <v/>
      </c>
      <c r="AE718" s="39" t="str">
        <f t="shared" si="206"/>
        <v/>
      </c>
      <c r="AF718" s="106" t="str">
        <f t="shared" si="207"/>
        <v/>
      </c>
      <c r="AG718" s="39">
        <f t="shared" si="208"/>
        <v>0</v>
      </c>
      <c r="AH718" s="39" t="str">
        <f t="shared" si="209"/>
        <v/>
      </c>
      <c r="AI718" s="39">
        <f>IF(AND($E718="timed",$N718&gt;=Settings!$C$9),1,0)</f>
        <v>0</v>
      </c>
      <c r="AJ718" s="39" t="str">
        <f>IF(OR($S718="",Settings!$C$16=""),"",IF($S718&lt;=Settings!$C$16,1,2))</f>
        <v/>
      </c>
      <c r="AK718" s="39" t="str">
        <f>IF($C718="","",IFERROR(IF(INDEX(Settings!$C$20:$C$59,MATCH($C718,Settings!$B$20:$B$59,0))="",Settings!$C$10,INDEX(Settings!$C$20:$C$59,MATCH($C718,Settings!$B$20:$B$59,0))),Settings!$C$10))</f>
        <v/>
      </c>
      <c r="AL718" s="108">
        <f t="shared" si="210"/>
        <v>0</v>
      </c>
      <c r="AM718" s="39" t="str">
        <f t="shared" si="211"/>
        <v/>
      </c>
      <c r="AN718" s="39" t="str">
        <f t="shared" si="212"/>
        <v/>
      </c>
      <c r="AO718" s="39" t="str">
        <f t="shared" si="213"/>
        <v/>
      </c>
      <c r="AP718" s="39">
        <f t="shared" si="214"/>
        <v>0</v>
      </c>
      <c r="AQ718" s="39">
        <f t="shared" si="215"/>
        <v>0</v>
      </c>
    </row>
    <row r="719" spans="14:43" x14ac:dyDescent="0.25">
      <c r="N719" s="105">
        <f t="shared" si="198"/>
        <v>0</v>
      </c>
      <c r="O719" s="106" t="str">
        <f>IF($F719="","",IF(ISNUMBER($F719),$F719+Settings!$C$7/24,IFERROR(DATEVALUE(LEFT($F719,10))+TIMEVALUE(MID($F719,12,8))+Settings!$C$7/24,"")))</f>
        <v/>
      </c>
      <c r="P719" s="106" t="str">
        <f>IF($G719="","",IF(ISNUMBER($G719),$G719+Settings!$C$7/24,IFERROR(DATEVALUE(LEFT($G719,10))+TIMEVALUE(MID($G719,12,8))+Settings!$C$7/24,"")))</f>
        <v/>
      </c>
      <c r="Q719" s="39" t="str">
        <f t="shared" si="199"/>
        <v/>
      </c>
      <c r="R719" s="39" t="str">
        <f t="shared" si="200"/>
        <v/>
      </c>
      <c r="S719" s="107" t="str">
        <f t="shared" si="201"/>
        <v/>
      </c>
      <c r="T719" s="39" t="str">
        <f>IF($C719="","",IF(COUNTIF($C$2:$C719,$C719)=1,1,0))</f>
        <v/>
      </c>
      <c r="U719" s="39" t="str">
        <f>IF($T719=1,COUNTIF($T$2:$T719,1),"")</f>
        <v/>
      </c>
      <c r="V719" s="39" t="str">
        <f>IF($B719="","",IF(COUNTIF($B$2:$B719,$B719)=1,1,0))</f>
        <v/>
      </c>
      <c r="W719" s="39" t="str">
        <f>IF($V719=1,COUNTIF($V$2:$V719,1),"")</f>
        <v/>
      </c>
      <c r="X719" s="39" t="str">
        <f>IF($A719="","",IF(COUNTIF($A$2:$A719,$A719)=1,1,0))</f>
        <v/>
      </c>
      <c r="Y719" s="39" t="str">
        <f>IF($X719=1,COUNTIF($X$2:$X719,1),"")</f>
        <v/>
      </c>
      <c r="Z719" s="39">
        <f>IF(AND($E719="timed",$N719&gt;Settings!$C$8),1,0)</f>
        <v>0</v>
      </c>
      <c r="AA719" s="39">
        <f t="shared" si="202"/>
        <v>0</v>
      </c>
      <c r="AB719" s="39">
        <f t="shared" si="203"/>
        <v>0</v>
      </c>
      <c r="AC719" s="39" t="str">
        <f t="shared" si="204"/>
        <v/>
      </c>
      <c r="AD719" s="39" t="str">
        <f t="shared" si="205"/>
        <v/>
      </c>
      <c r="AE719" s="39" t="str">
        <f t="shared" si="206"/>
        <v/>
      </c>
      <c r="AF719" s="106" t="str">
        <f t="shared" si="207"/>
        <v/>
      </c>
      <c r="AG719" s="39">
        <f t="shared" si="208"/>
        <v>0</v>
      </c>
      <c r="AH719" s="39" t="str">
        <f t="shared" si="209"/>
        <v/>
      </c>
      <c r="AI719" s="39">
        <f>IF(AND($E719="timed",$N719&gt;=Settings!$C$9),1,0)</f>
        <v>0</v>
      </c>
      <c r="AJ719" s="39" t="str">
        <f>IF(OR($S719="",Settings!$C$16=""),"",IF($S719&lt;=Settings!$C$16,1,2))</f>
        <v/>
      </c>
      <c r="AK719" s="39" t="str">
        <f>IF($C719="","",IFERROR(IF(INDEX(Settings!$C$20:$C$59,MATCH($C719,Settings!$B$20:$B$59,0))="",Settings!$C$10,INDEX(Settings!$C$20:$C$59,MATCH($C719,Settings!$B$20:$B$59,0))),Settings!$C$10))</f>
        <v/>
      </c>
      <c r="AL719" s="108">
        <f t="shared" si="210"/>
        <v>0</v>
      </c>
      <c r="AM719" s="39" t="str">
        <f t="shared" si="211"/>
        <v/>
      </c>
      <c r="AN719" s="39" t="str">
        <f t="shared" si="212"/>
        <v/>
      </c>
      <c r="AO719" s="39" t="str">
        <f t="shared" si="213"/>
        <v/>
      </c>
      <c r="AP719" s="39">
        <f t="shared" si="214"/>
        <v>0</v>
      </c>
      <c r="AQ719" s="39">
        <f t="shared" si="215"/>
        <v>0</v>
      </c>
    </row>
    <row r="720" spans="14:43" x14ac:dyDescent="0.25">
      <c r="N720" s="105">
        <f t="shared" si="198"/>
        <v>0</v>
      </c>
      <c r="O720" s="106" t="str">
        <f>IF($F720="","",IF(ISNUMBER($F720),$F720+Settings!$C$7/24,IFERROR(DATEVALUE(LEFT($F720,10))+TIMEVALUE(MID($F720,12,8))+Settings!$C$7/24,"")))</f>
        <v/>
      </c>
      <c r="P720" s="106" t="str">
        <f>IF($G720="","",IF(ISNUMBER($G720),$G720+Settings!$C$7/24,IFERROR(DATEVALUE(LEFT($G720,10))+TIMEVALUE(MID($G720,12,8))+Settings!$C$7/24,"")))</f>
        <v/>
      </c>
      <c r="Q720" s="39" t="str">
        <f t="shared" si="199"/>
        <v/>
      </c>
      <c r="R720" s="39" t="str">
        <f t="shared" si="200"/>
        <v/>
      </c>
      <c r="S720" s="107" t="str">
        <f t="shared" si="201"/>
        <v/>
      </c>
      <c r="T720" s="39" t="str">
        <f>IF($C720="","",IF(COUNTIF($C$2:$C720,$C720)=1,1,0))</f>
        <v/>
      </c>
      <c r="U720" s="39" t="str">
        <f>IF($T720=1,COUNTIF($T$2:$T720,1),"")</f>
        <v/>
      </c>
      <c r="V720" s="39" t="str">
        <f>IF($B720="","",IF(COUNTIF($B$2:$B720,$B720)=1,1,0))</f>
        <v/>
      </c>
      <c r="W720" s="39" t="str">
        <f>IF($V720=1,COUNTIF($V$2:$V720,1),"")</f>
        <v/>
      </c>
      <c r="X720" s="39" t="str">
        <f>IF($A720="","",IF(COUNTIF($A$2:$A720,$A720)=1,1,0))</f>
        <v/>
      </c>
      <c r="Y720" s="39" t="str">
        <f>IF($X720=1,COUNTIF($X$2:$X720,1),"")</f>
        <v/>
      </c>
      <c r="Z720" s="39">
        <f>IF(AND($E720="timed",$N720&gt;Settings!$C$8),1,0)</f>
        <v>0</v>
      </c>
      <c r="AA720" s="39">
        <f t="shared" si="202"/>
        <v>0</v>
      </c>
      <c r="AB720" s="39">
        <f t="shared" si="203"/>
        <v>0</v>
      </c>
      <c r="AC720" s="39" t="str">
        <f t="shared" si="204"/>
        <v/>
      </c>
      <c r="AD720" s="39" t="str">
        <f t="shared" si="205"/>
        <v/>
      </c>
      <c r="AE720" s="39" t="str">
        <f t="shared" si="206"/>
        <v/>
      </c>
      <c r="AF720" s="106" t="str">
        <f t="shared" si="207"/>
        <v/>
      </c>
      <c r="AG720" s="39">
        <f t="shared" si="208"/>
        <v>0</v>
      </c>
      <c r="AH720" s="39" t="str">
        <f t="shared" si="209"/>
        <v/>
      </c>
      <c r="AI720" s="39">
        <f>IF(AND($E720="timed",$N720&gt;=Settings!$C$9),1,0)</f>
        <v>0</v>
      </c>
      <c r="AJ720" s="39" t="str">
        <f>IF(OR($S720="",Settings!$C$16=""),"",IF($S720&lt;=Settings!$C$16,1,2))</f>
        <v/>
      </c>
      <c r="AK720" s="39" t="str">
        <f>IF($C720="","",IFERROR(IF(INDEX(Settings!$C$20:$C$59,MATCH($C720,Settings!$B$20:$B$59,0))="",Settings!$C$10,INDEX(Settings!$C$20:$C$59,MATCH($C720,Settings!$B$20:$B$59,0))),Settings!$C$10))</f>
        <v/>
      </c>
      <c r="AL720" s="108">
        <f t="shared" si="210"/>
        <v>0</v>
      </c>
      <c r="AM720" s="39" t="str">
        <f t="shared" si="211"/>
        <v/>
      </c>
      <c r="AN720" s="39" t="str">
        <f t="shared" si="212"/>
        <v/>
      </c>
      <c r="AO720" s="39" t="str">
        <f t="shared" si="213"/>
        <v/>
      </c>
      <c r="AP720" s="39">
        <f t="shared" si="214"/>
        <v>0</v>
      </c>
      <c r="AQ720" s="39">
        <f t="shared" si="215"/>
        <v>0</v>
      </c>
    </row>
    <row r="721" spans="14:43" x14ac:dyDescent="0.25">
      <c r="N721" s="105">
        <f t="shared" si="198"/>
        <v>0</v>
      </c>
      <c r="O721" s="106" t="str">
        <f>IF($F721="","",IF(ISNUMBER($F721),$F721+Settings!$C$7/24,IFERROR(DATEVALUE(LEFT($F721,10))+TIMEVALUE(MID($F721,12,8))+Settings!$C$7/24,"")))</f>
        <v/>
      </c>
      <c r="P721" s="106" t="str">
        <f>IF($G721="","",IF(ISNUMBER($G721),$G721+Settings!$C$7/24,IFERROR(DATEVALUE(LEFT($G721,10))+TIMEVALUE(MID($G721,12,8))+Settings!$C$7/24,"")))</f>
        <v/>
      </c>
      <c r="Q721" s="39" t="str">
        <f t="shared" si="199"/>
        <v/>
      </c>
      <c r="R721" s="39" t="str">
        <f t="shared" si="200"/>
        <v/>
      </c>
      <c r="S721" s="107" t="str">
        <f t="shared" si="201"/>
        <v/>
      </c>
      <c r="T721" s="39" t="str">
        <f>IF($C721="","",IF(COUNTIF($C$2:$C721,$C721)=1,1,0))</f>
        <v/>
      </c>
      <c r="U721" s="39" t="str">
        <f>IF($T721=1,COUNTIF($T$2:$T721,1),"")</f>
        <v/>
      </c>
      <c r="V721" s="39" t="str">
        <f>IF($B721="","",IF(COUNTIF($B$2:$B721,$B721)=1,1,0))</f>
        <v/>
      </c>
      <c r="W721" s="39" t="str">
        <f>IF($V721=1,COUNTIF($V$2:$V721,1),"")</f>
        <v/>
      </c>
      <c r="X721" s="39" t="str">
        <f>IF($A721="","",IF(COUNTIF($A$2:$A721,$A721)=1,1,0))</f>
        <v/>
      </c>
      <c r="Y721" s="39" t="str">
        <f>IF($X721=1,COUNTIF($X$2:$X721,1),"")</f>
        <v/>
      </c>
      <c r="Z721" s="39">
        <f>IF(AND($E721="timed",$N721&gt;Settings!$C$8),1,0)</f>
        <v>0</v>
      </c>
      <c r="AA721" s="39">
        <f t="shared" si="202"/>
        <v>0</v>
      </c>
      <c r="AB721" s="39">
        <f t="shared" si="203"/>
        <v>0</v>
      </c>
      <c r="AC721" s="39" t="str">
        <f t="shared" si="204"/>
        <v/>
      </c>
      <c r="AD721" s="39" t="str">
        <f t="shared" si="205"/>
        <v/>
      </c>
      <c r="AE721" s="39" t="str">
        <f t="shared" si="206"/>
        <v/>
      </c>
      <c r="AF721" s="106" t="str">
        <f t="shared" si="207"/>
        <v/>
      </c>
      <c r="AG721" s="39">
        <f t="shared" si="208"/>
        <v>0</v>
      </c>
      <c r="AH721" s="39" t="str">
        <f t="shared" si="209"/>
        <v/>
      </c>
      <c r="AI721" s="39">
        <f>IF(AND($E721="timed",$N721&gt;=Settings!$C$9),1,0)</f>
        <v>0</v>
      </c>
      <c r="AJ721" s="39" t="str">
        <f>IF(OR($S721="",Settings!$C$16=""),"",IF($S721&lt;=Settings!$C$16,1,2))</f>
        <v/>
      </c>
      <c r="AK721" s="39" t="str">
        <f>IF($C721="","",IFERROR(IF(INDEX(Settings!$C$20:$C$59,MATCH($C721,Settings!$B$20:$B$59,0))="",Settings!$C$10,INDEX(Settings!$C$20:$C$59,MATCH($C721,Settings!$B$20:$B$59,0))),Settings!$C$10))</f>
        <v/>
      </c>
      <c r="AL721" s="108">
        <f t="shared" si="210"/>
        <v>0</v>
      </c>
      <c r="AM721" s="39" t="str">
        <f t="shared" si="211"/>
        <v/>
      </c>
      <c r="AN721" s="39" t="str">
        <f t="shared" si="212"/>
        <v/>
      </c>
      <c r="AO721" s="39" t="str">
        <f t="shared" si="213"/>
        <v/>
      </c>
      <c r="AP721" s="39">
        <f t="shared" si="214"/>
        <v>0</v>
      </c>
      <c r="AQ721" s="39">
        <f t="shared" si="215"/>
        <v>0</v>
      </c>
    </row>
    <row r="722" spans="14:43" x14ac:dyDescent="0.25">
      <c r="N722" s="105">
        <f t="shared" si="198"/>
        <v>0</v>
      </c>
      <c r="O722" s="106" t="str">
        <f>IF($F722="","",IF(ISNUMBER($F722),$F722+Settings!$C$7/24,IFERROR(DATEVALUE(LEFT($F722,10))+TIMEVALUE(MID($F722,12,8))+Settings!$C$7/24,"")))</f>
        <v/>
      </c>
      <c r="P722" s="106" t="str">
        <f>IF($G722="","",IF(ISNUMBER($G722),$G722+Settings!$C$7/24,IFERROR(DATEVALUE(LEFT($G722,10))+TIMEVALUE(MID($G722,12,8))+Settings!$C$7/24,"")))</f>
        <v/>
      </c>
      <c r="Q722" s="39" t="str">
        <f t="shared" si="199"/>
        <v/>
      </c>
      <c r="R722" s="39" t="str">
        <f t="shared" si="200"/>
        <v/>
      </c>
      <c r="S722" s="107" t="str">
        <f t="shared" si="201"/>
        <v/>
      </c>
      <c r="T722" s="39" t="str">
        <f>IF($C722="","",IF(COUNTIF($C$2:$C722,$C722)=1,1,0))</f>
        <v/>
      </c>
      <c r="U722" s="39" t="str">
        <f>IF($T722=1,COUNTIF($T$2:$T722,1),"")</f>
        <v/>
      </c>
      <c r="V722" s="39" t="str">
        <f>IF($B722="","",IF(COUNTIF($B$2:$B722,$B722)=1,1,0))</f>
        <v/>
      </c>
      <c r="W722" s="39" t="str">
        <f>IF($V722=1,COUNTIF($V$2:$V722,1),"")</f>
        <v/>
      </c>
      <c r="X722" s="39" t="str">
        <f>IF($A722="","",IF(COUNTIF($A$2:$A722,$A722)=1,1,0))</f>
        <v/>
      </c>
      <c r="Y722" s="39" t="str">
        <f>IF($X722=1,COUNTIF($X$2:$X722,1),"")</f>
        <v/>
      </c>
      <c r="Z722" s="39">
        <f>IF(AND($E722="timed",$N722&gt;Settings!$C$8),1,0)</f>
        <v>0</v>
      </c>
      <c r="AA722" s="39">
        <f t="shared" si="202"/>
        <v>0</v>
      </c>
      <c r="AB722" s="39">
        <f t="shared" si="203"/>
        <v>0</v>
      </c>
      <c r="AC722" s="39" t="str">
        <f t="shared" si="204"/>
        <v/>
      </c>
      <c r="AD722" s="39" t="str">
        <f t="shared" si="205"/>
        <v/>
      </c>
      <c r="AE722" s="39" t="str">
        <f t="shared" si="206"/>
        <v/>
      </c>
      <c r="AF722" s="106" t="str">
        <f t="shared" si="207"/>
        <v/>
      </c>
      <c r="AG722" s="39">
        <f t="shared" si="208"/>
        <v>0</v>
      </c>
      <c r="AH722" s="39" t="str">
        <f t="shared" si="209"/>
        <v/>
      </c>
      <c r="AI722" s="39">
        <f>IF(AND($E722="timed",$N722&gt;=Settings!$C$9),1,0)</f>
        <v>0</v>
      </c>
      <c r="AJ722" s="39" t="str">
        <f>IF(OR($S722="",Settings!$C$16=""),"",IF($S722&lt;=Settings!$C$16,1,2))</f>
        <v/>
      </c>
      <c r="AK722" s="39" t="str">
        <f>IF($C722="","",IFERROR(IF(INDEX(Settings!$C$20:$C$59,MATCH($C722,Settings!$B$20:$B$59,0))="",Settings!$C$10,INDEX(Settings!$C$20:$C$59,MATCH($C722,Settings!$B$20:$B$59,0))),Settings!$C$10))</f>
        <v/>
      </c>
      <c r="AL722" s="108">
        <f t="shared" si="210"/>
        <v>0</v>
      </c>
      <c r="AM722" s="39" t="str">
        <f t="shared" si="211"/>
        <v/>
      </c>
      <c r="AN722" s="39" t="str">
        <f t="shared" si="212"/>
        <v/>
      </c>
      <c r="AO722" s="39" t="str">
        <f t="shared" si="213"/>
        <v/>
      </c>
      <c r="AP722" s="39">
        <f t="shared" si="214"/>
        <v>0</v>
      </c>
      <c r="AQ722" s="39">
        <f t="shared" si="215"/>
        <v>0</v>
      </c>
    </row>
    <row r="723" spans="14:43" x14ac:dyDescent="0.25">
      <c r="N723" s="105">
        <f t="shared" si="198"/>
        <v>0</v>
      </c>
      <c r="O723" s="106" t="str">
        <f>IF($F723="","",IF(ISNUMBER($F723),$F723+Settings!$C$7/24,IFERROR(DATEVALUE(LEFT($F723,10))+TIMEVALUE(MID($F723,12,8))+Settings!$C$7/24,"")))</f>
        <v/>
      </c>
      <c r="P723" s="106" t="str">
        <f>IF($G723="","",IF(ISNUMBER($G723),$G723+Settings!$C$7/24,IFERROR(DATEVALUE(LEFT($G723,10))+TIMEVALUE(MID($G723,12,8))+Settings!$C$7/24,"")))</f>
        <v/>
      </c>
      <c r="Q723" s="39" t="str">
        <f t="shared" si="199"/>
        <v/>
      </c>
      <c r="R723" s="39" t="str">
        <f t="shared" si="200"/>
        <v/>
      </c>
      <c r="S723" s="107" t="str">
        <f t="shared" si="201"/>
        <v/>
      </c>
      <c r="T723" s="39" t="str">
        <f>IF($C723="","",IF(COUNTIF($C$2:$C723,$C723)=1,1,0))</f>
        <v/>
      </c>
      <c r="U723" s="39" t="str">
        <f>IF($T723=1,COUNTIF($T$2:$T723,1),"")</f>
        <v/>
      </c>
      <c r="V723" s="39" t="str">
        <f>IF($B723="","",IF(COUNTIF($B$2:$B723,$B723)=1,1,0))</f>
        <v/>
      </c>
      <c r="W723" s="39" t="str">
        <f>IF($V723=1,COUNTIF($V$2:$V723,1),"")</f>
        <v/>
      </c>
      <c r="X723" s="39" t="str">
        <f>IF($A723="","",IF(COUNTIF($A$2:$A723,$A723)=1,1,0))</f>
        <v/>
      </c>
      <c r="Y723" s="39" t="str">
        <f>IF($X723=1,COUNTIF($X$2:$X723,1),"")</f>
        <v/>
      </c>
      <c r="Z723" s="39">
        <f>IF(AND($E723="timed",$N723&gt;Settings!$C$8),1,0)</f>
        <v>0</v>
      </c>
      <c r="AA723" s="39">
        <f t="shared" si="202"/>
        <v>0</v>
      </c>
      <c r="AB723" s="39">
        <f t="shared" si="203"/>
        <v>0</v>
      </c>
      <c r="AC723" s="39" t="str">
        <f t="shared" si="204"/>
        <v/>
      </c>
      <c r="AD723" s="39" t="str">
        <f t="shared" si="205"/>
        <v/>
      </c>
      <c r="AE723" s="39" t="str">
        <f t="shared" si="206"/>
        <v/>
      </c>
      <c r="AF723" s="106" t="str">
        <f t="shared" si="207"/>
        <v/>
      </c>
      <c r="AG723" s="39">
        <f t="shared" si="208"/>
        <v>0</v>
      </c>
      <c r="AH723" s="39" t="str">
        <f t="shared" si="209"/>
        <v/>
      </c>
      <c r="AI723" s="39">
        <f>IF(AND($E723="timed",$N723&gt;=Settings!$C$9),1,0)</f>
        <v>0</v>
      </c>
      <c r="AJ723" s="39" t="str">
        <f>IF(OR($S723="",Settings!$C$16=""),"",IF($S723&lt;=Settings!$C$16,1,2))</f>
        <v/>
      </c>
      <c r="AK723" s="39" t="str">
        <f>IF($C723="","",IFERROR(IF(INDEX(Settings!$C$20:$C$59,MATCH($C723,Settings!$B$20:$B$59,0))="",Settings!$C$10,INDEX(Settings!$C$20:$C$59,MATCH($C723,Settings!$B$20:$B$59,0))),Settings!$C$10))</f>
        <v/>
      </c>
      <c r="AL723" s="108">
        <f t="shared" si="210"/>
        <v>0</v>
      </c>
      <c r="AM723" s="39" t="str">
        <f t="shared" si="211"/>
        <v/>
      </c>
      <c r="AN723" s="39" t="str">
        <f t="shared" si="212"/>
        <v/>
      </c>
      <c r="AO723" s="39" t="str">
        <f t="shared" si="213"/>
        <v/>
      </c>
      <c r="AP723" s="39">
        <f t="shared" si="214"/>
        <v>0</v>
      </c>
      <c r="AQ723" s="39">
        <f t="shared" si="215"/>
        <v>0</v>
      </c>
    </row>
    <row r="724" spans="14:43" x14ac:dyDescent="0.25">
      <c r="N724" s="105">
        <f t="shared" si="198"/>
        <v>0</v>
      </c>
      <c r="O724" s="106" t="str">
        <f>IF($F724="","",IF(ISNUMBER($F724),$F724+Settings!$C$7/24,IFERROR(DATEVALUE(LEFT($F724,10))+TIMEVALUE(MID($F724,12,8))+Settings!$C$7/24,"")))</f>
        <v/>
      </c>
      <c r="P724" s="106" t="str">
        <f>IF($G724="","",IF(ISNUMBER($G724),$G724+Settings!$C$7/24,IFERROR(DATEVALUE(LEFT($G724,10))+TIMEVALUE(MID($G724,12,8))+Settings!$C$7/24,"")))</f>
        <v/>
      </c>
      <c r="Q724" s="39" t="str">
        <f t="shared" si="199"/>
        <v/>
      </c>
      <c r="R724" s="39" t="str">
        <f t="shared" si="200"/>
        <v/>
      </c>
      <c r="S724" s="107" t="str">
        <f t="shared" si="201"/>
        <v/>
      </c>
      <c r="T724" s="39" t="str">
        <f>IF($C724="","",IF(COUNTIF($C$2:$C724,$C724)=1,1,0))</f>
        <v/>
      </c>
      <c r="U724" s="39" t="str">
        <f>IF($T724=1,COUNTIF($T$2:$T724,1),"")</f>
        <v/>
      </c>
      <c r="V724" s="39" t="str">
        <f>IF($B724="","",IF(COUNTIF($B$2:$B724,$B724)=1,1,0))</f>
        <v/>
      </c>
      <c r="W724" s="39" t="str">
        <f>IF($V724=1,COUNTIF($V$2:$V724,1),"")</f>
        <v/>
      </c>
      <c r="X724" s="39" t="str">
        <f>IF($A724="","",IF(COUNTIF($A$2:$A724,$A724)=1,1,0))</f>
        <v/>
      </c>
      <c r="Y724" s="39" t="str">
        <f>IF($X724=1,COUNTIF($X$2:$X724,1),"")</f>
        <v/>
      </c>
      <c r="Z724" s="39">
        <f>IF(AND($E724="timed",$N724&gt;Settings!$C$8),1,0)</f>
        <v>0</v>
      </c>
      <c r="AA724" s="39">
        <f t="shared" si="202"/>
        <v>0</v>
      </c>
      <c r="AB724" s="39">
        <f t="shared" si="203"/>
        <v>0</v>
      </c>
      <c r="AC724" s="39" t="str">
        <f t="shared" si="204"/>
        <v/>
      </c>
      <c r="AD724" s="39" t="str">
        <f t="shared" si="205"/>
        <v/>
      </c>
      <c r="AE724" s="39" t="str">
        <f t="shared" si="206"/>
        <v/>
      </c>
      <c r="AF724" s="106" t="str">
        <f t="shared" si="207"/>
        <v/>
      </c>
      <c r="AG724" s="39">
        <f t="shared" si="208"/>
        <v>0</v>
      </c>
      <c r="AH724" s="39" t="str">
        <f t="shared" si="209"/>
        <v/>
      </c>
      <c r="AI724" s="39">
        <f>IF(AND($E724="timed",$N724&gt;=Settings!$C$9),1,0)</f>
        <v>0</v>
      </c>
      <c r="AJ724" s="39" t="str">
        <f>IF(OR($S724="",Settings!$C$16=""),"",IF($S724&lt;=Settings!$C$16,1,2))</f>
        <v/>
      </c>
      <c r="AK724" s="39" t="str">
        <f>IF($C724="","",IFERROR(IF(INDEX(Settings!$C$20:$C$59,MATCH($C724,Settings!$B$20:$B$59,0))="",Settings!$C$10,INDEX(Settings!$C$20:$C$59,MATCH($C724,Settings!$B$20:$B$59,0))),Settings!$C$10))</f>
        <v/>
      </c>
      <c r="AL724" s="108">
        <f t="shared" si="210"/>
        <v>0</v>
      </c>
      <c r="AM724" s="39" t="str">
        <f t="shared" si="211"/>
        <v/>
      </c>
      <c r="AN724" s="39" t="str">
        <f t="shared" si="212"/>
        <v/>
      </c>
      <c r="AO724" s="39" t="str">
        <f t="shared" si="213"/>
        <v/>
      </c>
      <c r="AP724" s="39">
        <f t="shared" si="214"/>
        <v>0</v>
      </c>
      <c r="AQ724" s="39">
        <f t="shared" si="215"/>
        <v>0</v>
      </c>
    </row>
    <row r="725" spans="14:43" x14ac:dyDescent="0.25">
      <c r="N725" s="105">
        <f t="shared" si="198"/>
        <v>0</v>
      </c>
      <c r="O725" s="106" t="str">
        <f>IF($F725="","",IF(ISNUMBER($F725),$F725+Settings!$C$7/24,IFERROR(DATEVALUE(LEFT($F725,10))+TIMEVALUE(MID($F725,12,8))+Settings!$C$7/24,"")))</f>
        <v/>
      </c>
      <c r="P725" s="106" t="str">
        <f>IF($G725="","",IF(ISNUMBER($G725),$G725+Settings!$C$7/24,IFERROR(DATEVALUE(LEFT($G725,10))+TIMEVALUE(MID($G725,12,8))+Settings!$C$7/24,"")))</f>
        <v/>
      </c>
      <c r="Q725" s="39" t="str">
        <f t="shared" si="199"/>
        <v/>
      </c>
      <c r="R725" s="39" t="str">
        <f t="shared" si="200"/>
        <v/>
      </c>
      <c r="S725" s="107" t="str">
        <f t="shared" si="201"/>
        <v/>
      </c>
      <c r="T725" s="39" t="str">
        <f>IF($C725="","",IF(COUNTIF($C$2:$C725,$C725)=1,1,0))</f>
        <v/>
      </c>
      <c r="U725" s="39" t="str">
        <f>IF($T725=1,COUNTIF($T$2:$T725,1),"")</f>
        <v/>
      </c>
      <c r="V725" s="39" t="str">
        <f>IF($B725="","",IF(COUNTIF($B$2:$B725,$B725)=1,1,0))</f>
        <v/>
      </c>
      <c r="W725" s="39" t="str">
        <f>IF($V725=1,COUNTIF($V$2:$V725,1),"")</f>
        <v/>
      </c>
      <c r="X725" s="39" t="str">
        <f>IF($A725="","",IF(COUNTIF($A$2:$A725,$A725)=1,1,0))</f>
        <v/>
      </c>
      <c r="Y725" s="39" t="str">
        <f>IF($X725=1,COUNTIF($X$2:$X725,1),"")</f>
        <v/>
      </c>
      <c r="Z725" s="39">
        <f>IF(AND($E725="timed",$N725&gt;Settings!$C$8),1,0)</f>
        <v>0</v>
      </c>
      <c r="AA725" s="39">
        <f t="shared" si="202"/>
        <v>0</v>
      </c>
      <c r="AB725" s="39">
        <f t="shared" si="203"/>
        <v>0</v>
      </c>
      <c r="AC725" s="39" t="str">
        <f t="shared" si="204"/>
        <v/>
      </c>
      <c r="AD725" s="39" t="str">
        <f t="shared" si="205"/>
        <v/>
      </c>
      <c r="AE725" s="39" t="str">
        <f t="shared" si="206"/>
        <v/>
      </c>
      <c r="AF725" s="106" t="str">
        <f t="shared" si="207"/>
        <v/>
      </c>
      <c r="AG725" s="39">
        <f t="shared" si="208"/>
        <v>0</v>
      </c>
      <c r="AH725" s="39" t="str">
        <f t="shared" si="209"/>
        <v/>
      </c>
      <c r="AI725" s="39">
        <f>IF(AND($E725="timed",$N725&gt;=Settings!$C$9),1,0)</f>
        <v>0</v>
      </c>
      <c r="AJ725" s="39" t="str">
        <f>IF(OR($S725="",Settings!$C$16=""),"",IF($S725&lt;=Settings!$C$16,1,2))</f>
        <v/>
      </c>
      <c r="AK725" s="39" t="str">
        <f>IF($C725="","",IFERROR(IF(INDEX(Settings!$C$20:$C$59,MATCH($C725,Settings!$B$20:$B$59,0))="",Settings!$C$10,INDEX(Settings!$C$20:$C$59,MATCH($C725,Settings!$B$20:$B$59,0))),Settings!$C$10))</f>
        <v/>
      </c>
      <c r="AL725" s="108">
        <f t="shared" si="210"/>
        <v>0</v>
      </c>
      <c r="AM725" s="39" t="str">
        <f t="shared" si="211"/>
        <v/>
      </c>
      <c r="AN725" s="39" t="str">
        <f t="shared" si="212"/>
        <v/>
      </c>
      <c r="AO725" s="39" t="str">
        <f t="shared" si="213"/>
        <v/>
      </c>
      <c r="AP725" s="39">
        <f t="shared" si="214"/>
        <v>0</v>
      </c>
      <c r="AQ725" s="39">
        <f t="shared" si="215"/>
        <v>0</v>
      </c>
    </row>
    <row r="726" spans="14:43" x14ac:dyDescent="0.25">
      <c r="N726" s="105">
        <f t="shared" si="198"/>
        <v>0</v>
      </c>
      <c r="O726" s="106" t="str">
        <f>IF($F726="","",IF(ISNUMBER($F726),$F726+Settings!$C$7/24,IFERROR(DATEVALUE(LEFT($F726,10))+TIMEVALUE(MID($F726,12,8))+Settings!$C$7/24,"")))</f>
        <v/>
      </c>
      <c r="P726" s="106" t="str">
        <f>IF($G726="","",IF(ISNUMBER($G726),$G726+Settings!$C$7/24,IFERROR(DATEVALUE(LEFT($G726,10))+TIMEVALUE(MID($G726,12,8))+Settings!$C$7/24,"")))</f>
        <v/>
      </c>
      <c r="Q726" s="39" t="str">
        <f t="shared" si="199"/>
        <v/>
      </c>
      <c r="R726" s="39" t="str">
        <f t="shared" si="200"/>
        <v/>
      </c>
      <c r="S726" s="107" t="str">
        <f t="shared" si="201"/>
        <v/>
      </c>
      <c r="T726" s="39" t="str">
        <f>IF($C726="","",IF(COUNTIF($C$2:$C726,$C726)=1,1,0))</f>
        <v/>
      </c>
      <c r="U726" s="39" t="str">
        <f>IF($T726=1,COUNTIF($T$2:$T726,1),"")</f>
        <v/>
      </c>
      <c r="V726" s="39" t="str">
        <f>IF($B726="","",IF(COUNTIF($B$2:$B726,$B726)=1,1,0))</f>
        <v/>
      </c>
      <c r="W726" s="39" t="str">
        <f>IF($V726=1,COUNTIF($V$2:$V726,1),"")</f>
        <v/>
      </c>
      <c r="X726" s="39" t="str">
        <f>IF($A726="","",IF(COUNTIF($A$2:$A726,$A726)=1,1,0))</f>
        <v/>
      </c>
      <c r="Y726" s="39" t="str">
        <f>IF($X726=1,COUNTIF($X$2:$X726,1),"")</f>
        <v/>
      </c>
      <c r="Z726" s="39">
        <f>IF(AND($E726="timed",$N726&gt;Settings!$C$8),1,0)</f>
        <v>0</v>
      </c>
      <c r="AA726" s="39">
        <f t="shared" si="202"/>
        <v>0</v>
      </c>
      <c r="AB726" s="39">
        <f t="shared" si="203"/>
        <v>0</v>
      </c>
      <c r="AC726" s="39" t="str">
        <f t="shared" si="204"/>
        <v/>
      </c>
      <c r="AD726" s="39" t="str">
        <f t="shared" si="205"/>
        <v/>
      </c>
      <c r="AE726" s="39" t="str">
        <f t="shared" si="206"/>
        <v/>
      </c>
      <c r="AF726" s="106" t="str">
        <f t="shared" si="207"/>
        <v/>
      </c>
      <c r="AG726" s="39">
        <f t="shared" si="208"/>
        <v>0</v>
      </c>
      <c r="AH726" s="39" t="str">
        <f t="shared" si="209"/>
        <v/>
      </c>
      <c r="AI726" s="39">
        <f>IF(AND($E726="timed",$N726&gt;=Settings!$C$9),1,0)</f>
        <v>0</v>
      </c>
      <c r="AJ726" s="39" t="str">
        <f>IF(OR($S726="",Settings!$C$16=""),"",IF($S726&lt;=Settings!$C$16,1,2))</f>
        <v/>
      </c>
      <c r="AK726" s="39" t="str">
        <f>IF($C726="","",IFERROR(IF(INDEX(Settings!$C$20:$C$59,MATCH($C726,Settings!$B$20:$B$59,0))="",Settings!$C$10,INDEX(Settings!$C$20:$C$59,MATCH($C726,Settings!$B$20:$B$59,0))),Settings!$C$10))</f>
        <v/>
      </c>
      <c r="AL726" s="108">
        <f t="shared" si="210"/>
        <v>0</v>
      </c>
      <c r="AM726" s="39" t="str">
        <f t="shared" si="211"/>
        <v/>
      </c>
      <c r="AN726" s="39" t="str">
        <f t="shared" si="212"/>
        <v/>
      </c>
      <c r="AO726" s="39" t="str">
        <f t="shared" si="213"/>
        <v/>
      </c>
      <c r="AP726" s="39">
        <f t="shared" si="214"/>
        <v>0</v>
      </c>
      <c r="AQ726" s="39">
        <f t="shared" si="215"/>
        <v>0</v>
      </c>
    </row>
    <row r="727" spans="14:43" x14ac:dyDescent="0.25">
      <c r="N727" s="105">
        <f t="shared" si="198"/>
        <v>0</v>
      </c>
      <c r="O727" s="106" t="str">
        <f>IF($F727="","",IF(ISNUMBER($F727),$F727+Settings!$C$7/24,IFERROR(DATEVALUE(LEFT($F727,10))+TIMEVALUE(MID($F727,12,8))+Settings!$C$7/24,"")))</f>
        <v/>
      </c>
      <c r="P727" s="106" t="str">
        <f>IF($G727="","",IF(ISNUMBER($G727),$G727+Settings!$C$7/24,IFERROR(DATEVALUE(LEFT($G727,10))+TIMEVALUE(MID($G727,12,8))+Settings!$C$7/24,"")))</f>
        <v/>
      </c>
      <c r="Q727" s="39" t="str">
        <f t="shared" si="199"/>
        <v/>
      </c>
      <c r="R727" s="39" t="str">
        <f t="shared" si="200"/>
        <v/>
      </c>
      <c r="S727" s="107" t="str">
        <f t="shared" si="201"/>
        <v/>
      </c>
      <c r="T727" s="39" t="str">
        <f>IF($C727="","",IF(COUNTIF($C$2:$C727,$C727)=1,1,0))</f>
        <v/>
      </c>
      <c r="U727" s="39" t="str">
        <f>IF($T727=1,COUNTIF($T$2:$T727,1),"")</f>
        <v/>
      </c>
      <c r="V727" s="39" t="str">
        <f>IF($B727="","",IF(COUNTIF($B$2:$B727,$B727)=1,1,0))</f>
        <v/>
      </c>
      <c r="W727" s="39" t="str">
        <f>IF($V727=1,COUNTIF($V$2:$V727,1),"")</f>
        <v/>
      </c>
      <c r="X727" s="39" t="str">
        <f>IF($A727="","",IF(COUNTIF($A$2:$A727,$A727)=1,1,0))</f>
        <v/>
      </c>
      <c r="Y727" s="39" t="str">
        <f>IF($X727=1,COUNTIF($X$2:$X727,1),"")</f>
        <v/>
      </c>
      <c r="Z727" s="39">
        <f>IF(AND($E727="timed",$N727&gt;Settings!$C$8),1,0)</f>
        <v>0</v>
      </c>
      <c r="AA727" s="39">
        <f t="shared" si="202"/>
        <v>0</v>
      </c>
      <c r="AB727" s="39">
        <f t="shared" si="203"/>
        <v>0</v>
      </c>
      <c r="AC727" s="39" t="str">
        <f t="shared" si="204"/>
        <v/>
      </c>
      <c r="AD727" s="39" t="str">
        <f t="shared" si="205"/>
        <v/>
      </c>
      <c r="AE727" s="39" t="str">
        <f t="shared" si="206"/>
        <v/>
      </c>
      <c r="AF727" s="106" t="str">
        <f t="shared" si="207"/>
        <v/>
      </c>
      <c r="AG727" s="39">
        <f t="shared" si="208"/>
        <v>0</v>
      </c>
      <c r="AH727" s="39" t="str">
        <f t="shared" si="209"/>
        <v/>
      </c>
      <c r="AI727" s="39">
        <f>IF(AND($E727="timed",$N727&gt;=Settings!$C$9),1,0)</f>
        <v>0</v>
      </c>
      <c r="AJ727" s="39" t="str">
        <f>IF(OR($S727="",Settings!$C$16=""),"",IF($S727&lt;=Settings!$C$16,1,2))</f>
        <v/>
      </c>
      <c r="AK727" s="39" t="str">
        <f>IF($C727="","",IFERROR(IF(INDEX(Settings!$C$20:$C$59,MATCH($C727,Settings!$B$20:$B$59,0))="",Settings!$C$10,INDEX(Settings!$C$20:$C$59,MATCH($C727,Settings!$B$20:$B$59,0))),Settings!$C$10))</f>
        <v/>
      </c>
      <c r="AL727" s="108">
        <f t="shared" si="210"/>
        <v>0</v>
      </c>
      <c r="AM727" s="39" t="str">
        <f t="shared" si="211"/>
        <v/>
      </c>
      <c r="AN727" s="39" t="str">
        <f t="shared" si="212"/>
        <v/>
      </c>
      <c r="AO727" s="39" t="str">
        <f t="shared" si="213"/>
        <v/>
      </c>
      <c r="AP727" s="39">
        <f t="shared" si="214"/>
        <v>0</v>
      </c>
      <c r="AQ727" s="39">
        <f t="shared" si="215"/>
        <v>0</v>
      </c>
    </row>
    <row r="728" spans="14:43" x14ac:dyDescent="0.25">
      <c r="N728" s="105">
        <f t="shared" si="198"/>
        <v>0</v>
      </c>
      <c r="O728" s="106" t="str">
        <f>IF($F728="","",IF(ISNUMBER($F728),$F728+Settings!$C$7/24,IFERROR(DATEVALUE(LEFT($F728,10))+TIMEVALUE(MID($F728,12,8))+Settings!$C$7/24,"")))</f>
        <v/>
      </c>
      <c r="P728" s="106" t="str">
        <f>IF($G728="","",IF(ISNUMBER($G728),$G728+Settings!$C$7/24,IFERROR(DATEVALUE(LEFT($G728,10))+TIMEVALUE(MID($G728,12,8))+Settings!$C$7/24,"")))</f>
        <v/>
      </c>
      <c r="Q728" s="39" t="str">
        <f t="shared" si="199"/>
        <v/>
      </c>
      <c r="R728" s="39" t="str">
        <f t="shared" si="200"/>
        <v/>
      </c>
      <c r="S728" s="107" t="str">
        <f t="shared" si="201"/>
        <v/>
      </c>
      <c r="T728" s="39" t="str">
        <f>IF($C728="","",IF(COUNTIF($C$2:$C728,$C728)=1,1,0))</f>
        <v/>
      </c>
      <c r="U728" s="39" t="str">
        <f>IF($T728=1,COUNTIF($T$2:$T728,1),"")</f>
        <v/>
      </c>
      <c r="V728" s="39" t="str">
        <f>IF($B728="","",IF(COUNTIF($B$2:$B728,$B728)=1,1,0))</f>
        <v/>
      </c>
      <c r="W728" s="39" t="str">
        <f>IF($V728=1,COUNTIF($V$2:$V728,1),"")</f>
        <v/>
      </c>
      <c r="X728" s="39" t="str">
        <f>IF($A728="","",IF(COUNTIF($A$2:$A728,$A728)=1,1,0))</f>
        <v/>
      </c>
      <c r="Y728" s="39" t="str">
        <f>IF($X728=1,COUNTIF($X$2:$X728,1),"")</f>
        <v/>
      </c>
      <c r="Z728" s="39">
        <f>IF(AND($E728="timed",$N728&gt;Settings!$C$8),1,0)</f>
        <v>0</v>
      </c>
      <c r="AA728" s="39">
        <f t="shared" si="202"/>
        <v>0</v>
      </c>
      <c r="AB728" s="39">
        <f t="shared" si="203"/>
        <v>0</v>
      </c>
      <c r="AC728" s="39" t="str">
        <f t="shared" si="204"/>
        <v/>
      </c>
      <c r="AD728" s="39" t="str">
        <f t="shared" si="205"/>
        <v/>
      </c>
      <c r="AE728" s="39" t="str">
        <f t="shared" si="206"/>
        <v/>
      </c>
      <c r="AF728" s="106" t="str">
        <f t="shared" si="207"/>
        <v/>
      </c>
      <c r="AG728" s="39">
        <f t="shared" si="208"/>
        <v>0</v>
      </c>
      <c r="AH728" s="39" t="str">
        <f t="shared" si="209"/>
        <v/>
      </c>
      <c r="AI728" s="39">
        <f>IF(AND($E728="timed",$N728&gt;=Settings!$C$9),1,0)</f>
        <v>0</v>
      </c>
      <c r="AJ728" s="39" t="str">
        <f>IF(OR($S728="",Settings!$C$16=""),"",IF($S728&lt;=Settings!$C$16,1,2))</f>
        <v/>
      </c>
      <c r="AK728" s="39" t="str">
        <f>IF($C728="","",IFERROR(IF(INDEX(Settings!$C$20:$C$59,MATCH($C728,Settings!$B$20:$B$59,0))="",Settings!$C$10,INDEX(Settings!$C$20:$C$59,MATCH($C728,Settings!$B$20:$B$59,0))),Settings!$C$10))</f>
        <v/>
      </c>
      <c r="AL728" s="108">
        <f t="shared" si="210"/>
        <v>0</v>
      </c>
      <c r="AM728" s="39" t="str">
        <f t="shared" si="211"/>
        <v/>
      </c>
      <c r="AN728" s="39" t="str">
        <f t="shared" si="212"/>
        <v/>
      </c>
      <c r="AO728" s="39" t="str">
        <f t="shared" si="213"/>
        <v/>
      </c>
      <c r="AP728" s="39">
        <f t="shared" si="214"/>
        <v>0</v>
      </c>
      <c r="AQ728" s="39">
        <f t="shared" si="215"/>
        <v>0</v>
      </c>
    </row>
    <row r="729" spans="14:43" x14ac:dyDescent="0.25">
      <c r="N729" s="105">
        <f t="shared" si="198"/>
        <v>0</v>
      </c>
      <c r="O729" s="106" t="str">
        <f>IF($F729="","",IF(ISNUMBER($F729),$F729+Settings!$C$7/24,IFERROR(DATEVALUE(LEFT($F729,10))+TIMEVALUE(MID($F729,12,8))+Settings!$C$7/24,"")))</f>
        <v/>
      </c>
      <c r="P729" s="106" t="str">
        <f>IF($G729="","",IF(ISNUMBER($G729),$G729+Settings!$C$7/24,IFERROR(DATEVALUE(LEFT($G729,10))+TIMEVALUE(MID($G729,12,8))+Settings!$C$7/24,"")))</f>
        <v/>
      </c>
      <c r="Q729" s="39" t="str">
        <f t="shared" si="199"/>
        <v/>
      </c>
      <c r="R729" s="39" t="str">
        <f t="shared" si="200"/>
        <v/>
      </c>
      <c r="S729" s="107" t="str">
        <f t="shared" si="201"/>
        <v/>
      </c>
      <c r="T729" s="39" t="str">
        <f>IF($C729="","",IF(COUNTIF($C$2:$C729,$C729)=1,1,0))</f>
        <v/>
      </c>
      <c r="U729" s="39" t="str">
        <f>IF($T729=1,COUNTIF($T$2:$T729,1),"")</f>
        <v/>
      </c>
      <c r="V729" s="39" t="str">
        <f>IF($B729="","",IF(COUNTIF($B$2:$B729,$B729)=1,1,0))</f>
        <v/>
      </c>
      <c r="W729" s="39" t="str">
        <f>IF($V729=1,COUNTIF($V$2:$V729,1),"")</f>
        <v/>
      </c>
      <c r="X729" s="39" t="str">
        <f>IF($A729="","",IF(COUNTIF($A$2:$A729,$A729)=1,1,0))</f>
        <v/>
      </c>
      <c r="Y729" s="39" t="str">
        <f>IF($X729=1,COUNTIF($X$2:$X729,1),"")</f>
        <v/>
      </c>
      <c r="Z729" s="39">
        <f>IF(AND($E729="timed",$N729&gt;Settings!$C$8),1,0)</f>
        <v>0</v>
      </c>
      <c r="AA729" s="39">
        <f t="shared" si="202"/>
        <v>0</v>
      </c>
      <c r="AB729" s="39">
        <f t="shared" si="203"/>
        <v>0</v>
      </c>
      <c r="AC729" s="39" t="str">
        <f t="shared" si="204"/>
        <v/>
      </c>
      <c r="AD729" s="39" t="str">
        <f t="shared" si="205"/>
        <v/>
      </c>
      <c r="AE729" s="39" t="str">
        <f t="shared" si="206"/>
        <v/>
      </c>
      <c r="AF729" s="106" t="str">
        <f t="shared" si="207"/>
        <v/>
      </c>
      <c r="AG729" s="39">
        <f t="shared" si="208"/>
        <v>0</v>
      </c>
      <c r="AH729" s="39" t="str">
        <f t="shared" si="209"/>
        <v/>
      </c>
      <c r="AI729" s="39">
        <f>IF(AND($E729="timed",$N729&gt;=Settings!$C$9),1,0)</f>
        <v>0</v>
      </c>
      <c r="AJ729" s="39" t="str">
        <f>IF(OR($S729="",Settings!$C$16=""),"",IF($S729&lt;=Settings!$C$16,1,2))</f>
        <v/>
      </c>
      <c r="AK729" s="39" t="str">
        <f>IF($C729="","",IFERROR(IF(INDEX(Settings!$C$20:$C$59,MATCH($C729,Settings!$B$20:$B$59,0))="",Settings!$C$10,INDEX(Settings!$C$20:$C$59,MATCH($C729,Settings!$B$20:$B$59,0))),Settings!$C$10))</f>
        <v/>
      </c>
      <c r="AL729" s="108">
        <f t="shared" si="210"/>
        <v>0</v>
      </c>
      <c r="AM729" s="39" t="str">
        <f t="shared" si="211"/>
        <v/>
      </c>
      <c r="AN729" s="39" t="str">
        <f t="shared" si="212"/>
        <v/>
      </c>
      <c r="AO729" s="39" t="str">
        <f t="shared" si="213"/>
        <v/>
      </c>
      <c r="AP729" s="39">
        <f t="shared" si="214"/>
        <v>0</v>
      </c>
      <c r="AQ729" s="39">
        <f t="shared" si="215"/>
        <v>0</v>
      </c>
    </row>
    <row r="730" spans="14:43" x14ac:dyDescent="0.25">
      <c r="N730" s="105">
        <f t="shared" si="198"/>
        <v>0</v>
      </c>
      <c r="O730" s="106" t="str">
        <f>IF($F730="","",IF(ISNUMBER($F730),$F730+Settings!$C$7/24,IFERROR(DATEVALUE(LEFT($F730,10))+TIMEVALUE(MID($F730,12,8))+Settings!$C$7/24,"")))</f>
        <v/>
      </c>
      <c r="P730" s="106" t="str">
        <f>IF($G730="","",IF(ISNUMBER($G730),$G730+Settings!$C$7/24,IFERROR(DATEVALUE(LEFT($G730,10))+TIMEVALUE(MID($G730,12,8))+Settings!$C$7/24,"")))</f>
        <v/>
      </c>
      <c r="Q730" s="39" t="str">
        <f t="shared" si="199"/>
        <v/>
      </c>
      <c r="R730" s="39" t="str">
        <f t="shared" si="200"/>
        <v/>
      </c>
      <c r="S730" s="107" t="str">
        <f t="shared" si="201"/>
        <v/>
      </c>
      <c r="T730" s="39" t="str">
        <f>IF($C730="","",IF(COUNTIF($C$2:$C730,$C730)=1,1,0))</f>
        <v/>
      </c>
      <c r="U730" s="39" t="str">
        <f>IF($T730=1,COUNTIF($T$2:$T730,1),"")</f>
        <v/>
      </c>
      <c r="V730" s="39" t="str">
        <f>IF($B730="","",IF(COUNTIF($B$2:$B730,$B730)=1,1,0))</f>
        <v/>
      </c>
      <c r="W730" s="39" t="str">
        <f>IF($V730=1,COUNTIF($V$2:$V730,1),"")</f>
        <v/>
      </c>
      <c r="X730" s="39" t="str">
        <f>IF($A730="","",IF(COUNTIF($A$2:$A730,$A730)=1,1,0))</f>
        <v/>
      </c>
      <c r="Y730" s="39" t="str">
        <f>IF($X730=1,COUNTIF($X$2:$X730,1),"")</f>
        <v/>
      </c>
      <c r="Z730" s="39">
        <f>IF(AND($E730="timed",$N730&gt;Settings!$C$8),1,0)</f>
        <v>0</v>
      </c>
      <c r="AA730" s="39">
        <f t="shared" si="202"/>
        <v>0</v>
      </c>
      <c r="AB730" s="39">
        <f t="shared" si="203"/>
        <v>0</v>
      </c>
      <c r="AC730" s="39" t="str">
        <f t="shared" si="204"/>
        <v/>
      </c>
      <c r="AD730" s="39" t="str">
        <f t="shared" si="205"/>
        <v/>
      </c>
      <c r="AE730" s="39" t="str">
        <f t="shared" si="206"/>
        <v/>
      </c>
      <c r="AF730" s="106" t="str">
        <f t="shared" si="207"/>
        <v/>
      </c>
      <c r="AG730" s="39">
        <f t="shared" si="208"/>
        <v>0</v>
      </c>
      <c r="AH730" s="39" t="str">
        <f t="shared" si="209"/>
        <v/>
      </c>
      <c r="AI730" s="39">
        <f>IF(AND($E730="timed",$N730&gt;=Settings!$C$9),1,0)</f>
        <v>0</v>
      </c>
      <c r="AJ730" s="39" t="str">
        <f>IF(OR($S730="",Settings!$C$16=""),"",IF($S730&lt;=Settings!$C$16,1,2))</f>
        <v/>
      </c>
      <c r="AK730" s="39" t="str">
        <f>IF($C730="","",IFERROR(IF(INDEX(Settings!$C$20:$C$59,MATCH($C730,Settings!$B$20:$B$59,0))="",Settings!$C$10,INDEX(Settings!$C$20:$C$59,MATCH($C730,Settings!$B$20:$B$59,0))),Settings!$C$10))</f>
        <v/>
      </c>
      <c r="AL730" s="108">
        <f t="shared" si="210"/>
        <v>0</v>
      </c>
      <c r="AM730" s="39" t="str">
        <f t="shared" si="211"/>
        <v/>
      </c>
      <c r="AN730" s="39" t="str">
        <f t="shared" si="212"/>
        <v/>
      </c>
      <c r="AO730" s="39" t="str">
        <f t="shared" si="213"/>
        <v/>
      </c>
      <c r="AP730" s="39">
        <f t="shared" si="214"/>
        <v>0</v>
      </c>
      <c r="AQ730" s="39">
        <f t="shared" si="215"/>
        <v>0</v>
      </c>
    </row>
    <row r="731" spans="14:43" x14ac:dyDescent="0.25">
      <c r="N731" s="105">
        <f t="shared" si="198"/>
        <v>0</v>
      </c>
      <c r="O731" s="106" t="str">
        <f>IF($F731="","",IF(ISNUMBER($F731),$F731+Settings!$C$7/24,IFERROR(DATEVALUE(LEFT($F731,10))+TIMEVALUE(MID($F731,12,8))+Settings!$C$7/24,"")))</f>
        <v/>
      </c>
      <c r="P731" s="106" t="str">
        <f>IF($G731="","",IF(ISNUMBER($G731),$G731+Settings!$C$7/24,IFERROR(DATEVALUE(LEFT($G731,10))+TIMEVALUE(MID($G731,12,8))+Settings!$C$7/24,"")))</f>
        <v/>
      </c>
      <c r="Q731" s="39" t="str">
        <f t="shared" si="199"/>
        <v/>
      </c>
      <c r="R731" s="39" t="str">
        <f t="shared" si="200"/>
        <v/>
      </c>
      <c r="S731" s="107" t="str">
        <f t="shared" si="201"/>
        <v/>
      </c>
      <c r="T731" s="39" t="str">
        <f>IF($C731="","",IF(COUNTIF($C$2:$C731,$C731)=1,1,0))</f>
        <v/>
      </c>
      <c r="U731" s="39" t="str">
        <f>IF($T731=1,COUNTIF($T$2:$T731,1),"")</f>
        <v/>
      </c>
      <c r="V731" s="39" t="str">
        <f>IF($B731="","",IF(COUNTIF($B$2:$B731,$B731)=1,1,0))</f>
        <v/>
      </c>
      <c r="W731" s="39" t="str">
        <f>IF($V731=1,COUNTIF($V$2:$V731,1),"")</f>
        <v/>
      </c>
      <c r="X731" s="39" t="str">
        <f>IF($A731="","",IF(COUNTIF($A$2:$A731,$A731)=1,1,0))</f>
        <v/>
      </c>
      <c r="Y731" s="39" t="str">
        <f>IF($X731=1,COUNTIF($X$2:$X731,1),"")</f>
        <v/>
      </c>
      <c r="Z731" s="39">
        <f>IF(AND($E731="timed",$N731&gt;Settings!$C$8),1,0)</f>
        <v>0</v>
      </c>
      <c r="AA731" s="39">
        <f t="shared" si="202"/>
        <v>0</v>
      </c>
      <c r="AB731" s="39">
        <f t="shared" si="203"/>
        <v>0</v>
      </c>
      <c r="AC731" s="39" t="str">
        <f t="shared" si="204"/>
        <v/>
      </c>
      <c r="AD731" s="39" t="str">
        <f t="shared" si="205"/>
        <v/>
      </c>
      <c r="AE731" s="39" t="str">
        <f t="shared" si="206"/>
        <v/>
      </c>
      <c r="AF731" s="106" t="str">
        <f t="shared" si="207"/>
        <v/>
      </c>
      <c r="AG731" s="39">
        <f t="shared" si="208"/>
        <v>0</v>
      </c>
      <c r="AH731" s="39" t="str">
        <f t="shared" si="209"/>
        <v/>
      </c>
      <c r="AI731" s="39">
        <f>IF(AND($E731="timed",$N731&gt;=Settings!$C$9),1,0)</f>
        <v>0</v>
      </c>
      <c r="AJ731" s="39" t="str">
        <f>IF(OR($S731="",Settings!$C$16=""),"",IF($S731&lt;=Settings!$C$16,1,2))</f>
        <v/>
      </c>
      <c r="AK731" s="39" t="str">
        <f>IF($C731="","",IFERROR(IF(INDEX(Settings!$C$20:$C$59,MATCH($C731,Settings!$B$20:$B$59,0))="",Settings!$C$10,INDEX(Settings!$C$20:$C$59,MATCH($C731,Settings!$B$20:$B$59,0))),Settings!$C$10))</f>
        <v/>
      </c>
      <c r="AL731" s="108">
        <f t="shared" si="210"/>
        <v>0</v>
      </c>
      <c r="AM731" s="39" t="str">
        <f t="shared" si="211"/>
        <v/>
      </c>
      <c r="AN731" s="39" t="str">
        <f t="shared" si="212"/>
        <v/>
      </c>
      <c r="AO731" s="39" t="str">
        <f t="shared" si="213"/>
        <v/>
      </c>
      <c r="AP731" s="39">
        <f t="shared" si="214"/>
        <v>0</v>
      </c>
      <c r="AQ731" s="39">
        <f t="shared" si="215"/>
        <v>0</v>
      </c>
    </row>
    <row r="732" spans="14:43" x14ac:dyDescent="0.25">
      <c r="N732" s="105">
        <f t="shared" si="198"/>
        <v>0</v>
      </c>
      <c r="O732" s="106" t="str">
        <f>IF($F732="","",IF(ISNUMBER($F732),$F732+Settings!$C$7/24,IFERROR(DATEVALUE(LEFT($F732,10))+TIMEVALUE(MID($F732,12,8))+Settings!$C$7/24,"")))</f>
        <v/>
      </c>
      <c r="P732" s="106" t="str">
        <f>IF($G732="","",IF(ISNUMBER($G732),$G732+Settings!$C$7/24,IFERROR(DATEVALUE(LEFT($G732,10))+TIMEVALUE(MID($G732,12,8))+Settings!$C$7/24,"")))</f>
        <v/>
      </c>
      <c r="Q732" s="39" t="str">
        <f t="shared" si="199"/>
        <v/>
      </c>
      <c r="R732" s="39" t="str">
        <f t="shared" si="200"/>
        <v/>
      </c>
      <c r="S732" s="107" t="str">
        <f t="shared" si="201"/>
        <v/>
      </c>
      <c r="T732" s="39" t="str">
        <f>IF($C732="","",IF(COUNTIF($C$2:$C732,$C732)=1,1,0))</f>
        <v/>
      </c>
      <c r="U732" s="39" t="str">
        <f>IF($T732=1,COUNTIF($T$2:$T732,1),"")</f>
        <v/>
      </c>
      <c r="V732" s="39" t="str">
        <f>IF($B732="","",IF(COUNTIF($B$2:$B732,$B732)=1,1,0))</f>
        <v/>
      </c>
      <c r="W732" s="39" t="str">
        <f>IF($V732=1,COUNTIF($V$2:$V732,1),"")</f>
        <v/>
      </c>
      <c r="X732" s="39" t="str">
        <f>IF($A732="","",IF(COUNTIF($A$2:$A732,$A732)=1,1,0))</f>
        <v/>
      </c>
      <c r="Y732" s="39" t="str">
        <f>IF($X732=1,COUNTIF($X$2:$X732,1),"")</f>
        <v/>
      </c>
      <c r="Z732" s="39">
        <f>IF(AND($E732="timed",$N732&gt;Settings!$C$8),1,0)</f>
        <v>0</v>
      </c>
      <c r="AA732" s="39">
        <f t="shared" si="202"/>
        <v>0</v>
      </c>
      <c r="AB732" s="39">
        <f t="shared" si="203"/>
        <v>0</v>
      </c>
      <c r="AC732" s="39" t="str">
        <f t="shared" si="204"/>
        <v/>
      </c>
      <c r="AD732" s="39" t="str">
        <f t="shared" si="205"/>
        <v/>
      </c>
      <c r="AE732" s="39" t="str">
        <f t="shared" si="206"/>
        <v/>
      </c>
      <c r="AF732" s="106" t="str">
        <f t="shared" si="207"/>
        <v/>
      </c>
      <c r="AG732" s="39">
        <f t="shared" si="208"/>
        <v>0</v>
      </c>
      <c r="AH732" s="39" t="str">
        <f t="shared" si="209"/>
        <v/>
      </c>
      <c r="AI732" s="39">
        <f>IF(AND($E732="timed",$N732&gt;=Settings!$C$9),1,0)</f>
        <v>0</v>
      </c>
      <c r="AJ732" s="39" t="str">
        <f>IF(OR($S732="",Settings!$C$16=""),"",IF($S732&lt;=Settings!$C$16,1,2))</f>
        <v/>
      </c>
      <c r="AK732" s="39" t="str">
        <f>IF($C732="","",IFERROR(IF(INDEX(Settings!$C$20:$C$59,MATCH($C732,Settings!$B$20:$B$59,0))="",Settings!$C$10,INDEX(Settings!$C$20:$C$59,MATCH($C732,Settings!$B$20:$B$59,0))),Settings!$C$10))</f>
        <v/>
      </c>
      <c r="AL732" s="108">
        <f t="shared" si="210"/>
        <v>0</v>
      </c>
      <c r="AM732" s="39" t="str">
        <f t="shared" si="211"/>
        <v/>
      </c>
      <c r="AN732" s="39" t="str">
        <f t="shared" si="212"/>
        <v/>
      </c>
      <c r="AO732" s="39" t="str">
        <f t="shared" si="213"/>
        <v/>
      </c>
      <c r="AP732" s="39">
        <f t="shared" si="214"/>
        <v>0</v>
      </c>
      <c r="AQ732" s="39">
        <f t="shared" si="215"/>
        <v>0</v>
      </c>
    </row>
    <row r="733" spans="14:43" x14ac:dyDescent="0.25">
      <c r="N733" s="105">
        <f t="shared" si="198"/>
        <v>0</v>
      </c>
      <c r="O733" s="106" t="str">
        <f>IF($F733="","",IF(ISNUMBER($F733),$F733+Settings!$C$7/24,IFERROR(DATEVALUE(LEFT($F733,10))+TIMEVALUE(MID($F733,12,8))+Settings!$C$7/24,"")))</f>
        <v/>
      </c>
      <c r="P733" s="106" t="str">
        <f>IF($G733="","",IF(ISNUMBER($G733),$G733+Settings!$C$7/24,IFERROR(DATEVALUE(LEFT($G733,10))+TIMEVALUE(MID($G733,12,8))+Settings!$C$7/24,"")))</f>
        <v/>
      </c>
      <c r="Q733" s="39" t="str">
        <f t="shared" si="199"/>
        <v/>
      </c>
      <c r="R733" s="39" t="str">
        <f t="shared" si="200"/>
        <v/>
      </c>
      <c r="S733" s="107" t="str">
        <f t="shared" si="201"/>
        <v/>
      </c>
      <c r="T733" s="39" t="str">
        <f>IF($C733="","",IF(COUNTIF($C$2:$C733,$C733)=1,1,0))</f>
        <v/>
      </c>
      <c r="U733" s="39" t="str">
        <f>IF($T733=1,COUNTIF($T$2:$T733,1),"")</f>
        <v/>
      </c>
      <c r="V733" s="39" t="str">
        <f>IF($B733="","",IF(COUNTIF($B$2:$B733,$B733)=1,1,0))</f>
        <v/>
      </c>
      <c r="W733" s="39" t="str">
        <f>IF($V733=1,COUNTIF($V$2:$V733,1),"")</f>
        <v/>
      </c>
      <c r="X733" s="39" t="str">
        <f>IF($A733="","",IF(COUNTIF($A$2:$A733,$A733)=1,1,0))</f>
        <v/>
      </c>
      <c r="Y733" s="39" t="str">
        <f>IF($X733=1,COUNTIF($X$2:$X733,1),"")</f>
        <v/>
      </c>
      <c r="Z733" s="39">
        <f>IF(AND($E733="timed",$N733&gt;Settings!$C$8),1,0)</f>
        <v>0</v>
      </c>
      <c r="AA733" s="39">
        <f t="shared" si="202"/>
        <v>0</v>
      </c>
      <c r="AB733" s="39">
        <f t="shared" si="203"/>
        <v>0</v>
      </c>
      <c r="AC733" s="39" t="str">
        <f t="shared" si="204"/>
        <v/>
      </c>
      <c r="AD733" s="39" t="str">
        <f t="shared" si="205"/>
        <v/>
      </c>
      <c r="AE733" s="39" t="str">
        <f t="shared" si="206"/>
        <v/>
      </c>
      <c r="AF733" s="106" t="str">
        <f t="shared" si="207"/>
        <v/>
      </c>
      <c r="AG733" s="39">
        <f t="shared" si="208"/>
        <v>0</v>
      </c>
      <c r="AH733" s="39" t="str">
        <f t="shared" si="209"/>
        <v/>
      </c>
      <c r="AI733" s="39">
        <f>IF(AND($E733="timed",$N733&gt;=Settings!$C$9),1,0)</f>
        <v>0</v>
      </c>
      <c r="AJ733" s="39" t="str">
        <f>IF(OR($S733="",Settings!$C$16=""),"",IF($S733&lt;=Settings!$C$16,1,2))</f>
        <v/>
      </c>
      <c r="AK733" s="39" t="str">
        <f>IF($C733="","",IFERROR(IF(INDEX(Settings!$C$20:$C$59,MATCH($C733,Settings!$B$20:$B$59,0))="",Settings!$C$10,INDEX(Settings!$C$20:$C$59,MATCH($C733,Settings!$B$20:$B$59,0))),Settings!$C$10))</f>
        <v/>
      </c>
      <c r="AL733" s="108">
        <f t="shared" si="210"/>
        <v>0</v>
      </c>
      <c r="AM733" s="39" t="str">
        <f t="shared" si="211"/>
        <v/>
      </c>
      <c r="AN733" s="39" t="str">
        <f t="shared" si="212"/>
        <v/>
      </c>
      <c r="AO733" s="39" t="str">
        <f t="shared" si="213"/>
        <v/>
      </c>
      <c r="AP733" s="39">
        <f t="shared" si="214"/>
        <v>0</v>
      </c>
      <c r="AQ733" s="39">
        <f t="shared" si="215"/>
        <v>0</v>
      </c>
    </row>
    <row r="734" spans="14:43" x14ac:dyDescent="0.25">
      <c r="N734" s="105">
        <f t="shared" si="198"/>
        <v>0</v>
      </c>
      <c r="O734" s="106" t="str">
        <f>IF($F734="","",IF(ISNUMBER($F734),$F734+Settings!$C$7/24,IFERROR(DATEVALUE(LEFT($F734,10))+TIMEVALUE(MID($F734,12,8))+Settings!$C$7/24,"")))</f>
        <v/>
      </c>
      <c r="P734" s="106" t="str">
        <f>IF($G734="","",IF(ISNUMBER($G734),$G734+Settings!$C$7/24,IFERROR(DATEVALUE(LEFT($G734,10))+TIMEVALUE(MID($G734,12,8))+Settings!$C$7/24,"")))</f>
        <v/>
      </c>
      <c r="Q734" s="39" t="str">
        <f t="shared" si="199"/>
        <v/>
      </c>
      <c r="R734" s="39" t="str">
        <f t="shared" si="200"/>
        <v/>
      </c>
      <c r="S734" s="107" t="str">
        <f t="shared" si="201"/>
        <v/>
      </c>
      <c r="T734" s="39" t="str">
        <f>IF($C734="","",IF(COUNTIF($C$2:$C734,$C734)=1,1,0))</f>
        <v/>
      </c>
      <c r="U734" s="39" t="str">
        <f>IF($T734=1,COUNTIF($T$2:$T734,1),"")</f>
        <v/>
      </c>
      <c r="V734" s="39" t="str">
        <f>IF($B734="","",IF(COUNTIF($B$2:$B734,$B734)=1,1,0))</f>
        <v/>
      </c>
      <c r="W734" s="39" t="str">
        <f>IF($V734=1,COUNTIF($V$2:$V734,1),"")</f>
        <v/>
      </c>
      <c r="X734" s="39" t="str">
        <f>IF($A734="","",IF(COUNTIF($A$2:$A734,$A734)=1,1,0))</f>
        <v/>
      </c>
      <c r="Y734" s="39" t="str">
        <f>IF($X734=1,COUNTIF($X$2:$X734,1),"")</f>
        <v/>
      </c>
      <c r="Z734" s="39">
        <f>IF(AND($E734="timed",$N734&gt;Settings!$C$8),1,0)</f>
        <v>0</v>
      </c>
      <c r="AA734" s="39">
        <f t="shared" si="202"/>
        <v>0</v>
      </c>
      <c r="AB734" s="39">
        <f t="shared" si="203"/>
        <v>0</v>
      </c>
      <c r="AC734" s="39" t="str">
        <f t="shared" si="204"/>
        <v/>
      </c>
      <c r="AD734" s="39" t="str">
        <f t="shared" si="205"/>
        <v/>
      </c>
      <c r="AE734" s="39" t="str">
        <f t="shared" si="206"/>
        <v/>
      </c>
      <c r="AF734" s="106" t="str">
        <f t="shared" si="207"/>
        <v/>
      </c>
      <c r="AG734" s="39">
        <f t="shared" si="208"/>
        <v>0</v>
      </c>
      <c r="AH734" s="39" t="str">
        <f t="shared" si="209"/>
        <v/>
      </c>
      <c r="AI734" s="39">
        <f>IF(AND($E734="timed",$N734&gt;=Settings!$C$9),1,0)</f>
        <v>0</v>
      </c>
      <c r="AJ734" s="39" t="str">
        <f>IF(OR($S734="",Settings!$C$16=""),"",IF($S734&lt;=Settings!$C$16,1,2))</f>
        <v/>
      </c>
      <c r="AK734" s="39" t="str">
        <f>IF($C734="","",IFERROR(IF(INDEX(Settings!$C$20:$C$59,MATCH($C734,Settings!$B$20:$B$59,0))="",Settings!$C$10,INDEX(Settings!$C$20:$C$59,MATCH($C734,Settings!$B$20:$B$59,0))),Settings!$C$10))</f>
        <v/>
      </c>
      <c r="AL734" s="108">
        <f t="shared" si="210"/>
        <v>0</v>
      </c>
      <c r="AM734" s="39" t="str">
        <f t="shared" si="211"/>
        <v/>
      </c>
      <c r="AN734" s="39" t="str">
        <f t="shared" si="212"/>
        <v/>
      </c>
      <c r="AO734" s="39" t="str">
        <f t="shared" si="213"/>
        <v/>
      </c>
      <c r="AP734" s="39">
        <f t="shared" si="214"/>
        <v>0</v>
      </c>
      <c r="AQ734" s="39">
        <f t="shared" si="215"/>
        <v>0</v>
      </c>
    </row>
    <row r="735" spans="14:43" x14ac:dyDescent="0.25">
      <c r="N735" s="105">
        <f t="shared" si="198"/>
        <v>0</v>
      </c>
      <c r="O735" s="106" t="str">
        <f>IF($F735="","",IF(ISNUMBER($F735),$F735+Settings!$C$7/24,IFERROR(DATEVALUE(LEFT($F735,10))+TIMEVALUE(MID($F735,12,8))+Settings!$C$7/24,"")))</f>
        <v/>
      </c>
      <c r="P735" s="106" t="str">
        <f>IF($G735="","",IF(ISNUMBER($G735),$G735+Settings!$C$7/24,IFERROR(DATEVALUE(LEFT($G735,10))+TIMEVALUE(MID($G735,12,8))+Settings!$C$7/24,"")))</f>
        <v/>
      </c>
      <c r="Q735" s="39" t="str">
        <f t="shared" si="199"/>
        <v/>
      </c>
      <c r="R735" s="39" t="str">
        <f t="shared" si="200"/>
        <v/>
      </c>
      <c r="S735" s="107" t="str">
        <f t="shared" si="201"/>
        <v/>
      </c>
      <c r="T735" s="39" t="str">
        <f>IF($C735="","",IF(COUNTIF($C$2:$C735,$C735)=1,1,0))</f>
        <v/>
      </c>
      <c r="U735" s="39" t="str">
        <f>IF($T735=1,COUNTIF($T$2:$T735,1),"")</f>
        <v/>
      </c>
      <c r="V735" s="39" t="str">
        <f>IF($B735="","",IF(COUNTIF($B$2:$B735,$B735)=1,1,0))</f>
        <v/>
      </c>
      <c r="W735" s="39" t="str">
        <f>IF($V735=1,COUNTIF($V$2:$V735,1),"")</f>
        <v/>
      </c>
      <c r="X735" s="39" t="str">
        <f>IF($A735="","",IF(COUNTIF($A$2:$A735,$A735)=1,1,0))</f>
        <v/>
      </c>
      <c r="Y735" s="39" t="str">
        <f>IF($X735=1,COUNTIF($X$2:$X735,1),"")</f>
        <v/>
      </c>
      <c r="Z735" s="39">
        <f>IF(AND($E735="timed",$N735&gt;Settings!$C$8),1,0)</f>
        <v>0</v>
      </c>
      <c r="AA735" s="39">
        <f t="shared" si="202"/>
        <v>0</v>
      </c>
      <c r="AB735" s="39">
        <f t="shared" si="203"/>
        <v>0</v>
      </c>
      <c r="AC735" s="39" t="str">
        <f t="shared" si="204"/>
        <v/>
      </c>
      <c r="AD735" s="39" t="str">
        <f t="shared" si="205"/>
        <v/>
      </c>
      <c r="AE735" s="39" t="str">
        <f t="shared" si="206"/>
        <v/>
      </c>
      <c r="AF735" s="106" t="str">
        <f t="shared" si="207"/>
        <v/>
      </c>
      <c r="AG735" s="39">
        <f t="shared" si="208"/>
        <v>0</v>
      </c>
      <c r="AH735" s="39" t="str">
        <f t="shared" si="209"/>
        <v/>
      </c>
      <c r="AI735" s="39">
        <f>IF(AND($E735="timed",$N735&gt;=Settings!$C$9),1,0)</f>
        <v>0</v>
      </c>
      <c r="AJ735" s="39" t="str">
        <f>IF(OR($S735="",Settings!$C$16=""),"",IF($S735&lt;=Settings!$C$16,1,2))</f>
        <v/>
      </c>
      <c r="AK735" s="39" t="str">
        <f>IF($C735="","",IFERROR(IF(INDEX(Settings!$C$20:$C$59,MATCH($C735,Settings!$B$20:$B$59,0))="",Settings!$C$10,INDEX(Settings!$C$20:$C$59,MATCH($C735,Settings!$B$20:$B$59,0))),Settings!$C$10))</f>
        <v/>
      </c>
      <c r="AL735" s="108">
        <f t="shared" si="210"/>
        <v>0</v>
      </c>
      <c r="AM735" s="39" t="str">
        <f t="shared" si="211"/>
        <v/>
      </c>
      <c r="AN735" s="39" t="str">
        <f t="shared" si="212"/>
        <v/>
      </c>
      <c r="AO735" s="39" t="str">
        <f t="shared" si="213"/>
        <v/>
      </c>
      <c r="AP735" s="39">
        <f t="shared" si="214"/>
        <v>0</v>
      </c>
      <c r="AQ735" s="39">
        <f t="shared" si="215"/>
        <v>0</v>
      </c>
    </row>
    <row r="736" spans="14:43" x14ac:dyDescent="0.25">
      <c r="N736" s="105">
        <f t="shared" si="198"/>
        <v>0</v>
      </c>
      <c r="O736" s="106" t="str">
        <f>IF($F736="","",IF(ISNUMBER($F736),$F736+Settings!$C$7/24,IFERROR(DATEVALUE(LEFT($F736,10))+TIMEVALUE(MID($F736,12,8))+Settings!$C$7/24,"")))</f>
        <v/>
      </c>
      <c r="P736" s="106" t="str">
        <f>IF($G736="","",IF(ISNUMBER($G736),$G736+Settings!$C$7/24,IFERROR(DATEVALUE(LEFT($G736,10))+TIMEVALUE(MID($G736,12,8))+Settings!$C$7/24,"")))</f>
        <v/>
      </c>
      <c r="Q736" s="39" t="str">
        <f t="shared" si="199"/>
        <v/>
      </c>
      <c r="R736" s="39" t="str">
        <f t="shared" si="200"/>
        <v/>
      </c>
      <c r="S736" s="107" t="str">
        <f t="shared" si="201"/>
        <v/>
      </c>
      <c r="T736" s="39" t="str">
        <f>IF($C736="","",IF(COUNTIF($C$2:$C736,$C736)=1,1,0))</f>
        <v/>
      </c>
      <c r="U736" s="39" t="str">
        <f>IF($T736=1,COUNTIF($T$2:$T736,1),"")</f>
        <v/>
      </c>
      <c r="V736" s="39" t="str">
        <f>IF($B736="","",IF(COUNTIF($B$2:$B736,$B736)=1,1,0))</f>
        <v/>
      </c>
      <c r="W736" s="39" t="str">
        <f>IF($V736=1,COUNTIF($V$2:$V736,1),"")</f>
        <v/>
      </c>
      <c r="X736" s="39" t="str">
        <f>IF($A736="","",IF(COUNTIF($A$2:$A736,$A736)=1,1,0))</f>
        <v/>
      </c>
      <c r="Y736" s="39" t="str">
        <f>IF($X736=1,COUNTIF($X$2:$X736,1),"")</f>
        <v/>
      </c>
      <c r="Z736" s="39">
        <f>IF(AND($E736="timed",$N736&gt;Settings!$C$8),1,0)</f>
        <v>0</v>
      </c>
      <c r="AA736" s="39">
        <f t="shared" si="202"/>
        <v>0</v>
      </c>
      <c r="AB736" s="39">
        <f t="shared" si="203"/>
        <v>0</v>
      </c>
      <c r="AC736" s="39" t="str">
        <f t="shared" si="204"/>
        <v/>
      </c>
      <c r="AD736" s="39" t="str">
        <f t="shared" si="205"/>
        <v/>
      </c>
      <c r="AE736" s="39" t="str">
        <f t="shared" si="206"/>
        <v/>
      </c>
      <c r="AF736" s="106" t="str">
        <f t="shared" si="207"/>
        <v/>
      </c>
      <c r="AG736" s="39">
        <f t="shared" si="208"/>
        <v>0</v>
      </c>
      <c r="AH736" s="39" t="str">
        <f t="shared" si="209"/>
        <v/>
      </c>
      <c r="AI736" s="39">
        <f>IF(AND($E736="timed",$N736&gt;=Settings!$C$9),1,0)</f>
        <v>0</v>
      </c>
      <c r="AJ736" s="39" t="str">
        <f>IF(OR($S736="",Settings!$C$16=""),"",IF($S736&lt;=Settings!$C$16,1,2))</f>
        <v/>
      </c>
      <c r="AK736" s="39" t="str">
        <f>IF($C736="","",IFERROR(IF(INDEX(Settings!$C$20:$C$59,MATCH($C736,Settings!$B$20:$B$59,0))="",Settings!$C$10,INDEX(Settings!$C$20:$C$59,MATCH($C736,Settings!$B$20:$B$59,0))),Settings!$C$10))</f>
        <v/>
      </c>
      <c r="AL736" s="108">
        <f t="shared" si="210"/>
        <v>0</v>
      </c>
      <c r="AM736" s="39" t="str">
        <f t="shared" si="211"/>
        <v/>
      </c>
      <c r="AN736" s="39" t="str">
        <f t="shared" si="212"/>
        <v/>
      </c>
      <c r="AO736" s="39" t="str">
        <f t="shared" si="213"/>
        <v/>
      </c>
      <c r="AP736" s="39">
        <f t="shared" si="214"/>
        <v>0</v>
      </c>
      <c r="AQ736" s="39">
        <f t="shared" si="215"/>
        <v>0</v>
      </c>
    </row>
    <row r="737" spans="14:43" x14ac:dyDescent="0.25">
      <c r="N737" s="105">
        <f t="shared" si="198"/>
        <v>0</v>
      </c>
      <c r="O737" s="106" t="str">
        <f>IF($F737="","",IF(ISNUMBER($F737),$F737+Settings!$C$7/24,IFERROR(DATEVALUE(LEFT($F737,10))+TIMEVALUE(MID($F737,12,8))+Settings!$C$7/24,"")))</f>
        <v/>
      </c>
      <c r="P737" s="106" t="str">
        <f>IF($G737="","",IF(ISNUMBER($G737),$G737+Settings!$C$7/24,IFERROR(DATEVALUE(LEFT($G737,10))+TIMEVALUE(MID($G737,12,8))+Settings!$C$7/24,"")))</f>
        <v/>
      </c>
      <c r="Q737" s="39" t="str">
        <f t="shared" si="199"/>
        <v/>
      </c>
      <c r="R737" s="39" t="str">
        <f t="shared" si="200"/>
        <v/>
      </c>
      <c r="S737" s="107" t="str">
        <f t="shared" si="201"/>
        <v/>
      </c>
      <c r="T737" s="39" t="str">
        <f>IF($C737="","",IF(COUNTIF($C$2:$C737,$C737)=1,1,0))</f>
        <v/>
      </c>
      <c r="U737" s="39" t="str">
        <f>IF($T737=1,COUNTIF($T$2:$T737,1),"")</f>
        <v/>
      </c>
      <c r="V737" s="39" t="str">
        <f>IF($B737="","",IF(COUNTIF($B$2:$B737,$B737)=1,1,0))</f>
        <v/>
      </c>
      <c r="W737" s="39" t="str">
        <f>IF($V737=1,COUNTIF($V$2:$V737,1),"")</f>
        <v/>
      </c>
      <c r="X737" s="39" t="str">
        <f>IF($A737="","",IF(COUNTIF($A$2:$A737,$A737)=1,1,0))</f>
        <v/>
      </c>
      <c r="Y737" s="39" t="str">
        <f>IF($X737=1,COUNTIF($X$2:$X737,1),"")</f>
        <v/>
      </c>
      <c r="Z737" s="39">
        <f>IF(AND($E737="timed",$N737&gt;Settings!$C$8),1,0)</f>
        <v>0</v>
      </c>
      <c r="AA737" s="39">
        <f t="shared" si="202"/>
        <v>0</v>
      </c>
      <c r="AB737" s="39">
        <f t="shared" si="203"/>
        <v>0</v>
      </c>
      <c r="AC737" s="39" t="str">
        <f t="shared" si="204"/>
        <v/>
      </c>
      <c r="AD737" s="39" t="str">
        <f t="shared" si="205"/>
        <v/>
      </c>
      <c r="AE737" s="39" t="str">
        <f t="shared" si="206"/>
        <v/>
      </c>
      <c r="AF737" s="106" t="str">
        <f t="shared" si="207"/>
        <v/>
      </c>
      <c r="AG737" s="39">
        <f t="shared" si="208"/>
        <v>0</v>
      </c>
      <c r="AH737" s="39" t="str">
        <f t="shared" si="209"/>
        <v/>
      </c>
      <c r="AI737" s="39">
        <f>IF(AND($E737="timed",$N737&gt;=Settings!$C$9),1,0)</f>
        <v>0</v>
      </c>
      <c r="AJ737" s="39" t="str">
        <f>IF(OR($S737="",Settings!$C$16=""),"",IF($S737&lt;=Settings!$C$16,1,2))</f>
        <v/>
      </c>
      <c r="AK737" s="39" t="str">
        <f>IF($C737="","",IFERROR(IF(INDEX(Settings!$C$20:$C$59,MATCH($C737,Settings!$B$20:$B$59,0))="",Settings!$C$10,INDEX(Settings!$C$20:$C$59,MATCH($C737,Settings!$B$20:$B$59,0))),Settings!$C$10))</f>
        <v/>
      </c>
      <c r="AL737" s="108">
        <f t="shared" si="210"/>
        <v>0</v>
      </c>
      <c r="AM737" s="39" t="str">
        <f t="shared" si="211"/>
        <v/>
      </c>
      <c r="AN737" s="39" t="str">
        <f t="shared" si="212"/>
        <v/>
      </c>
      <c r="AO737" s="39" t="str">
        <f t="shared" si="213"/>
        <v/>
      </c>
      <c r="AP737" s="39">
        <f t="shared" si="214"/>
        <v>0</v>
      </c>
      <c r="AQ737" s="39">
        <f t="shared" si="215"/>
        <v>0</v>
      </c>
    </row>
    <row r="738" spans="14:43" x14ac:dyDescent="0.25">
      <c r="N738" s="105">
        <f t="shared" si="198"/>
        <v>0</v>
      </c>
      <c r="O738" s="106" t="str">
        <f>IF($F738="","",IF(ISNUMBER($F738),$F738+Settings!$C$7/24,IFERROR(DATEVALUE(LEFT($F738,10))+TIMEVALUE(MID($F738,12,8))+Settings!$C$7/24,"")))</f>
        <v/>
      </c>
      <c r="P738" s="106" t="str">
        <f>IF($G738="","",IF(ISNUMBER($G738),$G738+Settings!$C$7/24,IFERROR(DATEVALUE(LEFT($G738,10))+TIMEVALUE(MID($G738,12,8))+Settings!$C$7/24,"")))</f>
        <v/>
      </c>
      <c r="Q738" s="39" t="str">
        <f t="shared" si="199"/>
        <v/>
      </c>
      <c r="R738" s="39" t="str">
        <f t="shared" si="200"/>
        <v/>
      </c>
      <c r="S738" s="107" t="str">
        <f t="shared" si="201"/>
        <v/>
      </c>
      <c r="T738" s="39" t="str">
        <f>IF($C738="","",IF(COUNTIF($C$2:$C738,$C738)=1,1,0))</f>
        <v/>
      </c>
      <c r="U738" s="39" t="str">
        <f>IF($T738=1,COUNTIF($T$2:$T738,1),"")</f>
        <v/>
      </c>
      <c r="V738" s="39" t="str">
        <f>IF($B738="","",IF(COUNTIF($B$2:$B738,$B738)=1,1,0))</f>
        <v/>
      </c>
      <c r="W738" s="39" t="str">
        <f>IF($V738=1,COUNTIF($V$2:$V738,1),"")</f>
        <v/>
      </c>
      <c r="X738" s="39" t="str">
        <f>IF($A738="","",IF(COUNTIF($A$2:$A738,$A738)=1,1,0))</f>
        <v/>
      </c>
      <c r="Y738" s="39" t="str">
        <f>IF($X738=1,COUNTIF($X$2:$X738,1),"")</f>
        <v/>
      </c>
      <c r="Z738" s="39">
        <f>IF(AND($E738="timed",$N738&gt;Settings!$C$8),1,0)</f>
        <v>0</v>
      </c>
      <c r="AA738" s="39">
        <f t="shared" si="202"/>
        <v>0</v>
      </c>
      <c r="AB738" s="39">
        <f t="shared" si="203"/>
        <v>0</v>
      </c>
      <c r="AC738" s="39" t="str">
        <f t="shared" si="204"/>
        <v/>
      </c>
      <c r="AD738" s="39" t="str">
        <f t="shared" si="205"/>
        <v/>
      </c>
      <c r="AE738" s="39" t="str">
        <f t="shared" si="206"/>
        <v/>
      </c>
      <c r="AF738" s="106" t="str">
        <f t="shared" si="207"/>
        <v/>
      </c>
      <c r="AG738" s="39">
        <f t="shared" si="208"/>
        <v>0</v>
      </c>
      <c r="AH738" s="39" t="str">
        <f t="shared" si="209"/>
        <v/>
      </c>
      <c r="AI738" s="39">
        <f>IF(AND($E738="timed",$N738&gt;=Settings!$C$9),1,0)</f>
        <v>0</v>
      </c>
      <c r="AJ738" s="39" t="str">
        <f>IF(OR($S738="",Settings!$C$16=""),"",IF($S738&lt;=Settings!$C$16,1,2))</f>
        <v/>
      </c>
      <c r="AK738" s="39" t="str">
        <f>IF($C738="","",IFERROR(IF(INDEX(Settings!$C$20:$C$59,MATCH($C738,Settings!$B$20:$B$59,0))="",Settings!$C$10,INDEX(Settings!$C$20:$C$59,MATCH($C738,Settings!$B$20:$B$59,0))),Settings!$C$10))</f>
        <v/>
      </c>
      <c r="AL738" s="108">
        <f t="shared" si="210"/>
        <v>0</v>
      </c>
      <c r="AM738" s="39" t="str">
        <f t="shared" si="211"/>
        <v/>
      </c>
      <c r="AN738" s="39" t="str">
        <f t="shared" si="212"/>
        <v/>
      </c>
      <c r="AO738" s="39" t="str">
        <f t="shared" si="213"/>
        <v/>
      </c>
      <c r="AP738" s="39">
        <f t="shared" si="214"/>
        <v>0</v>
      </c>
      <c r="AQ738" s="39">
        <f t="shared" si="215"/>
        <v>0</v>
      </c>
    </row>
    <row r="739" spans="14:43" x14ac:dyDescent="0.25">
      <c r="N739" s="105">
        <f t="shared" si="198"/>
        <v>0</v>
      </c>
      <c r="O739" s="106" t="str">
        <f>IF($F739="","",IF(ISNUMBER($F739),$F739+Settings!$C$7/24,IFERROR(DATEVALUE(LEFT($F739,10))+TIMEVALUE(MID($F739,12,8))+Settings!$C$7/24,"")))</f>
        <v/>
      </c>
      <c r="P739" s="106" t="str">
        <f>IF($G739="","",IF(ISNUMBER($G739),$G739+Settings!$C$7/24,IFERROR(DATEVALUE(LEFT($G739,10))+TIMEVALUE(MID($G739,12,8))+Settings!$C$7/24,"")))</f>
        <v/>
      </c>
      <c r="Q739" s="39" t="str">
        <f t="shared" si="199"/>
        <v/>
      </c>
      <c r="R739" s="39" t="str">
        <f t="shared" si="200"/>
        <v/>
      </c>
      <c r="S739" s="107" t="str">
        <f t="shared" si="201"/>
        <v/>
      </c>
      <c r="T739" s="39" t="str">
        <f>IF($C739="","",IF(COUNTIF($C$2:$C739,$C739)=1,1,0))</f>
        <v/>
      </c>
      <c r="U739" s="39" t="str">
        <f>IF($T739=1,COUNTIF($T$2:$T739,1),"")</f>
        <v/>
      </c>
      <c r="V739" s="39" t="str">
        <f>IF($B739="","",IF(COUNTIF($B$2:$B739,$B739)=1,1,0))</f>
        <v/>
      </c>
      <c r="W739" s="39" t="str">
        <f>IF($V739=1,COUNTIF($V$2:$V739,1),"")</f>
        <v/>
      </c>
      <c r="X739" s="39" t="str">
        <f>IF($A739="","",IF(COUNTIF($A$2:$A739,$A739)=1,1,0))</f>
        <v/>
      </c>
      <c r="Y739" s="39" t="str">
        <f>IF($X739=1,COUNTIF($X$2:$X739,1),"")</f>
        <v/>
      </c>
      <c r="Z739" s="39">
        <f>IF(AND($E739="timed",$N739&gt;Settings!$C$8),1,0)</f>
        <v>0</v>
      </c>
      <c r="AA739" s="39">
        <f t="shared" si="202"/>
        <v>0</v>
      </c>
      <c r="AB739" s="39">
        <f t="shared" si="203"/>
        <v>0</v>
      </c>
      <c r="AC739" s="39" t="str">
        <f t="shared" si="204"/>
        <v/>
      </c>
      <c r="AD739" s="39" t="str">
        <f t="shared" si="205"/>
        <v/>
      </c>
      <c r="AE739" s="39" t="str">
        <f t="shared" si="206"/>
        <v/>
      </c>
      <c r="AF739" s="106" t="str">
        <f t="shared" si="207"/>
        <v/>
      </c>
      <c r="AG739" s="39">
        <f t="shared" si="208"/>
        <v>0</v>
      </c>
      <c r="AH739" s="39" t="str">
        <f t="shared" si="209"/>
        <v/>
      </c>
      <c r="AI739" s="39">
        <f>IF(AND($E739="timed",$N739&gt;=Settings!$C$9),1,0)</f>
        <v>0</v>
      </c>
      <c r="AJ739" s="39" t="str">
        <f>IF(OR($S739="",Settings!$C$16=""),"",IF($S739&lt;=Settings!$C$16,1,2))</f>
        <v/>
      </c>
      <c r="AK739" s="39" t="str">
        <f>IF($C739="","",IFERROR(IF(INDEX(Settings!$C$20:$C$59,MATCH($C739,Settings!$B$20:$B$59,0))="",Settings!$C$10,INDEX(Settings!$C$20:$C$59,MATCH($C739,Settings!$B$20:$B$59,0))),Settings!$C$10))</f>
        <v/>
      </c>
      <c r="AL739" s="108">
        <f t="shared" si="210"/>
        <v>0</v>
      </c>
      <c r="AM739" s="39" t="str">
        <f t="shared" si="211"/>
        <v/>
      </c>
      <c r="AN739" s="39" t="str">
        <f t="shared" si="212"/>
        <v/>
      </c>
      <c r="AO739" s="39" t="str">
        <f t="shared" si="213"/>
        <v/>
      </c>
      <c r="AP739" s="39">
        <f t="shared" si="214"/>
        <v>0</v>
      </c>
      <c r="AQ739" s="39">
        <f t="shared" si="215"/>
        <v>0</v>
      </c>
    </row>
    <row r="740" spans="14:43" x14ac:dyDescent="0.25">
      <c r="N740" s="105">
        <f t="shared" si="198"/>
        <v>0</v>
      </c>
      <c r="O740" s="106" t="str">
        <f>IF($F740="","",IF(ISNUMBER($F740),$F740+Settings!$C$7/24,IFERROR(DATEVALUE(LEFT($F740,10))+TIMEVALUE(MID($F740,12,8))+Settings!$C$7/24,"")))</f>
        <v/>
      </c>
      <c r="P740" s="106" t="str">
        <f>IF($G740="","",IF(ISNUMBER($G740),$G740+Settings!$C$7/24,IFERROR(DATEVALUE(LEFT($G740,10))+TIMEVALUE(MID($G740,12,8))+Settings!$C$7/24,"")))</f>
        <v/>
      </c>
      <c r="Q740" s="39" t="str">
        <f t="shared" si="199"/>
        <v/>
      </c>
      <c r="R740" s="39" t="str">
        <f t="shared" si="200"/>
        <v/>
      </c>
      <c r="S740" s="107" t="str">
        <f t="shared" si="201"/>
        <v/>
      </c>
      <c r="T740" s="39" t="str">
        <f>IF($C740="","",IF(COUNTIF($C$2:$C740,$C740)=1,1,0))</f>
        <v/>
      </c>
      <c r="U740" s="39" t="str">
        <f>IF($T740=1,COUNTIF($T$2:$T740,1),"")</f>
        <v/>
      </c>
      <c r="V740" s="39" t="str">
        <f>IF($B740="","",IF(COUNTIF($B$2:$B740,$B740)=1,1,0))</f>
        <v/>
      </c>
      <c r="W740" s="39" t="str">
        <f>IF($V740=1,COUNTIF($V$2:$V740,1),"")</f>
        <v/>
      </c>
      <c r="X740" s="39" t="str">
        <f>IF($A740="","",IF(COUNTIF($A$2:$A740,$A740)=1,1,0))</f>
        <v/>
      </c>
      <c r="Y740" s="39" t="str">
        <f>IF($X740=1,COUNTIF($X$2:$X740,1),"")</f>
        <v/>
      </c>
      <c r="Z740" s="39">
        <f>IF(AND($E740="timed",$N740&gt;Settings!$C$8),1,0)</f>
        <v>0</v>
      </c>
      <c r="AA740" s="39">
        <f t="shared" si="202"/>
        <v>0</v>
      </c>
      <c r="AB740" s="39">
        <f t="shared" si="203"/>
        <v>0</v>
      </c>
      <c r="AC740" s="39" t="str">
        <f t="shared" si="204"/>
        <v/>
      </c>
      <c r="AD740" s="39" t="str">
        <f t="shared" si="205"/>
        <v/>
      </c>
      <c r="AE740" s="39" t="str">
        <f t="shared" si="206"/>
        <v/>
      </c>
      <c r="AF740" s="106" t="str">
        <f t="shared" si="207"/>
        <v/>
      </c>
      <c r="AG740" s="39">
        <f t="shared" si="208"/>
        <v>0</v>
      </c>
      <c r="AH740" s="39" t="str">
        <f t="shared" si="209"/>
        <v/>
      </c>
      <c r="AI740" s="39">
        <f>IF(AND($E740="timed",$N740&gt;=Settings!$C$9),1,0)</f>
        <v>0</v>
      </c>
      <c r="AJ740" s="39" t="str">
        <f>IF(OR($S740="",Settings!$C$16=""),"",IF($S740&lt;=Settings!$C$16,1,2))</f>
        <v/>
      </c>
      <c r="AK740" s="39" t="str">
        <f>IF($C740="","",IFERROR(IF(INDEX(Settings!$C$20:$C$59,MATCH($C740,Settings!$B$20:$B$59,0))="",Settings!$C$10,INDEX(Settings!$C$20:$C$59,MATCH($C740,Settings!$B$20:$B$59,0))),Settings!$C$10))</f>
        <v/>
      </c>
      <c r="AL740" s="108">
        <f t="shared" si="210"/>
        <v>0</v>
      </c>
      <c r="AM740" s="39" t="str">
        <f t="shared" si="211"/>
        <v/>
      </c>
      <c r="AN740" s="39" t="str">
        <f t="shared" si="212"/>
        <v/>
      </c>
      <c r="AO740" s="39" t="str">
        <f t="shared" si="213"/>
        <v/>
      </c>
      <c r="AP740" s="39">
        <f t="shared" si="214"/>
        <v>0</v>
      </c>
      <c r="AQ740" s="39">
        <f t="shared" si="215"/>
        <v>0</v>
      </c>
    </row>
    <row r="741" spans="14:43" x14ac:dyDescent="0.25">
      <c r="N741" s="105">
        <f t="shared" si="198"/>
        <v>0</v>
      </c>
      <c r="O741" s="106" t="str">
        <f>IF($F741="","",IF(ISNUMBER($F741),$F741+Settings!$C$7/24,IFERROR(DATEVALUE(LEFT($F741,10))+TIMEVALUE(MID($F741,12,8))+Settings!$C$7/24,"")))</f>
        <v/>
      </c>
      <c r="P741" s="106" t="str">
        <f>IF($G741="","",IF(ISNUMBER($G741),$G741+Settings!$C$7/24,IFERROR(DATEVALUE(LEFT($G741,10))+TIMEVALUE(MID($G741,12,8))+Settings!$C$7/24,"")))</f>
        <v/>
      </c>
      <c r="Q741" s="39" t="str">
        <f t="shared" si="199"/>
        <v/>
      </c>
      <c r="R741" s="39" t="str">
        <f t="shared" si="200"/>
        <v/>
      </c>
      <c r="S741" s="107" t="str">
        <f t="shared" si="201"/>
        <v/>
      </c>
      <c r="T741" s="39" t="str">
        <f>IF($C741="","",IF(COUNTIF($C$2:$C741,$C741)=1,1,0))</f>
        <v/>
      </c>
      <c r="U741" s="39" t="str">
        <f>IF($T741=1,COUNTIF($T$2:$T741,1),"")</f>
        <v/>
      </c>
      <c r="V741" s="39" t="str">
        <f>IF($B741="","",IF(COUNTIF($B$2:$B741,$B741)=1,1,0))</f>
        <v/>
      </c>
      <c r="W741" s="39" t="str">
        <f>IF($V741=1,COUNTIF($V$2:$V741,1),"")</f>
        <v/>
      </c>
      <c r="X741" s="39" t="str">
        <f>IF($A741="","",IF(COUNTIF($A$2:$A741,$A741)=1,1,0))</f>
        <v/>
      </c>
      <c r="Y741" s="39" t="str">
        <f>IF($X741=1,COUNTIF($X$2:$X741,1),"")</f>
        <v/>
      </c>
      <c r="Z741" s="39">
        <f>IF(AND($E741="timed",$N741&gt;Settings!$C$8),1,0)</f>
        <v>0</v>
      </c>
      <c r="AA741" s="39">
        <f t="shared" si="202"/>
        <v>0</v>
      </c>
      <c r="AB741" s="39">
        <f t="shared" si="203"/>
        <v>0</v>
      </c>
      <c r="AC741" s="39" t="str">
        <f t="shared" si="204"/>
        <v/>
      </c>
      <c r="AD741" s="39" t="str">
        <f t="shared" si="205"/>
        <v/>
      </c>
      <c r="AE741" s="39" t="str">
        <f t="shared" si="206"/>
        <v/>
      </c>
      <c r="AF741" s="106" t="str">
        <f t="shared" si="207"/>
        <v/>
      </c>
      <c r="AG741" s="39">
        <f t="shared" si="208"/>
        <v>0</v>
      </c>
      <c r="AH741" s="39" t="str">
        <f t="shared" si="209"/>
        <v/>
      </c>
      <c r="AI741" s="39">
        <f>IF(AND($E741="timed",$N741&gt;=Settings!$C$9),1,0)</f>
        <v>0</v>
      </c>
      <c r="AJ741" s="39" t="str">
        <f>IF(OR($S741="",Settings!$C$16=""),"",IF($S741&lt;=Settings!$C$16,1,2))</f>
        <v/>
      </c>
      <c r="AK741" s="39" t="str">
        <f>IF($C741="","",IFERROR(IF(INDEX(Settings!$C$20:$C$59,MATCH($C741,Settings!$B$20:$B$59,0))="",Settings!$C$10,INDEX(Settings!$C$20:$C$59,MATCH($C741,Settings!$B$20:$B$59,0))),Settings!$C$10))</f>
        <v/>
      </c>
      <c r="AL741" s="108">
        <f t="shared" si="210"/>
        <v>0</v>
      </c>
      <c r="AM741" s="39" t="str">
        <f t="shared" si="211"/>
        <v/>
      </c>
      <c r="AN741" s="39" t="str">
        <f t="shared" si="212"/>
        <v/>
      </c>
      <c r="AO741" s="39" t="str">
        <f t="shared" si="213"/>
        <v/>
      </c>
      <c r="AP741" s="39">
        <f t="shared" si="214"/>
        <v>0</v>
      </c>
      <c r="AQ741" s="39">
        <f t="shared" si="215"/>
        <v>0</v>
      </c>
    </row>
    <row r="742" spans="14:43" x14ac:dyDescent="0.25">
      <c r="N742" s="105">
        <f t="shared" si="198"/>
        <v>0</v>
      </c>
      <c r="O742" s="106" t="str">
        <f>IF($F742="","",IF(ISNUMBER($F742),$F742+Settings!$C$7/24,IFERROR(DATEVALUE(LEFT($F742,10))+TIMEVALUE(MID($F742,12,8))+Settings!$C$7/24,"")))</f>
        <v/>
      </c>
      <c r="P742" s="106" t="str">
        <f>IF($G742="","",IF(ISNUMBER($G742),$G742+Settings!$C$7/24,IFERROR(DATEVALUE(LEFT($G742,10))+TIMEVALUE(MID($G742,12,8))+Settings!$C$7/24,"")))</f>
        <v/>
      </c>
      <c r="Q742" s="39" t="str">
        <f t="shared" si="199"/>
        <v/>
      </c>
      <c r="R742" s="39" t="str">
        <f t="shared" si="200"/>
        <v/>
      </c>
      <c r="S742" s="107" t="str">
        <f t="shared" si="201"/>
        <v/>
      </c>
      <c r="T742" s="39" t="str">
        <f>IF($C742="","",IF(COUNTIF($C$2:$C742,$C742)=1,1,0))</f>
        <v/>
      </c>
      <c r="U742" s="39" t="str">
        <f>IF($T742=1,COUNTIF($T$2:$T742,1),"")</f>
        <v/>
      </c>
      <c r="V742" s="39" t="str">
        <f>IF($B742="","",IF(COUNTIF($B$2:$B742,$B742)=1,1,0))</f>
        <v/>
      </c>
      <c r="W742" s="39" t="str">
        <f>IF($V742=1,COUNTIF($V$2:$V742,1),"")</f>
        <v/>
      </c>
      <c r="X742" s="39" t="str">
        <f>IF($A742="","",IF(COUNTIF($A$2:$A742,$A742)=1,1,0))</f>
        <v/>
      </c>
      <c r="Y742" s="39" t="str">
        <f>IF($X742=1,COUNTIF($X$2:$X742,1),"")</f>
        <v/>
      </c>
      <c r="Z742" s="39">
        <f>IF(AND($E742="timed",$N742&gt;Settings!$C$8),1,0)</f>
        <v>0</v>
      </c>
      <c r="AA742" s="39">
        <f t="shared" si="202"/>
        <v>0</v>
      </c>
      <c r="AB742" s="39">
        <f t="shared" si="203"/>
        <v>0</v>
      </c>
      <c r="AC742" s="39" t="str">
        <f t="shared" si="204"/>
        <v/>
      </c>
      <c r="AD742" s="39" t="str">
        <f t="shared" si="205"/>
        <v/>
      </c>
      <c r="AE742" s="39" t="str">
        <f t="shared" si="206"/>
        <v/>
      </c>
      <c r="AF742" s="106" t="str">
        <f t="shared" si="207"/>
        <v/>
      </c>
      <c r="AG742" s="39">
        <f t="shared" si="208"/>
        <v>0</v>
      </c>
      <c r="AH742" s="39" t="str">
        <f t="shared" si="209"/>
        <v/>
      </c>
      <c r="AI742" s="39">
        <f>IF(AND($E742="timed",$N742&gt;=Settings!$C$9),1,0)</f>
        <v>0</v>
      </c>
      <c r="AJ742" s="39" t="str">
        <f>IF(OR($S742="",Settings!$C$16=""),"",IF($S742&lt;=Settings!$C$16,1,2))</f>
        <v/>
      </c>
      <c r="AK742" s="39" t="str">
        <f>IF($C742="","",IFERROR(IF(INDEX(Settings!$C$20:$C$59,MATCH($C742,Settings!$B$20:$B$59,0))="",Settings!$C$10,INDEX(Settings!$C$20:$C$59,MATCH($C742,Settings!$B$20:$B$59,0))),Settings!$C$10))</f>
        <v/>
      </c>
      <c r="AL742" s="108">
        <f t="shared" si="210"/>
        <v>0</v>
      </c>
      <c r="AM742" s="39" t="str">
        <f t="shared" si="211"/>
        <v/>
      </c>
      <c r="AN742" s="39" t="str">
        <f t="shared" si="212"/>
        <v/>
      </c>
      <c r="AO742" s="39" t="str">
        <f t="shared" si="213"/>
        <v/>
      </c>
      <c r="AP742" s="39">
        <f t="shared" si="214"/>
        <v>0</v>
      </c>
      <c r="AQ742" s="39">
        <f t="shared" si="215"/>
        <v>0</v>
      </c>
    </row>
    <row r="743" spans="14:43" x14ac:dyDescent="0.25">
      <c r="N743" s="105">
        <f t="shared" si="198"/>
        <v>0</v>
      </c>
      <c r="O743" s="106" t="str">
        <f>IF($F743="","",IF(ISNUMBER($F743),$F743+Settings!$C$7/24,IFERROR(DATEVALUE(LEFT($F743,10))+TIMEVALUE(MID($F743,12,8))+Settings!$C$7/24,"")))</f>
        <v/>
      </c>
      <c r="P743" s="106" t="str">
        <f>IF($G743="","",IF(ISNUMBER($G743),$G743+Settings!$C$7/24,IFERROR(DATEVALUE(LEFT($G743,10))+TIMEVALUE(MID($G743,12,8))+Settings!$C$7/24,"")))</f>
        <v/>
      </c>
      <c r="Q743" s="39" t="str">
        <f t="shared" si="199"/>
        <v/>
      </c>
      <c r="R743" s="39" t="str">
        <f t="shared" si="200"/>
        <v/>
      </c>
      <c r="S743" s="107" t="str">
        <f t="shared" si="201"/>
        <v/>
      </c>
      <c r="T743" s="39" t="str">
        <f>IF($C743="","",IF(COUNTIF($C$2:$C743,$C743)=1,1,0))</f>
        <v/>
      </c>
      <c r="U743" s="39" t="str">
        <f>IF($T743=1,COUNTIF($T$2:$T743,1),"")</f>
        <v/>
      </c>
      <c r="V743" s="39" t="str">
        <f>IF($B743="","",IF(COUNTIF($B$2:$B743,$B743)=1,1,0))</f>
        <v/>
      </c>
      <c r="W743" s="39" t="str">
        <f>IF($V743=1,COUNTIF($V$2:$V743,1),"")</f>
        <v/>
      </c>
      <c r="X743" s="39" t="str">
        <f>IF($A743="","",IF(COUNTIF($A$2:$A743,$A743)=1,1,0))</f>
        <v/>
      </c>
      <c r="Y743" s="39" t="str">
        <f>IF($X743=1,COUNTIF($X$2:$X743,1),"")</f>
        <v/>
      </c>
      <c r="Z743" s="39">
        <f>IF(AND($E743="timed",$N743&gt;Settings!$C$8),1,0)</f>
        <v>0</v>
      </c>
      <c r="AA743" s="39">
        <f t="shared" si="202"/>
        <v>0</v>
      </c>
      <c r="AB743" s="39">
        <f t="shared" si="203"/>
        <v>0</v>
      </c>
      <c r="AC743" s="39" t="str">
        <f t="shared" si="204"/>
        <v/>
      </c>
      <c r="AD743" s="39" t="str">
        <f t="shared" si="205"/>
        <v/>
      </c>
      <c r="AE743" s="39" t="str">
        <f t="shared" si="206"/>
        <v/>
      </c>
      <c r="AF743" s="106" t="str">
        <f t="shared" si="207"/>
        <v/>
      </c>
      <c r="AG743" s="39">
        <f t="shared" si="208"/>
        <v>0</v>
      </c>
      <c r="AH743" s="39" t="str">
        <f t="shared" si="209"/>
        <v/>
      </c>
      <c r="AI743" s="39">
        <f>IF(AND($E743="timed",$N743&gt;=Settings!$C$9),1,0)</f>
        <v>0</v>
      </c>
      <c r="AJ743" s="39" t="str">
        <f>IF(OR($S743="",Settings!$C$16=""),"",IF($S743&lt;=Settings!$C$16,1,2))</f>
        <v/>
      </c>
      <c r="AK743" s="39" t="str">
        <f>IF($C743="","",IFERROR(IF(INDEX(Settings!$C$20:$C$59,MATCH($C743,Settings!$B$20:$B$59,0))="",Settings!$C$10,INDEX(Settings!$C$20:$C$59,MATCH($C743,Settings!$B$20:$B$59,0))),Settings!$C$10))</f>
        <v/>
      </c>
      <c r="AL743" s="108">
        <f t="shared" si="210"/>
        <v>0</v>
      </c>
      <c r="AM743" s="39" t="str">
        <f t="shared" si="211"/>
        <v/>
      </c>
      <c r="AN743" s="39" t="str">
        <f t="shared" si="212"/>
        <v/>
      </c>
      <c r="AO743" s="39" t="str">
        <f t="shared" si="213"/>
        <v/>
      </c>
      <c r="AP743" s="39">
        <f t="shared" si="214"/>
        <v>0</v>
      </c>
      <c r="AQ743" s="39">
        <f t="shared" si="215"/>
        <v>0</v>
      </c>
    </row>
    <row r="744" spans="14:43" x14ac:dyDescent="0.25">
      <c r="N744" s="105">
        <f t="shared" si="198"/>
        <v>0</v>
      </c>
      <c r="O744" s="106" t="str">
        <f>IF($F744="","",IF(ISNUMBER($F744),$F744+Settings!$C$7/24,IFERROR(DATEVALUE(LEFT($F744,10))+TIMEVALUE(MID($F744,12,8))+Settings!$C$7/24,"")))</f>
        <v/>
      </c>
      <c r="P744" s="106" t="str">
        <f>IF($G744="","",IF(ISNUMBER($G744),$G744+Settings!$C$7/24,IFERROR(DATEVALUE(LEFT($G744,10))+TIMEVALUE(MID($G744,12,8))+Settings!$C$7/24,"")))</f>
        <v/>
      </c>
      <c r="Q744" s="39" t="str">
        <f t="shared" si="199"/>
        <v/>
      </c>
      <c r="R744" s="39" t="str">
        <f t="shared" si="200"/>
        <v/>
      </c>
      <c r="S744" s="107" t="str">
        <f t="shared" si="201"/>
        <v/>
      </c>
      <c r="T744" s="39" t="str">
        <f>IF($C744="","",IF(COUNTIF($C$2:$C744,$C744)=1,1,0))</f>
        <v/>
      </c>
      <c r="U744" s="39" t="str">
        <f>IF($T744=1,COUNTIF($T$2:$T744,1),"")</f>
        <v/>
      </c>
      <c r="V744" s="39" t="str">
        <f>IF($B744="","",IF(COUNTIF($B$2:$B744,$B744)=1,1,0))</f>
        <v/>
      </c>
      <c r="W744" s="39" t="str">
        <f>IF($V744=1,COUNTIF($V$2:$V744,1),"")</f>
        <v/>
      </c>
      <c r="X744" s="39" t="str">
        <f>IF($A744="","",IF(COUNTIF($A$2:$A744,$A744)=1,1,0))</f>
        <v/>
      </c>
      <c r="Y744" s="39" t="str">
        <f>IF($X744=1,COUNTIF($X$2:$X744,1),"")</f>
        <v/>
      </c>
      <c r="Z744" s="39">
        <f>IF(AND($E744="timed",$N744&gt;Settings!$C$8),1,0)</f>
        <v>0</v>
      </c>
      <c r="AA744" s="39">
        <f t="shared" si="202"/>
        <v>0</v>
      </c>
      <c r="AB744" s="39">
        <f t="shared" si="203"/>
        <v>0</v>
      </c>
      <c r="AC744" s="39" t="str">
        <f t="shared" si="204"/>
        <v/>
      </c>
      <c r="AD744" s="39" t="str">
        <f t="shared" si="205"/>
        <v/>
      </c>
      <c r="AE744" s="39" t="str">
        <f t="shared" si="206"/>
        <v/>
      </c>
      <c r="AF744" s="106" t="str">
        <f t="shared" si="207"/>
        <v/>
      </c>
      <c r="AG744" s="39">
        <f t="shared" si="208"/>
        <v>0</v>
      </c>
      <c r="AH744" s="39" t="str">
        <f t="shared" si="209"/>
        <v/>
      </c>
      <c r="AI744" s="39">
        <f>IF(AND($E744="timed",$N744&gt;=Settings!$C$9),1,0)</f>
        <v>0</v>
      </c>
      <c r="AJ744" s="39" t="str">
        <f>IF(OR($S744="",Settings!$C$16=""),"",IF($S744&lt;=Settings!$C$16,1,2))</f>
        <v/>
      </c>
      <c r="AK744" s="39" t="str">
        <f>IF($C744="","",IFERROR(IF(INDEX(Settings!$C$20:$C$59,MATCH($C744,Settings!$B$20:$B$59,0))="",Settings!$C$10,INDEX(Settings!$C$20:$C$59,MATCH($C744,Settings!$B$20:$B$59,0))),Settings!$C$10))</f>
        <v/>
      </c>
      <c r="AL744" s="108">
        <f t="shared" si="210"/>
        <v>0</v>
      </c>
      <c r="AM744" s="39" t="str">
        <f t="shared" si="211"/>
        <v/>
      </c>
      <c r="AN744" s="39" t="str">
        <f t="shared" si="212"/>
        <v/>
      </c>
      <c r="AO744" s="39" t="str">
        <f t="shared" si="213"/>
        <v/>
      </c>
      <c r="AP744" s="39">
        <f t="shared" si="214"/>
        <v>0</v>
      </c>
      <c r="AQ744" s="39">
        <f t="shared" si="215"/>
        <v>0</v>
      </c>
    </row>
    <row r="745" spans="14:43" x14ac:dyDescent="0.25">
      <c r="N745" s="105">
        <f t="shared" si="198"/>
        <v>0</v>
      </c>
      <c r="O745" s="106" t="str">
        <f>IF($F745="","",IF(ISNUMBER($F745),$F745+Settings!$C$7/24,IFERROR(DATEVALUE(LEFT($F745,10))+TIMEVALUE(MID($F745,12,8))+Settings!$C$7/24,"")))</f>
        <v/>
      </c>
      <c r="P745" s="106" t="str">
        <f>IF($G745="","",IF(ISNUMBER($G745),$G745+Settings!$C$7/24,IFERROR(DATEVALUE(LEFT($G745,10))+TIMEVALUE(MID($G745,12,8))+Settings!$C$7/24,"")))</f>
        <v/>
      </c>
      <c r="Q745" s="39" t="str">
        <f t="shared" si="199"/>
        <v/>
      </c>
      <c r="R745" s="39" t="str">
        <f t="shared" si="200"/>
        <v/>
      </c>
      <c r="S745" s="107" t="str">
        <f t="shared" si="201"/>
        <v/>
      </c>
      <c r="T745" s="39" t="str">
        <f>IF($C745="","",IF(COUNTIF($C$2:$C745,$C745)=1,1,0))</f>
        <v/>
      </c>
      <c r="U745" s="39" t="str">
        <f>IF($T745=1,COUNTIF($T$2:$T745,1),"")</f>
        <v/>
      </c>
      <c r="V745" s="39" t="str">
        <f>IF($B745="","",IF(COUNTIF($B$2:$B745,$B745)=1,1,0))</f>
        <v/>
      </c>
      <c r="W745" s="39" t="str">
        <f>IF($V745=1,COUNTIF($V$2:$V745,1),"")</f>
        <v/>
      </c>
      <c r="X745" s="39" t="str">
        <f>IF($A745="","",IF(COUNTIF($A$2:$A745,$A745)=1,1,0))</f>
        <v/>
      </c>
      <c r="Y745" s="39" t="str">
        <f>IF($X745=1,COUNTIF($X$2:$X745,1),"")</f>
        <v/>
      </c>
      <c r="Z745" s="39">
        <f>IF(AND($E745="timed",$N745&gt;Settings!$C$8),1,0)</f>
        <v>0</v>
      </c>
      <c r="AA745" s="39">
        <f t="shared" si="202"/>
        <v>0</v>
      </c>
      <c r="AB745" s="39">
        <f t="shared" si="203"/>
        <v>0</v>
      </c>
      <c r="AC745" s="39" t="str">
        <f t="shared" si="204"/>
        <v/>
      </c>
      <c r="AD745" s="39" t="str">
        <f t="shared" si="205"/>
        <v/>
      </c>
      <c r="AE745" s="39" t="str">
        <f t="shared" si="206"/>
        <v/>
      </c>
      <c r="AF745" s="106" t="str">
        <f t="shared" si="207"/>
        <v/>
      </c>
      <c r="AG745" s="39">
        <f t="shared" si="208"/>
        <v>0</v>
      </c>
      <c r="AH745" s="39" t="str">
        <f t="shared" si="209"/>
        <v/>
      </c>
      <c r="AI745" s="39">
        <f>IF(AND($E745="timed",$N745&gt;=Settings!$C$9),1,0)</f>
        <v>0</v>
      </c>
      <c r="AJ745" s="39" t="str">
        <f>IF(OR($S745="",Settings!$C$16=""),"",IF($S745&lt;=Settings!$C$16,1,2))</f>
        <v/>
      </c>
      <c r="AK745" s="39" t="str">
        <f>IF($C745="","",IFERROR(IF(INDEX(Settings!$C$20:$C$59,MATCH($C745,Settings!$B$20:$B$59,0))="",Settings!$C$10,INDEX(Settings!$C$20:$C$59,MATCH($C745,Settings!$B$20:$B$59,0))),Settings!$C$10))</f>
        <v/>
      </c>
      <c r="AL745" s="108">
        <f t="shared" si="210"/>
        <v>0</v>
      </c>
      <c r="AM745" s="39" t="str">
        <f t="shared" si="211"/>
        <v/>
      </c>
      <c r="AN745" s="39" t="str">
        <f t="shared" si="212"/>
        <v/>
      </c>
      <c r="AO745" s="39" t="str">
        <f t="shared" si="213"/>
        <v/>
      </c>
      <c r="AP745" s="39">
        <f t="shared" si="214"/>
        <v>0</v>
      </c>
      <c r="AQ745" s="39">
        <f t="shared" si="215"/>
        <v>0</v>
      </c>
    </row>
    <row r="746" spans="14:43" x14ac:dyDescent="0.25">
      <c r="N746" s="105">
        <f t="shared" si="198"/>
        <v>0</v>
      </c>
      <c r="O746" s="106" t="str">
        <f>IF($F746="","",IF(ISNUMBER($F746),$F746+Settings!$C$7/24,IFERROR(DATEVALUE(LEFT($F746,10))+TIMEVALUE(MID($F746,12,8))+Settings!$C$7/24,"")))</f>
        <v/>
      </c>
      <c r="P746" s="106" t="str">
        <f>IF($G746="","",IF(ISNUMBER($G746),$G746+Settings!$C$7/24,IFERROR(DATEVALUE(LEFT($G746,10))+TIMEVALUE(MID($G746,12,8))+Settings!$C$7/24,"")))</f>
        <v/>
      </c>
      <c r="Q746" s="39" t="str">
        <f t="shared" si="199"/>
        <v/>
      </c>
      <c r="R746" s="39" t="str">
        <f t="shared" si="200"/>
        <v/>
      </c>
      <c r="S746" s="107" t="str">
        <f t="shared" si="201"/>
        <v/>
      </c>
      <c r="T746" s="39" t="str">
        <f>IF($C746="","",IF(COUNTIF($C$2:$C746,$C746)=1,1,0))</f>
        <v/>
      </c>
      <c r="U746" s="39" t="str">
        <f>IF($T746=1,COUNTIF($T$2:$T746,1),"")</f>
        <v/>
      </c>
      <c r="V746" s="39" t="str">
        <f>IF($B746="","",IF(COUNTIF($B$2:$B746,$B746)=1,1,0))</f>
        <v/>
      </c>
      <c r="W746" s="39" t="str">
        <f>IF($V746=1,COUNTIF($V$2:$V746,1),"")</f>
        <v/>
      </c>
      <c r="X746" s="39" t="str">
        <f>IF($A746="","",IF(COUNTIF($A$2:$A746,$A746)=1,1,0))</f>
        <v/>
      </c>
      <c r="Y746" s="39" t="str">
        <f>IF($X746=1,COUNTIF($X$2:$X746,1),"")</f>
        <v/>
      </c>
      <c r="Z746" s="39">
        <f>IF(AND($E746="timed",$N746&gt;Settings!$C$8),1,0)</f>
        <v>0</v>
      </c>
      <c r="AA746" s="39">
        <f t="shared" si="202"/>
        <v>0</v>
      </c>
      <c r="AB746" s="39">
        <f t="shared" si="203"/>
        <v>0</v>
      </c>
      <c r="AC746" s="39" t="str">
        <f t="shared" si="204"/>
        <v/>
      </c>
      <c r="AD746" s="39" t="str">
        <f t="shared" si="205"/>
        <v/>
      </c>
      <c r="AE746" s="39" t="str">
        <f t="shared" si="206"/>
        <v/>
      </c>
      <c r="AF746" s="106" t="str">
        <f t="shared" si="207"/>
        <v/>
      </c>
      <c r="AG746" s="39">
        <f t="shared" si="208"/>
        <v>0</v>
      </c>
      <c r="AH746" s="39" t="str">
        <f t="shared" si="209"/>
        <v/>
      </c>
      <c r="AI746" s="39">
        <f>IF(AND($E746="timed",$N746&gt;=Settings!$C$9),1,0)</f>
        <v>0</v>
      </c>
      <c r="AJ746" s="39" t="str">
        <f>IF(OR($S746="",Settings!$C$16=""),"",IF($S746&lt;=Settings!$C$16,1,2))</f>
        <v/>
      </c>
      <c r="AK746" s="39" t="str">
        <f>IF($C746="","",IFERROR(IF(INDEX(Settings!$C$20:$C$59,MATCH($C746,Settings!$B$20:$B$59,0))="",Settings!$C$10,INDEX(Settings!$C$20:$C$59,MATCH($C746,Settings!$B$20:$B$59,0))),Settings!$C$10))</f>
        <v/>
      </c>
      <c r="AL746" s="108">
        <f t="shared" si="210"/>
        <v>0</v>
      </c>
      <c r="AM746" s="39" t="str">
        <f t="shared" si="211"/>
        <v/>
      </c>
      <c r="AN746" s="39" t="str">
        <f t="shared" si="212"/>
        <v/>
      </c>
      <c r="AO746" s="39" t="str">
        <f t="shared" si="213"/>
        <v/>
      </c>
      <c r="AP746" s="39">
        <f t="shared" si="214"/>
        <v>0</v>
      </c>
      <c r="AQ746" s="39">
        <f t="shared" si="215"/>
        <v>0</v>
      </c>
    </row>
    <row r="747" spans="14:43" x14ac:dyDescent="0.25">
      <c r="N747" s="105">
        <f t="shared" si="198"/>
        <v>0</v>
      </c>
      <c r="O747" s="106" t="str">
        <f>IF($F747="","",IF(ISNUMBER($F747),$F747+Settings!$C$7/24,IFERROR(DATEVALUE(LEFT($F747,10))+TIMEVALUE(MID($F747,12,8))+Settings!$C$7/24,"")))</f>
        <v/>
      </c>
      <c r="P747" s="106" t="str">
        <f>IF($G747="","",IF(ISNUMBER($G747),$G747+Settings!$C$7/24,IFERROR(DATEVALUE(LEFT($G747,10))+TIMEVALUE(MID($G747,12,8))+Settings!$C$7/24,"")))</f>
        <v/>
      </c>
      <c r="Q747" s="39" t="str">
        <f t="shared" si="199"/>
        <v/>
      </c>
      <c r="R747" s="39" t="str">
        <f t="shared" si="200"/>
        <v/>
      </c>
      <c r="S747" s="107" t="str">
        <f t="shared" si="201"/>
        <v/>
      </c>
      <c r="T747" s="39" t="str">
        <f>IF($C747="","",IF(COUNTIF($C$2:$C747,$C747)=1,1,0))</f>
        <v/>
      </c>
      <c r="U747" s="39" t="str">
        <f>IF($T747=1,COUNTIF($T$2:$T747,1),"")</f>
        <v/>
      </c>
      <c r="V747" s="39" t="str">
        <f>IF($B747="","",IF(COUNTIF($B$2:$B747,$B747)=1,1,0))</f>
        <v/>
      </c>
      <c r="W747" s="39" t="str">
        <f>IF($V747=1,COUNTIF($V$2:$V747,1),"")</f>
        <v/>
      </c>
      <c r="X747" s="39" t="str">
        <f>IF($A747="","",IF(COUNTIF($A$2:$A747,$A747)=1,1,0))</f>
        <v/>
      </c>
      <c r="Y747" s="39" t="str">
        <f>IF($X747=1,COUNTIF($X$2:$X747,1),"")</f>
        <v/>
      </c>
      <c r="Z747" s="39">
        <f>IF(AND($E747="timed",$N747&gt;Settings!$C$8),1,0)</f>
        <v>0</v>
      </c>
      <c r="AA747" s="39">
        <f t="shared" si="202"/>
        <v>0</v>
      </c>
      <c r="AB747" s="39">
        <f t="shared" si="203"/>
        <v>0</v>
      </c>
      <c r="AC747" s="39" t="str">
        <f t="shared" si="204"/>
        <v/>
      </c>
      <c r="AD747" s="39" t="str">
        <f t="shared" si="205"/>
        <v/>
      </c>
      <c r="AE747" s="39" t="str">
        <f t="shared" si="206"/>
        <v/>
      </c>
      <c r="AF747" s="106" t="str">
        <f t="shared" si="207"/>
        <v/>
      </c>
      <c r="AG747" s="39">
        <f t="shared" si="208"/>
        <v>0</v>
      </c>
      <c r="AH747" s="39" t="str">
        <f t="shared" si="209"/>
        <v/>
      </c>
      <c r="AI747" s="39">
        <f>IF(AND($E747="timed",$N747&gt;=Settings!$C$9),1,0)</f>
        <v>0</v>
      </c>
      <c r="AJ747" s="39" t="str">
        <f>IF(OR($S747="",Settings!$C$16=""),"",IF($S747&lt;=Settings!$C$16,1,2))</f>
        <v/>
      </c>
      <c r="AK747" s="39" t="str">
        <f>IF($C747="","",IFERROR(IF(INDEX(Settings!$C$20:$C$59,MATCH($C747,Settings!$B$20:$B$59,0))="",Settings!$C$10,INDEX(Settings!$C$20:$C$59,MATCH($C747,Settings!$B$20:$B$59,0))),Settings!$C$10))</f>
        <v/>
      </c>
      <c r="AL747" s="108">
        <f t="shared" si="210"/>
        <v>0</v>
      </c>
      <c r="AM747" s="39" t="str">
        <f t="shared" si="211"/>
        <v/>
      </c>
      <c r="AN747" s="39" t="str">
        <f t="shared" si="212"/>
        <v/>
      </c>
      <c r="AO747" s="39" t="str">
        <f t="shared" si="213"/>
        <v/>
      </c>
      <c r="AP747" s="39">
        <f t="shared" si="214"/>
        <v>0</v>
      </c>
      <c r="AQ747" s="39">
        <f t="shared" si="215"/>
        <v>0</v>
      </c>
    </row>
    <row r="748" spans="14:43" x14ac:dyDescent="0.25">
      <c r="N748" s="105">
        <f t="shared" si="198"/>
        <v>0</v>
      </c>
      <c r="O748" s="106" t="str">
        <f>IF($F748="","",IF(ISNUMBER($F748),$F748+Settings!$C$7/24,IFERROR(DATEVALUE(LEFT($F748,10))+TIMEVALUE(MID($F748,12,8))+Settings!$C$7/24,"")))</f>
        <v/>
      </c>
      <c r="P748" s="106" t="str">
        <f>IF($G748="","",IF(ISNUMBER($G748),$G748+Settings!$C$7/24,IFERROR(DATEVALUE(LEFT($G748,10))+TIMEVALUE(MID($G748,12,8))+Settings!$C$7/24,"")))</f>
        <v/>
      </c>
      <c r="Q748" s="39" t="str">
        <f t="shared" si="199"/>
        <v/>
      </c>
      <c r="R748" s="39" t="str">
        <f t="shared" si="200"/>
        <v/>
      </c>
      <c r="S748" s="107" t="str">
        <f t="shared" si="201"/>
        <v/>
      </c>
      <c r="T748" s="39" t="str">
        <f>IF($C748="","",IF(COUNTIF($C$2:$C748,$C748)=1,1,0))</f>
        <v/>
      </c>
      <c r="U748" s="39" t="str">
        <f>IF($T748=1,COUNTIF($T$2:$T748,1),"")</f>
        <v/>
      </c>
      <c r="V748" s="39" t="str">
        <f>IF($B748="","",IF(COUNTIF($B$2:$B748,$B748)=1,1,0))</f>
        <v/>
      </c>
      <c r="W748" s="39" t="str">
        <f>IF($V748=1,COUNTIF($V$2:$V748,1),"")</f>
        <v/>
      </c>
      <c r="X748" s="39" t="str">
        <f>IF($A748="","",IF(COUNTIF($A$2:$A748,$A748)=1,1,0))</f>
        <v/>
      </c>
      <c r="Y748" s="39" t="str">
        <f>IF($X748=1,COUNTIF($X$2:$X748,1),"")</f>
        <v/>
      </c>
      <c r="Z748" s="39">
        <f>IF(AND($E748="timed",$N748&gt;Settings!$C$8),1,0)</f>
        <v>0</v>
      </c>
      <c r="AA748" s="39">
        <f t="shared" si="202"/>
        <v>0</v>
      </c>
      <c r="AB748" s="39">
        <f t="shared" si="203"/>
        <v>0</v>
      </c>
      <c r="AC748" s="39" t="str">
        <f t="shared" si="204"/>
        <v/>
      </c>
      <c r="AD748" s="39" t="str">
        <f t="shared" si="205"/>
        <v/>
      </c>
      <c r="AE748" s="39" t="str">
        <f t="shared" si="206"/>
        <v/>
      </c>
      <c r="AF748" s="106" t="str">
        <f t="shared" si="207"/>
        <v/>
      </c>
      <c r="AG748" s="39">
        <f t="shared" si="208"/>
        <v>0</v>
      </c>
      <c r="AH748" s="39" t="str">
        <f t="shared" si="209"/>
        <v/>
      </c>
      <c r="AI748" s="39">
        <f>IF(AND($E748="timed",$N748&gt;=Settings!$C$9),1,0)</f>
        <v>0</v>
      </c>
      <c r="AJ748" s="39" t="str">
        <f>IF(OR($S748="",Settings!$C$16=""),"",IF($S748&lt;=Settings!$C$16,1,2))</f>
        <v/>
      </c>
      <c r="AK748" s="39" t="str">
        <f>IF($C748="","",IFERROR(IF(INDEX(Settings!$C$20:$C$59,MATCH($C748,Settings!$B$20:$B$59,0))="",Settings!$C$10,INDEX(Settings!$C$20:$C$59,MATCH($C748,Settings!$B$20:$B$59,0))),Settings!$C$10))</f>
        <v/>
      </c>
      <c r="AL748" s="108">
        <f t="shared" si="210"/>
        <v>0</v>
      </c>
      <c r="AM748" s="39" t="str">
        <f t="shared" si="211"/>
        <v/>
      </c>
      <c r="AN748" s="39" t="str">
        <f t="shared" si="212"/>
        <v/>
      </c>
      <c r="AO748" s="39" t="str">
        <f t="shared" si="213"/>
        <v/>
      </c>
      <c r="AP748" s="39">
        <f t="shared" si="214"/>
        <v>0</v>
      </c>
      <c r="AQ748" s="39">
        <f t="shared" si="215"/>
        <v>0</v>
      </c>
    </row>
    <row r="749" spans="14:43" x14ac:dyDescent="0.25">
      <c r="N749" s="105">
        <f t="shared" si="198"/>
        <v>0</v>
      </c>
      <c r="O749" s="106" t="str">
        <f>IF($F749="","",IF(ISNUMBER($F749),$F749+Settings!$C$7/24,IFERROR(DATEVALUE(LEFT($F749,10))+TIMEVALUE(MID($F749,12,8))+Settings!$C$7/24,"")))</f>
        <v/>
      </c>
      <c r="P749" s="106" t="str">
        <f>IF($G749="","",IF(ISNUMBER($G749),$G749+Settings!$C$7/24,IFERROR(DATEVALUE(LEFT($G749,10))+TIMEVALUE(MID($G749,12,8))+Settings!$C$7/24,"")))</f>
        <v/>
      </c>
      <c r="Q749" s="39" t="str">
        <f t="shared" si="199"/>
        <v/>
      </c>
      <c r="R749" s="39" t="str">
        <f t="shared" si="200"/>
        <v/>
      </c>
      <c r="S749" s="107" t="str">
        <f t="shared" si="201"/>
        <v/>
      </c>
      <c r="T749" s="39" t="str">
        <f>IF($C749="","",IF(COUNTIF($C$2:$C749,$C749)=1,1,0))</f>
        <v/>
      </c>
      <c r="U749" s="39" t="str">
        <f>IF($T749=1,COUNTIF($T$2:$T749,1),"")</f>
        <v/>
      </c>
      <c r="V749" s="39" t="str">
        <f>IF($B749="","",IF(COUNTIF($B$2:$B749,$B749)=1,1,0))</f>
        <v/>
      </c>
      <c r="W749" s="39" t="str">
        <f>IF($V749=1,COUNTIF($V$2:$V749,1),"")</f>
        <v/>
      </c>
      <c r="X749" s="39" t="str">
        <f>IF($A749="","",IF(COUNTIF($A$2:$A749,$A749)=1,1,0))</f>
        <v/>
      </c>
      <c r="Y749" s="39" t="str">
        <f>IF($X749=1,COUNTIF($X$2:$X749,1),"")</f>
        <v/>
      </c>
      <c r="Z749" s="39">
        <f>IF(AND($E749="timed",$N749&gt;Settings!$C$8),1,0)</f>
        <v>0</v>
      </c>
      <c r="AA749" s="39">
        <f t="shared" si="202"/>
        <v>0</v>
      </c>
      <c r="AB749" s="39">
        <f t="shared" si="203"/>
        <v>0</v>
      </c>
      <c r="AC749" s="39" t="str">
        <f t="shared" si="204"/>
        <v/>
      </c>
      <c r="AD749" s="39" t="str">
        <f t="shared" si="205"/>
        <v/>
      </c>
      <c r="AE749" s="39" t="str">
        <f t="shared" si="206"/>
        <v/>
      </c>
      <c r="AF749" s="106" t="str">
        <f t="shared" si="207"/>
        <v/>
      </c>
      <c r="AG749" s="39">
        <f t="shared" si="208"/>
        <v>0</v>
      </c>
      <c r="AH749" s="39" t="str">
        <f t="shared" si="209"/>
        <v/>
      </c>
      <c r="AI749" s="39">
        <f>IF(AND($E749="timed",$N749&gt;=Settings!$C$9),1,0)</f>
        <v>0</v>
      </c>
      <c r="AJ749" s="39" t="str">
        <f>IF(OR($S749="",Settings!$C$16=""),"",IF($S749&lt;=Settings!$C$16,1,2))</f>
        <v/>
      </c>
      <c r="AK749" s="39" t="str">
        <f>IF($C749="","",IFERROR(IF(INDEX(Settings!$C$20:$C$59,MATCH($C749,Settings!$B$20:$B$59,0))="",Settings!$C$10,INDEX(Settings!$C$20:$C$59,MATCH($C749,Settings!$B$20:$B$59,0))),Settings!$C$10))</f>
        <v/>
      </c>
      <c r="AL749" s="108">
        <f t="shared" si="210"/>
        <v>0</v>
      </c>
      <c r="AM749" s="39" t="str">
        <f t="shared" si="211"/>
        <v/>
      </c>
      <c r="AN749" s="39" t="str">
        <f t="shared" si="212"/>
        <v/>
      </c>
      <c r="AO749" s="39" t="str">
        <f t="shared" si="213"/>
        <v/>
      </c>
      <c r="AP749" s="39">
        <f t="shared" si="214"/>
        <v>0</v>
      </c>
      <c r="AQ749" s="39">
        <f t="shared" si="215"/>
        <v>0</v>
      </c>
    </row>
    <row r="750" spans="14:43" x14ac:dyDescent="0.25">
      <c r="N750" s="105">
        <f t="shared" si="198"/>
        <v>0</v>
      </c>
      <c r="O750" s="106" t="str">
        <f>IF($F750="","",IF(ISNUMBER($F750),$F750+Settings!$C$7/24,IFERROR(DATEVALUE(LEFT($F750,10))+TIMEVALUE(MID($F750,12,8))+Settings!$C$7/24,"")))</f>
        <v/>
      </c>
      <c r="P750" s="106" t="str">
        <f>IF($G750="","",IF(ISNUMBER($G750),$G750+Settings!$C$7/24,IFERROR(DATEVALUE(LEFT($G750,10))+TIMEVALUE(MID($G750,12,8))+Settings!$C$7/24,"")))</f>
        <v/>
      </c>
      <c r="Q750" s="39" t="str">
        <f t="shared" si="199"/>
        <v/>
      </c>
      <c r="R750" s="39" t="str">
        <f t="shared" si="200"/>
        <v/>
      </c>
      <c r="S750" s="107" t="str">
        <f t="shared" si="201"/>
        <v/>
      </c>
      <c r="T750" s="39" t="str">
        <f>IF($C750="","",IF(COUNTIF($C$2:$C750,$C750)=1,1,0))</f>
        <v/>
      </c>
      <c r="U750" s="39" t="str">
        <f>IF($T750=1,COUNTIF($T$2:$T750,1),"")</f>
        <v/>
      </c>
      <c r="V750" s="39" t="str">
        <f>IF($B750="","",IF(COUNTIF($B$2:$B750,$B750)=1,1,0))</f>
        <v/>
      </c>
      <c r="W750" s="39" t="str">
        <f>IF($V750=1,COUNTIF($V$2:$V750,1),"")</f>
        <v/>
      </c>
      <c r="X750" s="39" t="str">
        <f>IF($A750="","",IF(COUNTIF($A$2:$A750,$A750)=1,1,0))</f>
        <v/>
      </c>
      <c r="Y750" s="39" t="str">
        <f>IF($X750=1,COUNTIF($X$2:$X750,1),"")</f>
        <v/>
      </c>
      <c r="Z750" s="39">
        <f>IF(AND($E750="timed",$N750&gt;Settings!$C$8),1,0)</f>
        <v>0</v>
      </c>
      <c r="AA750" s="39">
        <f t="shared" si="202"/>
        <v>0</v>
      </c>
      <c r="AB750" s="39">
        <f t="shared" si="203"/>
        <v>0</v>
      </c>
      <c r="AC750" s="39" t="str">
        <f t="shared" si="204"/>
        <v/>
      </c>
      <c r="AD750" s="39" t="str">
        <f t="shared" si="205"/>
        <v/>
      </c>
      <c r="AE750" s="39" t="str">
        <f t="shared" si="206"/>
        <v/>
      </c>
      <c r="AF750" s="106" t="str">
        <f t="shared" si="207"/>
        <v/>
      </c>
      <c r="AG750" s="39">
        <f t="shared" si="208"/>
        <v>0</v>
      </c>
      <c r="AH750" s="39" t="str">
        <f t="shared" si="209"/>
        <v/>
      </c>
      <c r="AI750" s="39">
        <f>IF(AND($E750="timed",$N750&gt;=Settings!$C$9),1,0)</f>
        <v>0</v>
      </c>
      <c r="AJ750" s="39" t="str">
        <f>IF(OR($S750="",Settings!$C$16=""),"",IF($S750&lt;=Settings!$C$16,1,2))</f>
        <v/>
      </c>
      <c r="AK750" s="39" t="str">
        <f>IF($C750="","",IFERROR(IF(INDEX(Settings!$C$20:$C$59,MATCH($C750,Settings!$B$20:$B$59,0))="",Settings!$C$10,INDEX(Settings!$C$20:$C$59,MATCH($C750,Settings!$B$20:$B$59,0))),Settings!$C$10))</f>
        <v/>
      </c>
      <c r="AL750" s="108">
        <f t="shared" si="210"/>
        <v>0</v>
      </c>
      <c r="AM750" s="39" t="str">
        <f t="shared" si="211"/>
        <v/>
      </c>
      <c r="AN750" s="39" t="str">
        <f t="shared" si="212"/>
        <v/>
      </c>
      <c r="AO750" s="39" t="str">
        <f t="shared" si="213"/>
        <v/>
      </c>
      <c r="AP750" s="39">
        <f t="shared" si="214"/>
        <v>0</v>
      </c>
      <c r="AQ750" s="39">
        <f t="shared" si="215"/>
        <v>0</v>
      </c>
    </row>
    <row r="751" spans="14:43" x14ac:dyDescent="0.25">
      <c r="N751" s="105">
        <f t="shared" si="198"/>
        <v>0</v>
      </c>
      <c r="O751" s="106" t="str">
        <f>IF($F751="","",IF(ISNUMBER($F751),$F751+Settings!$C$7/24,IFERROR(DATEVALUE(LEFT($F751,10))+TIMEVALUE(MID($F751,12,8))+Settings!$C$7/24,"")))</f>
        <v/>
      </c>
      <c r="P751" s="106" t="str">
        <f>IF($G751="","",IF(ISNUMBER($G751),$G751+Settings!$C$7/24,IFERROR(DATEVALUE(LEFT($G751,10))+TIMEVALUE(MID($G751,12,8))+Settings!$C$7/24,"")))</f>
        <v/>
      </c>
      <c r="Q751" s="39" t="str">
        <f t="shared" si="199"/>
        <v/>
      </c>
      <c r="R751" s="39" t="str">
        <f t="shared" si="200"/>
        <v/>
      </c>
      <c r="S751" s="107" t="str">
        <f t="shared" si="201"/>
        <v/>
      </c>
      <c r="T751" s="39" t="str">
        <f>IF($C751="","",IF(COUNTIF($C$2:$C751,$C751)=1,1,0))</f>
        <v/>
      </c>
      <c r="U751" s="39" t="str">
        <f>IF($T751=1,COUNTIF($T$2:$T751,1),"")</f>
        <v/>
      </c>
      <c r="V751" s="39" t="str">
        <f>IF($B751="","",IF(COUNTIF($B$2:$B751,$B751)=1,1,0))</f>
        <v/>
      </c>
      <c r="W751" s="39" t="str">
        <f>IF($V751=1,COUNTIF($V$2:$V751,1),"")</f>
        <v/>
      </c>
      <c r="X751" s="39" t="str">
        <f>IF($A751="","",IF(COUNTIF($A$2:$A751,$A751)=1,1,0))</f>
        <v/>
      </c>
      <c r="Y751" s="39" t="str">
        <f>IF($X751=1,COUNTIF($X$2:$X751,1),"")</f>
        <v/>
      </c>
      <c r="Z751" s="39">
        <f>IF(AND($E751="timed",$N751&gt;Settings!$C$8),1,0)</f>
        <v>0</v>
      </c>
      <c r="AA751" s="39">
        <f t="shared" si="202"/>
        <v>0</v>
      </c>
      <c r="AB751" s="39">
        <f t="shared" si="203"/>
        <v>0</v>
      </c>
      <c r="AC751" s="39" t="str">
        <f t="shared" si="204"/>
        <v/>
      </c>
      <c r="AD751" s="39" t="str">
        <f t="shared" si="205"/>
        <v/>
      </c>
      <c r="AE751" s="39" t="str">
        <f t="shared" si="206"/>
        <v/>
      </c>
      <c r="AF751" s="106" t="str">
        <f t="shared" si="207"/>
        <v/>
      </c>
      <c r="AG751" s="39">
        <f t="shared" si="208"/>
        <v>0</v>
      </c>
      <c r="AH751" s="39" t="str">
        <f t="shared" si="209"/>
        <v/>
      </c>
      <c r="AI751" s="39">
        <f>IF(AND($E751="timed",$N751&gt;=Settings!$C$9),1,0)</f>
        <v>0</v>
      </c>
      <c r="AJ751" s="39" t="str">
        <f>IF(OR($S751="",Settings!$C$16=""),"",IF($S751&lt;=Settings!$C$16,1,2))</f>
        <v/>
      </c>
      <c r="AK751" s="39" t="str">
        <f>IF($C751="","",IFERROR(IF(INDEX(Settings!$C$20:$C$59,MATCH($C751,Settings!$B$20:$B$59,0))="",Settings!$C$10,INDEX(Settings!$C$20:$C$59,MATCH($C751,Settings!$B$20:$B$59,0))),Settings!$C$10))</f>
        <v/>
      </c>
      <c r="AL751" s="108">
        <f t="shared" si="210"/>
        <v>0</v>
      </c>
      <c r="AM751" s="39" t="str">
        <f t="shared" si="211"/>
        <v/>
      </c>
      <c r="AN751" s="39" t="str">
        <f t="shared" si="212"/>
        <v/>
      </c>
      <c r="AO751" s="39" t="str">
        <f t="shared" si="213"/>
        <v/>
      </c>
      <c r="AP751" s="39">
        <f t="shared" si="214"/>
        <v>0</v>
      </c>
      <c r="AQ751" s="39">
        <f t="shared" si="215"/>
        <v>0</v>
      </c>
    </row>
    <row r="752" spans="14:43" x14ac:dyDescent="0.25">
      <c r="N752" s="105">
        <f t="shared" si="198"/>
        <v>0</v>
      </c>
      <c r="O752" s="106" t="str">
        <f>IF($F752="","",IF(ISNUMBER($F752),$F752+Settings!$C$7/24,IFERROR(DATEVALUE(LEFT($F752,10))+TIMEVALUE(MID($F752,12,8))+Settings!$C$7/24,"")))</f>
        <v/>
      </c>
      <c r="P752" s="106" t="str">
        <f>IF($G752="","",IF(ISNUMBER($G752),$G752+Settings!$C$7/24,IFERROR(DATEVALUE(LEFT($G752,10))+TIMEVALUE(MID($G752,12,8))+Settings!$C$7/24,"")))</f>
        <v/>
      </c>
      <c r="Q752" s="39" t="str">
        <f t="shared" si="199"/>
        <v/>
      </c>
      <c r="R752" s="39" t="str">
        <f t="shared" si="200"/>
        <v/>
      </c>
      <c r="S752" s="107" t="str">
        <f t="shared" si="201"/>
        <v/>
      </c>
      <c r="T752" s="39" t="str">
        <f>IF($C752="","",IF(COUNTIF($C$2:$C752,$C752)=1,1,0))</f>
        <v/>
      </c>
      <c r="U752" s="39" t="str">
        <f>IF($T752=1,COUNTIF($T$2:$T752,1),"")</f>
        <v/>
      </c>
      <c r="V752" s="39" t="str">
        <f>IF($B752="","",IF(COUNTIF($B$2:$B752,$B752)=1,1,0))</f>
        <v/>
      </c>
      <c r="W752" s="39" t="str">
        <f>IF($V752=1,COUNTIF($V$2:$V752,1),"")</f>
        <v/>
      </c>
      <c r="X752" s="39" t="str">
        <f>IF($A752="","",IF(COUNTIF($A$2:$A752,$A752)=1,1,0))</f>
        <v/>
      </c>
      <c r="Y752" s="39" t="str">
        <f>IF($X752=1,COUNTIF($X$2:$X752,1),"")</f>
        <v/>
      </c>
      <c r="Z752" s="39">
        <f>IF(AND($E752="timed",$N752&gt;Settings!$C$8),1,0)</f>
        <v>0</v>
      </c>
      <c r="AA752" s="39">
        <f t="shared" si="202"/>
        <v>0</v>
      </c>
      <c r="AB752" s="39">
        <f t="shared" si="203"/>
        <v>0</v>
      </c>
      <c r="AC752" s="39" t="str">
        <f t="shared" si="204"/>
        <v/>
      </c>
      <c r="AD752" s="39" t="str">
        <f t="shared" si="205"/>
        <v/>
      </c>
      <c r="AE752" s="39" t="str">
        <f t="shared" si="206"/>
        <v/>
      </c>
      <c r="AF752" s="106" t="str">
        <f t="shared" si="207"/>
        <v/>
      </c>
      <c r="AG752" s="39">
        <f t="shared" si="208"/>
        <v>0</v>
      </c>
      <c r="AH752" s="39" t="str">
        <f t="shared" si="209"/>
        <v/>
      </c>
      <c r="AI752" s="39">
        <f>IF(AND($E752="timed",$N752&gt;=Settings!$C$9),1,0)</f>
        <v>0</v>
      </c>
      <c r="AJ752" s="39" t="str">
        <f>IF(OR($S752="",Settings!$C$16=""),"",IF($S752&lt;=Settings!$C$16,1,2))</f>
        <v/>
      </c>
      <c r="AK752" s="39" t="str">
        <f>IF($C752="","",IFERROR(IF(INDEX(Settings!$C$20:$C$59,MATCH($C752,Settings!$B$20:$B$59,0))="",Settings!$C$10,INDEX(Settings!$C$20:$C$59,MATCH($C752,Settings!$B$20:$B$59,0))),Settings!$C$10))</f>
        <v/>
      </c>
      <c r="AL752" s="108">
        <f t="shared" si="210"/>
        <v>0</v>
      </c>
      <c r="AM752" s="39" t="str">
        <f t="shared" si="211"/>
        <v/>
      </c>
      <c r="AN752" s="39" t="str">
        <f t="shared" si="212"/>
        <v/>
      </c>
      <c r="AO752" s="39" t="str">
        <f t="shared" si="213"/>
        <v/>
      </c>
      <c r="AP752" s="39">
        <f t="shared" si="214"/>
        <v>0</v>
      </c>
      <c r="AQ752" s="39">
        <f t="shared" si="215"/>
        <v>0</v>
      </c>
    </row>
    <row r="753" spans="14:43" x14ac:dyDescent="0.25">
      <c r="N753" s="105">
        <f t="shared" si="198"/>
        <v>0</v>
      </c>
      <c r="O753" s="106" t="str">
        <f>IF($F753="","",IF(ISNUMBER($F753),$F753+Settings!$C$7/24,IFERROR(DATEVALUE(LEFT($F753,10))+TIMEVALUE(MID($F753,12,8))+Settings!$C$7/24,"")))</f>
        <v/>
      </c>
      <c r="P753" s="106" t="str">
        <f>IF($G753="","",IF(ISNUMBER($G753),$G753+Settings!$C$7/24,IFERROR(DATEVALUE(LEFT($G753,10))+TIMEVALUE(MID($G753,12,8))+Settings!$C$7/24,"")))</f>
        <v/>
      </c>
      <c r="Q753" s="39" t="str">
        <f t="shared" si="199"/>
        <v/>
      </c>
      <c r="R753" s="39" t="str">
        <f t="shared" si="200"/>
        <v/>
      </c>
      <c r="S753" s="107" t="str">
        <f t="shared" si="201"/>
        <v/>
      </c>
      <c r="T753" s="39" t="str">
        <f>IF($C753="","",IF(COUNTIF($C$2:$C753,$C753)=1,1,0))</f>
        <v/>
      </c>
      <c r="U753" s="39" t="str">
        <f>IF($T753=1,COUNTIF($T$2:$T753,1),"")</f>
        <v/>
      </c>
      <c r="V753" s="39" t="str">
        <f>IF($B753="","",IF(COUNTIF($B$2:$B753,$B753)=1,1,0))</f>
        <v/>
      </c>
      <c r="W753" s="39" t="str">
        <f>IF($V753=1,COUNTIF($V$2:$V753,1),"")</f>
        <v/>
      </c>
      <c r="X753" s="39" t="str">
        <f>IF($A753="","",IF(COUNTIF($A$2:$A753,$A753)=1,1,0))</f>
        <v/>
      </c>
      <c r="Y753" s="39" t="str">
        <f>IF($X753=1,COUNTIF($X$2:$X753,1),"")</f>
        <v/>
      </c>
      <c r="Z753" s="39">
        <f>IF(AND($E753="timed",$N753&gt;Settings!$C$8),1,0)</f>
        <v>0</v>
      </c>
      <c r="AA753" s="39">
        <f t="shared" si="202"/>
        <v>0</v>
      </c>
      <c r="AB753" s="39">
        <f t="shared" si="203"/>
        <v>0</v>
      </c>
      <c r="AC753" s="39" t="str">
        <f t="shared" si="204"/>
        <v/>
      </c>
      <c r="AD753" s="39" t="str">
        <f t="shared" si="205"/>
        <v/>
      </c>
      <c r="AE753" s="39" t="str">
        <f t="shared" si="206"/>
        <v/>
      </c>
      <c r="AF753" s="106" t="str">
        <f t="shared" si="207"/>
        <v/>
      </c>
      <c r="AG753" s="39">
        <f t="shared" si="208"/>
        <v>0</v>
      </c>
      <c r="AH753" s="39" t="str">
        <f t="shared" si="209"/>
        <v/>
      </c>
      <c r="AI753" s="39">
        <f>IF(AND($E753="timed",$N753&gt;=Settings!$C$9),1,0)</f>
        <v>0</v>
      </c>
      <c r="AJ753" s="39" t="str">
        <f>IF(OR($S753="",Settings!$C$16=""),"",IF($S753&lt;=Settings!$C$16,1,2))</f>
        <v/>
      </c>
      <c r="AK753" s="39" t="str">
        <f>IF($C753="","",IFERROR(IF(INDEX(Settings!$C$20:$C$59,MATCH($C753,Settings!$B$20:$B$59,0))="",Settings!$C$10,INDEX(Settings!$C$20:$C$59,MATCH($C753,Settings!$B$20:$B$59,0))),Settings!$C$10))</f>
        <v/>
      </c>
      <c r="AL753" s="108">
        <f t="shared" si="210"/>
        <v>0</v>
      </c>
      <c r="AM753" s="39" t="str">
        <f t="shared" si="211"/>
        <v/>
      </c>
      <c r="AN753" s="39" t="str">
        <f t="shared" si="212"/>
        <v/>
      </c>
      <c r="AO753" s="39" t="str">
        <f t="shared" si="213"/>
        <v/>
      </c>
      <c r="AP753" s="39">
        <f t="shared" si="214"/>
        <v>0</v>
      </c>
      <c r="AQ753" s="39">
        <f t="shared" si="215"/>
        <v>0</v>
      </c>
    </row>
    <row r="754" spans="14:43" x14ac:dyDescent="0.25">
      <c r="N754" s="105">
        <f t="shared" si="198"/>
        <v>0</v>
      </c>
      <c r="O754" s="106" t="str">
        <f>IF($F754="","",IF(ISNUMBER($F754),$F754+Settings!$C$7/24,IFERROR(DATEVALUE(LEFT($F754,10))+TIMEVALUE(MID($F754,12,8))+Settings!$C$7/24,"")))</f>
        <v/>
      </c>
      <c r="P754" s="106" t="str">
        <f>IF($G754="","",IF(ISNUMBER($G754),$G754+Settings!$C$7/24,IFERROR(DATEVALUE(LEFT($G754,10))+TIMEVALUE(MID($G754,12,8))+Settings!$C$7/24,"")))</f>
        <v/>
      </c>
      <c r="Q754" s="39" t="str">
        <f t="shared" si="199"/>
        <v/>
      </c>
      <c r="R754" s="39" t="str">
        <f t="shared" si="200"/>
        <v/>
      </c>
      <c r="S754" s="107" t="str">
        <f t="shared" si="201"/>
        <v/>
      </c>
      <c r="T754" s="39" t="str">
        <f>IF($C754="","",IF(COUNTIF($C$2:$C754,$C754)=1,1,0))</f>
        <v/>
      </c>
      <c r="U754" s="39" t="str">
        <f>IF($T754=1,COUNTIF($T$2:$T754,1),"")</f>
        <v/>
      </c>
      <c r="V754" s="39" t="str">
        <f>IF($B754="","",IF(COUNTIF($B$2:$B754,$B754)=1,1,0))</f>
        <v/>
      </c>
      <c r="W754" s="39" t="str">
        <f>IF($V754=1,COUNTIF($V$2:$V754,1),"")</f>
        <v/>
      </c>
      <c r="X754" s="39" t="str">
        <f>IF($A754="","",IF(COUNTIF($A$2:$A754,$A754)=1,1,0))</f>
        <v/>
      </c>
      <c r="Y754" s="39" t="str">
        <f>IF($X754=1,COUNTIF($X$2:$X754,1),"")</f>
        <v/>
      </c>
      <c r="Z754" s="39">
        <f>IF(AND($E754="timed",$N754&gt;Settings!$C$8),1,0)</f>
        <v>0</v>
      </c>
      <c r="AA754" s="39">
        <f t="shared" si="202"/>
        <v>0</v>
      </c>
      <c r="AB754" s="39">
        <f t="shared" si="203"/>
        <v>0</v>
      </c>
      <c r="AC754" s="39" t="str">
        <f t="shared" si="204"/>
        <v/>
      </c>
      <c r="AD754" s="39" t="str">
        <f t="shared" si="205"/>
        <v/>
      </c>
      <c r="AE754" s="39" t="str">
        <f t="shared" si="206"/>
        <v/>
      </c>
      <c r="AF754" s="106" t="str">
        <f t="shared" si="207"/>
        <v/>
      </c>
      <c r="AG754" s="39">
        <f t="shared" si="208"/>
        <v>0</v>
      </c>
      <c r="AH754" s="39" t="str">
        <f t="shared" si="209"/>
        <v/>
      </c>
      <c r="AI754" s="39">
        <f>IF(AND($E754="timed",$N754&gt;=Settings!$C$9),1,0)</f>
        <v>0</v>
      </c>
      <c r="AJ754" s="39" t="str">
        <f>IF(OR($S754="",Settings!$C$16=""),"",IF($S754&lt;=Settings!$C$16,1,2))</f>
        <v/>
      </c>
      <c r="AK754" s="39" t="str">
        <f>IF($C754="","",IFERROR(IF(INDEX(Settings!$C$20:$C$59,MATCH($C754,Settings!$B$20:$B$59,0))="",Settings!$C$10,INDEX(Settings!$C$20:$C$59,MATCH($C754,Settings!$B$20:$B$59,0))),Settings!$C$10))</f>
        <v/>
      </c>
      <c r="AL754" s="108">
        <f t="shared" si="210"/>
        <v>0</v>
      </c>
      <c r="AM754" s="39" t="str">
        <f t="shared" si="211"/>
        <v/>
      </c>
      <c r="AN754" s="39" t="str">
        <f t="shared" si="212"/>
        <v/>
      </c>
      <c r="AO754" s="39" t="str">
        <f t="shared" si="213"/>
        <v/>
      </c>
      <c r="AP754" s="39">
        <f t="shared" si="214"/>
        <v>0</v>
      </c>
      <c r="AQ754" s="39">
        <f t="shared" si="215"/>
        <v>0</v>
      </c>
    </row>
    <row r="755" spans="14:43" x14ac:dyDescent="0.25">
      <c r="N755" s="105">
        <f t="shared" si="198"/>
        <v>0</v>
      </c>
      <c r="O755" s="106" t="str">
        <f>IF($F755="","",IF(ISNUMBER($F755),$F755+Settings!$C$7/24,IFERROR(DATEVALUE(LEFT($F755,10))+TIMEVALUE(MID($F755,12,8))+Settings!$C$7/24,"")))</f>
        <v/>
      </c>
      <c r="P755" s="106" t="str">
        <f>IF($G755="","",IF(ISNUMBER($G755),$G755+Settings!$C$7/24,IFERROR(DATEVALUE(LEFT($G755,10))+TIMEVALUE(MID($G755,12,8))+Settings!$C$7/24,"")))</f>
        <v/>
      </c>
      <c r="Q755" s="39" t="str">
        <f t="shared" si="199"/>
        <v/>
      </c>
      <c r="R755" s="39" t="str">
        <f t="shared" si="200"/>
        <v/>
      </c>
      <c r="S755" s="107" t="str">
        <f t="shared" si="201"/>
        <v/>
      </c>
      <c r="T755" s="39" t="str">
        <f>IF($C755="","",IF(COUNTIF($C$2:$C755,$C755)=1,1,0))</f>
        <v/>
      </c>
      <c r="U755" s="39" t="str">
        <f>IF($T755=1,COUNTIF($T$2:$T755,1),"")</f>
        <v/>
      </c>
      <c r="V755" s="39" t="str">
        <f>IF($B755="","",IF(COUNTIF($B$2:$B755,$B755)=1,1,0))</f>
        <v/>
      </c>
      <c r="W755" s="39" t="str">
        <f>IF($V755=1,COUNTIF($V$2:$V755,1),"")</f>
        <v/>
      </c>
      <c r="X755" s="39" t="str">
        <f>IF($A755="","",IF(COUNTIF($A$2:$A755,$A755)=1,1,0))</f>
        <v/>
      </c>
      <c r="Y755" s="39" t="str">
        <f>IF($X755=1,COUNTIF($X$2:$X755,1),"")</f>
        <v/>
      </c>
      <c r="Z755" s="39">
        <f>IF(AND($E755="timed",$N755&gt;Settings!$C$8),1,0)</f>
        <v>0</v>
      </c>
      <c r="AA755" s="39">
        <f t="shared" si="202"/>
        <v>0</v>
      </c>
      <c r="AB755" s="39">
        <f t="shared" si="203"/>
        <v>0</v>
      </c>
      <c r="AC755" s="39" t="str">
        <f t="shared" si="204"/>
        <v/>
      </c>
      <c r="AD755" s="39" t="str">
        <f t="shared" si="205"/>
        <v/>
      </c>
      <c r="AE755" s="39" t="str">
        <f t="shared" si="206"/>
        <v/>
      </c>
      <c r="AF755" s="106" t="str">
        <f t="shared" si="207"/>
        <v/>
      </c>
      <c r="AG755" s="39">
        <f t="shared" si="208"/>
        <v>0</v>
      </c>
      <c r="AH755" s="39" t="str">
        <f t="shared" si="209"/>
        <v/>
      </c>
      <c r="AI755" s="39">
        <f>IF(AND($E755="timed",$N755&gt;=Settings!$C$9),1,0)</f>
        <v>0</v>
      </c>
      <c r="AJ755" s="39" t="str">
        <f>IF(OR($S755="",Settings!$C$16=""),"",IF($S755&lt;=Settings!$C$16,1,2))</f>
        <v/>
      </c>
      <c r="AK755" s="39" t="str">
        <f>IF($C755="","",IFERROR(IF(INDEX(Settings!$C$20:$C$59,MATCH($C755,Settings!$B$20:$B$59,0))="",Settings!$C$10,INDEX(Settings!$C$20:$C$59,MATCH($C755,Settings!$B$20:$B$59,0))),Settings!$C$10))</f>
        <v/>
      </c>
      <c r="AL755" s="108">
        <f t="shared" si="210"/>
        <v>0</v>
      </c>
      <c r="AM755" s="39" t="str">
        <f t="shared" si="211"/>
        <v/>
      </c>
      <c r="AN755" s="39" t="str">
        <f t="shared" si="212"/>
        <v/>
      </c>
      <c r="AO755" s="39" t="str">
        <f t="shared" si="213"/>
        <v/>
      </c>
      <c r="AP755" s="39">
        <f t="shared" si="214"/>
        <v>0</v>
      </c>
      <c r="AQ755" s="39">
        <f t="shared" si="215"/>
        <v>0</v>
      </c>
    </row>
    <row r="756" spans="14:43" x14ac:dyDescent="0.25">
      <c r="N756" s="105">
        <f t="shared" si="198"/>
        <v>0</v>
      </c>
      <c r="O756" s="106" t="str">
        <f>IF($F756="","",IF(ISNUMBER($F756),$F756+Settings!$C$7/24,IFERROR(DATEVALUE(LEFT($F756,10))+TIMEVALUE(MID($F756,12,8))+Settings!$C$7/24,"")))</f>
        <v/>
      </c>
      <c r="P756" s="106" t="str">
        <f>IF($G756="","",IF(ISNUMBER($G756),$G756+Settings!$C$7/24,IFERROR(DATEVALUE(LEFT($G756,10))+TIMEVALUE(MID($G756,12,8))+Settings!$C$7/24,"")))</f>
        <v/>
      </c>
      <c r="Q756" s="39" t="str">
        <f t="shared" si="199"/>
        <v/>
      </c>
      <c r="R756" s="39" t="str">
        <f t="shared" si="200"/>
        <v/>
      </c>
      <c r="S756" s="107" t="str">
        <f t="shared" si="201"/>
        <v/>
      </c>
      <c r="T756" s="39" t="str">
        <f>IF($C756="","",IF(COUNTIF($C$2:$C756,$C756)=1,1,0))</f>
        <v/>
      </c>
      <c r="U756" s="39" t="str">
        <f>IF($T756=1,COUNTIF($T$2:$T756,1),"")</f>
        <v/>
      </c>
      <c r="V756" s="39" t="str">
        <f>IF($B756="","",IF(COUNTIF($B$2:$B756,$B756)=1,1,0))</f>
        <v/>
      </c>
      <c r="W756" s="39" t="str">
        <f>IF($V756=1,COUNTIF($V$2:$V756,1),"")</f>
        <v/>
      </c>
      <c r="X756" s="39" t="str">
        <f>IF($A756="","",IF(COUNTIF($A$2:$A756,$A756)=1,1,0))</f>
        <v/>
      </c>
      <c r="Y756" s="39" t="str">
        <f>IF($X756=1,COUNTIF($X$2:$X756,1),"")</f>
        <v/>
      </c>
      <c r="Z756" s="39">
        <f>IF(AND($E756="timed",$N756&gt;Settings!$C$8),1,0)</f>
        <v>0</v>
      </c>
      <c r="AA756" s="39">
        <f t="shared" si="202"/>
        <v>0</v>
      </c>
      <c r="AB756" s="39">
        <f t="shared" si="203"/>
        <v>0</v>
      </c>
      <c r="AC756" s="39" t="str">
        <f t="shared" si="204"/>
        <v/>
      </c>
      <c r="AD756" s="39" t="str">
        <f t="shared" si="205"/>
        <v/>
      </c>
      <c r="AE756" s="39" t="str">
        <f t="shared" si="206"/>
        <v/>
      </c>
      <c r="AF756" s="106" t="str">
        <f t="shared" si="207"/>
        <v/>
      </c>
      <c r="AG756" s="39">
        <f t="shared" si="208"/>
        <v>0</v>
      </c>
      <c r="AH756" s="39" t="str">
        <f t="shared" si="209"/>
        <v/>
      </c>
      <c r="AI756" s="39">
        <f>IF(AND($E756="timed",$N756&gt;=Settings!$C$9),1,0)</f>
        <v>0</v>
      </c>
      <c r="AJ756" s="39" t="str">
        <f>IF(OR($S756="",Settings!$C$16=""),"",IF($S756&lt;=Settings!$C$16,1,2))</f>
        <v/>
      </c>
      <c r="AK756" s="39" t="str">
        <f>IF($C756="","",IFERROR(IF(INDEX(Settings!$C$20:$C$59,MATCH($C756,Settings!$B$20:$B$59,0))="",Settings!$C$10,INDEX(Settings!$C$20:$C$59,MATCH($C756,Settings!$B$20:$B$59,0))),Settings!$C$10))</f>
        <v/>
      </c>
      <c r="AL756" s="108">
        <f t="shared" si="210"/>
        <v>0</v>
      </c>
      <c r="AM756" s="39" t="str">
        <f t="shared" si="211"/>
        <v/>
      </c>
      <c r="AN756" s="39" t="str">
        <f t="shared" si="212"/>
        <v/>
      </c>
      <c r="AO756" s="39" t="str">
        <f t="shared" si="213"/>
        <v/>
      </c>
      <c r="AP756" s="39">
        <f t="shared" si="214"/>
        <v>0</v>
      </c>
      <c r="AQ756" s="39">
        <f t="shared" si="215"/>
        <v>0</v>
      </c>
    </row>
    <row r="757" spans="14:43" x14ac:dyDescent="0.25">
      <c r="N757" s="105">
        <f t="shared" si="198"/>
        <v>0</v>
      </c>
      <c r="O757" s="106" t="str">
        <f>IF($F757="","",IF(ISNUMBER($F757),$F757+Settings!$C$7/24,IFERROR(DATEVALUE(LEFT($F757,10))+TIMEVALUE(MID($F757,12,8))+Settings!$C$7/24,"")))</f>
        <v/>
      </c>
      <c r="P757" s="106" t="str">
        <f>IF($G757="","",IF(ISNUMBER($G757),$G757+Settings!$C$7/24,IFERROR(DATEVALUE(LEFT($G757,10))+TIMEVALUE(MID($G757,12,8))+Settings!$C$7/24,"")))</f>
        <v/>
      </c>
      <c r="Q757" s="39" t="str">
        <f t="shared" si="199"/>
        <v/>
      </c>
      <c r="R757" s="39" t="str">
        <f t="shared" si="200"/>
        <v/>
      </c>
      <c r="S757" s="107" t="str">
        <f t="shared" si="201"/>
        <v/>
      </c>
      <c r="T757" s="39" t="str">
        <f>IF($C757="","",IF(COUNTIF($C$2:$C757,$C757)=1,1,0))</f>
        <v/>
      </c>
      <c r="U757" s="39" t="str">
        <f>IF($T757=1,COUNTIF($T$2:$T757,1),"")</f>
        <v/>
      </c>
      <c r="V757" s="39" t="str">
        <f>IF($B757="","",IF(COUNTIF($B$2:$B757,$B757)=1,1,0))</f>
        <v/>
      </c>
      <c r="W757" s="39" t="str">
        <f>IF($V757=1,COUNTIF($V$2:$V757,1),"")</f>
        <v/>
      </c>
      <c r="X757" s="39" t="str">
        <f>IF($A757="","",IF(COUNTIF($A$2:$A757,$A757)=1,1,0))</f>
        <v/>
      </c>
      <c r="Y757" s="39" t="str">
        <f>IF($X757=1,COUNTIF($X$2:$X757,1),"")</f>
        <v/>
      </c>
      <c r="Z757" s="39">
        <f>IF(AND($E757="timed",$N757&gt;Settings!$C$8),1,0)</f>
        <v>0</v>
      </c>
      <c r="AA757" s="39">
        <f t="shared" si="202"/>
        <v>0</v>
      </c>
      <c r="AB757" s="39">
        <f t="shared" si="203"/>
        <v>0</v>
      </c>
      <c r="AC757" s="39" t="str">
        <f t="shared" si="204"/>
        <v/>
      </c>
      <c r="AD757" s="39" t="str">
        <f t="shared" si="205"/>
        <v/>
      </c>
      <c r="AE757" s="39" t="str">
        <f t="shared" si="206"/>
        <v/>
      </c>
      <c r="AF757" s="106" t="str">
        <f t="shared" si="207"/>
        <v/>
      </c>
      <c r="AG757" s="39">
        <f t="shared" si="208"/>
        <v>0</v>
      </c>
      <c r="AH757" s="39" t="str">
        <f t="shared" si="209"/>
        <v/>
      </c>
      <c r="AI757" s="39">
        <f>IF(AND($E757="timed",$N757&gt;=Settings!$C$9),1,0)</f>
        <v>0</v>
      </c>
      <c r="AJ757" s="39" t="str">
        <f>IF(OR($S757="",Settings!$C$16=""),"",IF($S757&lt;=Settings!$C$16,1,2))</f>
        <v/>
      </c>
      <c r="AK757" s="39" t="str">
        <f>IF($C757="","",IFERROR(IF(INDEX(Settings!$C$20:$C$59,MATCH($C757,Settings!$B$20:$B$59,0))="",Settings!$C$10,INDEX(Settings!$C$20:$C$59,MATCH($C757,Settings!$B$20:$B$59,0))),Settings!$C$10))</f>
        <v/>
      </c>
      <c r="AL757" s="108">
        <f t="shared" si="210"/>
        <v>0</v>
      </c>
      <c r="AM757" s="39" t="str">
        <f t="shared" si="211"/>
        <v/>
      </c>
      <c r="AN757" s="39" t="str">
        <f t="shared" si="212"/>
        <v/>
      </c>
      <c r="AO757" s="39" t="str">
        <f t="shared" si="213"/>
        <v/>
      </c>
      <c r="AP757" s="39">
        <f t="shared" si="214"/>
        <v>0</v>
      </c>
      <c r="AQ757" s="39">
        <f t="shared" si="215"/>
        <v>0</v>
      </c>
    </row>
    <row r="758" spans="14:43" x14ac:dyDescent="0.25">
      <c r="N758" s="105">
        <f t="shared" si="198"/>
        <v>0</v>
      </c>
      <c r="O758" s="106" t="str">
        <f>IF($F758="","",IF(ISNUMBER($F758),$F758+Settings!$C$7/24,IFERROR(DATEVALUE(LEFT($F758,10))+TIMEVALUE(MID($F758,12,8))+Settings!$C$7/24,"")))</f>
        <v/>
      </c>
      <c r="P758" s="106" t="str">
        <f>IF($G758="","",IF(ISNUMBER($G758),$G758+Settings!$C$7/24,IFERROR(DATEVALUE(LEFT($G758,10))+TIMEVALUE(MID($G758,12,8))+Settings!$C$7/24,"")))</f>
        <v/>
      </c>
      <c r="Q758" s="39" t="str">
        <f t="shared" si="199"/>
        <v/>
      </c>
      <c r="R758" s="39" t="str">
        <f t="shared" si="200"/>
        <v/>
      </c>
      <c r="S758" s="107" t="str">
        <f t="shared" si="201"/>
        <v/>
      </c>
      <c r="T758" s="39" t="str">
        <f>IF($C758="","",IF(COUNTIF($C$2:$C758,$C758)=1,1,0))</f>
        <v/>
      </c>
      <c r="U758" s="39" t="str">
        <f>IF($T758=1,COUNTIF($T$2:$T758,1),"")</f>
        <v/>
      </c>
      <c r="V758" s="39" t="str">
        <f>IF($B758="","",IF(COUNTIF($B$2:$B758,$B758)=1,1,0))</f>
        <v/>
      </c>
      <c r="W758" s="39" t="str">
        <f>IF($V758=1,COUNTIF($V$2:$V758,1),"")</f>
        <v/>
      </c>
      <c r="X758" s="39" t="str">
        <f>IF($A758="","",IF(COUNTIF($A$2:$A758,$A758)=1,1,0))</f>
        <v/>
      </c>
      <c r="Y758" s="39" t="str">
        <f>IF($X758=1,COUNTIF($X$2:$X758,1),"")</f>
        <v/>
      </c>
      <c r="Z758" s="39">
        <f>IF(AND($E758="timed",$N758&gt;Settings!$C$8),1,0)</f>
        <v>0</v>
      </c>
      <c r="AA758" s="39">
        <f t="shared" si="202"/>
        <v>0</v>
      </c>
      <c r="AB758" s="39">
        <f t="shared" si="203"/>
        <v>0</v>
      </c>
      <c r="AC758" s="39" t="str">
        <f t="shared" si="204"/>
        <v/>
      </c>
      <c r="AD758" s="39" t="str">
        <f t="shared" si="205"/>
        <v/>
      </c>
      <c r="AE758" s="39" t="str">
        <f t="shared" si="206"/>
        <v/>
      </c>
      <c r="AF758" s="106" t="str">
        <f t="shared" si="207"/>
        <v/>
      </c>
      <c r="AG758" s="39">
        <f t="shared" si="208"/>
        <v>0</v>
      </c>
      <c r="AH758" s="39" t="str">
        <f t="shared" si="209"/>
        <v/>
      </c>
      <c r="AI758" s="39">
        <f>IF(AND($E758="timed",$N758&gt;=Settings!$C$9),1,0)</f>
        <v>0</v>
      </c>
      <c r="AJ758" s="39" t="str">
        <f>IF(OR($S758="",Settings!$C$16=""),"",IF($S758&lt;=Settings!$C$16,1,2))</f>
        <v/>
      </c>
      <c r="AK758" s="39" t="str">
        <f>IF($C758="","",IFERROR(IF(INDEX(Settings!$C$20:$C$59,MATCH($C758,Settings!$B$20:$B$59,0))="",Settings!$C$10,INDEX(Settings!$C$20:$C$59,MATCH($C758,Settings!$B$20:$B$59,0))),Settings!$C$10))</f>
        <v/>
      </c>
      <c r="AL758" s="108">
        <f t="shared" si="210"/>
        <v>0</v>
      </c>
      <c r="AM758" s="39" t="str">
        <f t="shared" si="211"/>
        <v/>
      </c>
      <c r="AN758" s="39" t="str">
        <f t="shared" si="212"/>
        <v/>
      </c>
      <c r="AO758" s="39" t="str">
        <f t="shared" si="213"/>
        <v/>
      </c>
      <c r="AP758" s="39">
        <f t="shared" si="214"/>
        <v>0</v>
      </c>
      <c r="AQ758" s="39">
        <f t="shared" si="215"/>
        <v>0</v>
      </c>
    </row>
    <row r="759" spans="14:43" x14ac:dyDescent="0.25">
      <c r="N759" s="105">
        <f t="shared" si="198"/>
        <v>0</v>
      </c>
      <c r="O759" s="106" t="str">
        <f>IF($F759="","",IF(ISNUMBER($F759),$F759+Settings!$C$7/24,IFERROR(DATEVALUE(LEFT($F759,10))+TIMEVALUE(MID($F759,12,8))+Settings!$C$7/24,"")))</f>
        <v/>
      </c>
      <c r="P759" s="106" t="str">
        <f>IF($G759="","",IF(ISNUMBER($G759),$G759+Settings!$C$7/24,IFERROR(DATEVALUE(LEFT($G759,10))+TIMEVALUE(MID($G759,12,8))+Settings!$C$7/24,"")))</f>
        <v/>
      </c>
      <c r="Q759" s="39" t="str">
        <f t="shared" si="199"/>
        <v/>
      </c>
      <c r="R759" s="39" t="str">
        <f t="shared" si="200"/>
        <v/>
      </c>
      <c r="S759" s="107" t="str">
        <f t="shared" si="201"/>
        <v/>
      </c>
      <c r="T759" s="39" t="str">
        <f>IF($C759="","",IF(COUNTIF($C$2:$C759,$C759)=1,1,0))</f>
        <v/>
      </c>
      <c r="U759" s="39" t="str">
        <f>IF($T759=1,COUNTIF($T$2:$T759,1),"")</f>
        <v/>
      </c>
      <c r="V759" s="39" t="str">
        <f>IF($B759="","",IF(COUNTIF($B$2:$B759,$B759)=1,1,0))</f>
        <v/>
      </c>
      <c r="W759" s="39" t="str">
        <f>IF($V759=1,COUNTIF($V$2:$V759,1),"")</f>
        <v/>
      </c>
      <c r="X759" s="39" t="str">
        <f>IF($A759="","",IF(COUNTIF($A$2:$A759,$A759)=1,1,0))</f>
        <v/>
      </c>
      <c r="Y759" s="39" t="str">
        <f>IF($X759=1,COUNTIF($X$2:$X759,1),"")</f>
        <v/>
      </c>
      <c r="Z759" s="39">
        <f>IF(AND($E759="timed",$N759&gt;Settings!$C$8),1,0)</f>
        <v>0</v>
      </c>
      <c r="AA759" s="39">
        <f t="shared" si="202"/>
        <v>0</v>
      </c>
      <c r="AB759" s="39">
        <f t="shared" si="203"/>
        <v>0</v>
      </c>
      <c r="AC759" s="39" t="str">
        <f t="shared" si="204"/>
        <v/>
      </c>
      <c r="AD759" s="39" t="str">
        <f t="shared" si="205"/>
        <v/>
      </c>
      <c r="AE759" s="39" t="str">
        <f t="shared" si="206"/>
        <v/>
      </c>
      <c r="AF759" s="106" t="str">
        <f t="shared" si="207"/>
        <v/>
      </c>
      <c r="AG759" s="39">
        <f t="shared" si="208"/>
        <v>0</v>
      </c>
      <c r="AH759" s="39" t="str">
        <f t="shared" si="209"/>
        <v/>
      </c>
      <c r="AI759" s="39">
        <f>IF(AND($E759="timed",$N759&gt;=Settings!$C$9),1,0)</f>
        <v>0</v>
      </c>
      <c r="AJ759" s="39" t="str">
        <f>IF(OR($S759="",Settings!$C$16=""),"",IF($S759&lt;=Settings!$C$16,1,2))</f>
        <v/>
      </c>
      <c r="AK759" s="39" t="str">
        <f>IF($C759="","",IFERROR(IF(INDEX(Settings!$C$20:$C$59,MATCH($C759,Settings!$B$20:$B$59,0))="",Settings!$C$10,INDEX(Settings!$C$20:$C$59,MATCH($C759,Settings!$B$20:$B$59,0))),Settings!$C$10))</f>
        <v/>
      </c>
      <c r="AL759" s="108">
        <f t="shared" si="210"/>
        <v>0</v>
      </c>
      <c r="AM759" s="39" t="str">
        <f t="shared" si="211"/>
        <v/>
      </c>
      <c r="AN759" s="39" t="str">
        <f t="shared" si="212"/>
        <v/>
      </c>
      <c r="AO759" s="39" t="str">
        <f t="shared" si="213"/>
        <v/>
      </c>
      <c r="AP759" s="39">
        <f t="shared" si="214"/>
        <v>0</v>
      </c>
      <c r="AQ759" s="39">
        <f t="shared" si="215"/>
        <v>0</v>
      </c>
    </row>
    <row r="760" spans="14:43" x14ac:dyDescent="0.25">
      <c r="N760" s="105">
        <f t="shared" si="198"/>
        <v>0</v>
      </c>
      <c r="O760" s="106" t="str">
        <f>IF($F760="","",IF(ISNUMBER($F760),$F760+Settings!$C$7/24,IFERROR(DATEVALUE(LEFT($F760,10))+TIMEVALUE(MID($F760,12,8))+Settings!$C$7/24,"")))</f>
        <v/>
      </c>
      <c r="P760" s="106" t="str">
        <f>IF($G760="","",IF(ISNUMBER($G760),$G760+Settings!$C$7/24,IFERROR(DATEVALUE(LEFT($G760,10))+TIMEVALUE(MID($G760,12,8))+Settings!$C$7/24,"")))</f>
        <v/>
      </c>
      <c r="Q760" s="39" t="str">
        <f t="shared" si="199"/>
        <v/>
      </c>
      <c r="R760" s="39" t="str">
        <f t="shared" si="200"/>
        <v/>
      </c>
      <c r="S760" s="107" t="str">
        <f t="shared" si="201"/>
        <v/>
      </c>
      <c r="T760" s="39" t="str">
        <f>IF($C760="","",IF(COUNTIF($C$2:$C760,$C760)=1,1,0))</f>
        <v/>
      </c>
      <c r="U760" s="39" t="str">
        <f>IF($T760=1,COUNTIF($T$2:$T760,1),"")</f>
        <v/>
      </c>
      <c r="V760" s="39" t="str">
        <f>IF($B760="","",IF(COUNTIF($B$2:$B760,$B760)=1,1,0))</f>
        <v/>
      </c>
      <c r="W760" s="39" t="str">
        <f>IF($V760=1,COUNTIF($V$2:$V760,1),"")</f>
        <v/>
      </c>
      <c r="X760" s="39" t="str">
        <f>IF($A760="","",IF(COUNTIF($A$2:$A760,$A760)=1,1,0))</f>
        <v/>
      </c>
      <c r="Y760" s="39" t="str">
        <f>IF($X760=1,COUNTIF($X$2:$X760,1),"")</f>
        <v/>
      </c>
      <c r="Z760" s="39">
        <f>IF(AND($E760="timed",$N760&gt;Settings!$C$8),1,0)</f>
        <v>0</v>
      </c>
      <c r="AA760" s="39">
        <f t="shared" si="202"/>
        <v>0</v>
      </c>
      <c r="AB760" s="39">
        <f t="shared" si="203"/>
        <v>0</v>
      </c>
      <c r="AC760" s="39" t="str">
        <f t="shared" si="204"/>
        <v/>
      </c>
      <c r="AD760" s="39" t="str">
        <f t="shared" si="205"/>
        <v/>
      </c>
      <c r="AE760" s="39" t="str">
        <f t="shared" si="206"/>
        <v/>
      </c>
      <c r="AF760" s="106" t="str">
        <f t="shared" si="207"/>
        <v/>
      </c>
      <c r="AG760" s="39">
        <f t="shared" si="208"/>
        <v>0</v>
      </c>
      <c r="AH760" s="39" t="str">
        <f t="shared" si="209"/>
        <v/>
      </c>
      <c r="AI760" s="39">
        <f>IF(AND($E760="timed",$N760&gt;=Settings!$C$9),1,0)</f>
        <v>0</v>
      </c>
      <c r="AJ760" s="39" t="str">
        <f>IF(OR($S760="",Settings!$C$16=""),"",IF($S760&lt;=Settings!$C$16,1,2))</f>
        <v/>
      </c>
      <c r="AK760" s="39" t="str">
        <f>IF($C760="","",IFERROR(IF(INDEX(Settings!$C$20:$C$59,MATCH($C760,Settings!$B$20:$B$59,0))="",Settings!$C$10,INDEX(Settings!$C$20:$C$59,MATCH($C760,Settings!$B$20:$B$59,0))),Settings!$C$10))</f>
        <v/>
      </c>
      <c r="AL760" s="108">
        <f t="shared" si="210"/>
        <v>0</v>
      </c>
      <c r="AM760" s="39" t="str">
        <f t="shared" si="211"/>
        <v/>
      </c>
      <c r="AN760" s="39" t="str">
        <f t="shared" si="212"/>
        <v/>
      </c>
      <c r="AO760" s="39" t="str">
        <f t="shared" si="213"/>
        <v/>
      </c>
      <c r="AP760" s="39">
        <f t="shared" si="214"/>
        <v>0</v>
      </c>
      <c r="AQ760" s="39">
        <f t="shared" si="215"/>
        <v>0</v>
      </c>
    </row>
    <row r="761" spans="14:43" x14ac:dyDescent="0.25">
      <c r="N761" s="105">
        <f t="shared" si="198"/>
        <v>0</v>
      </c>
      <c r="O761" s="106" t="str">
        <f>IF($F761="","",IF(ISNUMBER($F761),$F761+Settings!$C$7/24,IFERROR(DATEVALUE(LEFT($F761,10))+TIMEVALUE(MID($F761,12,8))+Settings!$C$7/24,"")))</f>
        <v/>
      </c>
      <c r="P761" s="106" t="str">
        <f>IF($G761="","",IF(ISNUMBER($G761),$G761+Settings!$C$7/24,IFERROR(DATEVALUE(LEFT($G761,10))+TIMEVALUE(MID($G761,12,8))+Settings!$C$7/24,"")))</f>
        <v/>
      </c>
      <c r="Q761" s="39" t="str">
        <f t="shared" si="199"/>
        <v/>
      </c>
      <c r="R761" s="39" t="str">
        <f t="shared" si="200"/>
        <v/>
      </c>
      <c r="S761" s="107" t="str">
        <f t="shared" si="201"/>
        <v/>
      </c>
      <c r="T761" s="39" t="str">
        <f>IF($C761="","",IF(COUNTIF($C$2:$C761,$C761)=1,1,0))</f>
        <v/>
      </c>
      <c r="U761" s="39" t="str">
        <f>IF($T761=1,COUNTIF($T$2:$T761,1),"")</f>
        <v/>
      </c>
      <c r="V761" s="39" t="str">
        <f>IF($B761="","",IF(COUNTIF($B$2:$B761,$B761)=1,1,0))</f>
        <v/>
      </c>
      <c r="W761" s="39" t="str">
        <f>IF($V761=1,COUNTIF($V$2:$V761,1),"")</f>
        <v/>
      </c>
      <c r="X761" s="39" t="str">
        <f>IF($A761="","",IF(COUNTIF($A$2:$A761,$A761)=1,1,0))</f>
        <v/>
      </c>
      <c r="Y761" s="39" t="str">
        <f>IF($X761=1,COUNTIF($X$2:$X761,1),"")</f>
        <v/>
      </c>
      <c r="Z761" s="39">
        <f>IF(AND($E761="timed",$N761&gt;Settings!$C$8),1,0)</f>
        <v>0</v>
      </c>
      <c r="AA761" s="39">
        <f t="shared" si="202"/>
        <v>0</v>
      </c>
      <c r="AB761" s="39">
        <f t="shared" si="203"/>
        <v>0</v>
      </c>
      <c r="AC761" s="39" t="str">
        <f t="shared" si="204"/>
        <v/>
      </c>
      <c r="AD761" s="39" t="str">
        <f t="shared" si="205"/>
        <v/>
      </c>
      <c r="AE761" s="39" t="str">
        <f t="shared" si="206"/>
        <v/>
      </c>
      <c r="AF761" s="106" t="str">
        <f t="shared" si="207"/>
        <v/>
      </c>
      <c r="AG761" s="39">
        <f t="shared" si="208"/>
        <v>0</v>
      </c>
      <c r="AH761" s="39" t="str">
        <f t="shared" si="209"/>
        <v/>
      </c>
      <c r="AI761" s="39">
        <f>IF(AND($E761="timed",$N761&gt;=Settings!$C$9),1,0)</f>
        <v>0</v>
      </c>
      <c r="AJ761" s="39" t="str">
        <f>IF(OR($S761="",Settings!$C$16=""),"",IF($S761&lt;=Settings!$C$16,1,2))</f>
        <v/>
      </c>
      <c r="AK761" s="39" t="str">
        <f>IF($C761="","",IFERROR(IF(INDEX(Settings!$C$20:$C$59,MATCH($C761,Settings!$B$20:$B$59,0))="",Settings!$C$10,INDEX(Settings!$C$20:$C$59,MATCH($C761,Settings!$B$20:$B$59,0))),Settings!$C$10))</f>
        <v/>
      </c>
      <c r="AL761" s="108">
        <f t="shared" si="210"/>
        <v>0</v>
      </c>
      <c r="AM761" s="39" t="str">
        <f t="shared" si="211"/>
        <v/>
      </c>
      <c r="AN761" s="39" t="str">
        <f t="shared" si="212"/>
        <v/>
      </c>
      <c r="AO761" s="39" t="str">
        <f t="shared" si="213"/>
        <v/>
      </c>
      <c r="AP761" s="39">
        <f t="shared" si="214"/>
        <v>0</v>
      </c>
      <c r="AQ761" s="39">
        <f t="shared" si="215"/>
        <v>0</v>
      </c>
    </row>
    <row r="762" spans="14:43" x14ac:dyDescent="0.25">
      <c r="N762" s="105">
        <f t="shared" si="198"/>
        <v>0</v>
      </c>
      <c r="O762" s="106" t="str">
        <f>IF($F762="","",IF(ISNUMBER($F762),$F762+Settings!$C$7/24,IFERROR(DATEVALUE(LEFT($F762,10))+TIMEVALUE(MID($F762,12,8))+Settings!$C$7/24,"")))</f>
        <v/>
      </c>
      <c r="P762" s="106" t="str">
        <f>IF($G762="","",IF(ISNUMBER($G762),$G762+Settings!$C$7/24,IFERROR(DATEVALUE(LEFT($G762,10))+TIMEVALUE(MID($G762,12,8))+Settings!$C$7/24,"")))</f>
        <v/>
      </c>
      <c r="Q762" s="39" t="str">
        <f t="shared" si="199"/>
        <v/>
      </c>
      <c r="R762" s="39" t="str">
        <f t="shared" si="200"/>
        <v/>
      </c>
      <c r="S762" s="107" t="str">
        <f t="shared" si="201"/>
        <v/>
      </c>
      <c r="T762" s="39" t="str">
        <f>IF($C762="","",IF(COUNTIF($C$2:$C762,$C762)=1,1,0))</f>
        <v/>
      </c>
      <c r="U762" s="39" t="str">
        <f>IF($T762=1,COUNTIF($T$2:$T762,1),"")</f>
        <v/>
      </c>
      <c r="V762" s="39" t="str">
        <f>IF($B762="","",IF(COUNTIF($B$2:$B762,$B762)=1,1,0))</f>
        <v/>
      </c>
      <c r="W762" s="39" t="str">
        <f>IF($V762=1,COUNTIF($V$2:$V762,1),"")</f>
        <v/>
      </c>
      <c r="X762" s="39" t="str">
        <f>IF($A762="","",IF(COUNTIF($A$2:$A762,$A762)=1,1,0))</f>
        <v/>
      </c>
      <c r="Y762" s="39" t="str">
        <f>IF($X762=1,COUNTIF($X$2:$X762,1),"")</f>
        <v/>
      </c>
      <c r="Z762" s="39">
        <f>IF(AND($E762="timed",$N762&gt;Settings!$C$8),1,0)</f>
        <v>0</v>
      </c>
      <c r="AA762" s="39">
        <f t="shared" si="202"/>
        <v>0</v>
      </c>
      <c r="AB762" s="39">
        <f t="shared" si="203"/>
        <v>0</v>
      </c>
      <c r="AC762" s="39" t="str">
        <f t="shared" si="204"/>
        <v/>
      </c>
      <c r="AD762" s="39" t="str">
        <f t="shared" si="205"/>
        <v/>
      </c>
      <c r="AE762" s="39" t="str">
        <f t="shared" si="206"/>
        <v/>
      </c>
      <c r="AF762" s="106" t="str">
        <f t="shared" si="207"/>
        <v/>
      </c>
      <c r="AG762" s="39">
        <f t="shared" si="208"/>
        <v>0</v>
      </c>
      <c r="AH762" s="39" t="str">
        <f t="shared" si="209"/>
        <v/>
      </c>
      <c r="AI762" s="39">
        <f>IF(AND($E762="timed",$N762&gt;=Settings!$C$9),1,0)</f>
        <v>0</v>
      </c>
      <c r="AJ762" s="39" t="str">
        <f>IF(OR($S762="",Settings!$C$16=""),"",IF($S762&lt;=Settings!$C$16,1,2))</f>
        <v/>
      </c>
      <c r="AK762" s="39" t="str">
        <f>IF($C762="","",IFERROR(IF(INDEX(Settings!$C$20:$C$59,MATCH($C762,Settings!$B$20:$B$59,0))="",Settings!$C$10,INDEX(Settings!$C$20:$C$59,MATCH($C762,Settings!$B$20:$B$59,0))),Settings!$C$10))</f>
        <v/>
      </c>
      <c r="AL762" s="108">
        <f t="shared" si="210"/>
        <v>0</v>
      </c>
      <c r="AM762" s="39" t="str">
        <f t="shared" si="211"/>
        <v/>
      </c>
      <c r="AN762" s="39" t="str">
        <f t="shared" si="212"/>
        <v/>
      </c>
      <c r="AO762" s="39" t="str">
        <f t="shared" si="213"/>
        <v/>
      </c>
      <c r="AP762" s="39">
        <f t="shared" si="214"/>
        <v>0</v>
      </c>
      <c r="AQ762" s="39">
        <f t="shared" si="215"/>
        <v>0</v>
      </c>
    </row>
    <row r="763" spans="14:43" x14ac:dyDescent="0.25">
      <c r="N763" s="105">
        <f t="shared" si="198"/>
        <v>0</v>
      </c>
      <c r="O763" s="106" t="str">
        <f>IF($F763="","",IF(ISNUMBER($F763),$F763+Settings!$C$7/24,IFERROR(DATEVALUE(LEFT($F763,10))+TIMEVALUE(MID($F763,12,8))+Settings!$C$7/24,"")))</f>
        <v/>
      </c>
      <c r="P763" s="106" t="str">
        <f>IF($G763="","",IF(ISNUMBER($G763),$G763+Settings!$C$7/24,IFERROR(DATEVALUE(LEFT($G763,10))+TIMEVALUE(MID($G763,12,8))+Settings!$C$7/24,"")))</f>
        <v/>
      </c>
      <c r="Q763" s="39" t="str">
        <f t="shared" si="199"/>
        <v/>
      </c>
      <c r="R763" s="39" t="str">
        <f t="shared" si="200"/>
        <v/>
      </c>
      <c r="S763" s="107" t="str">
        <f t="shared" si="201"/>
        <v/>
      </c>
      <c r="T763" s="39" t="str">
        <f>IF($C763="","",IF(COUNTIF($C$2:$C763,$C763)=1,1,0))</f>
        <v/>
      </c>
      <c r="U763" s="39" t="str">
        <f>IF($T763=1,COUNTIF($T$2:$T763,1),"")</f>
        <v/>
      </c>
      <c r="V763" s="39" t="str">
        <f>IF($B763="","",IF(COUNTIF($B$2:$B763,$B763)=1,1,0))</f>
        <v/>
      </c>
      <c r="W763" s="39" t="str">
        <f>IF($V763=1,COUNTIF($V$2:$V763,1),"")</f>
        <v/>
      </c>
      <c r="X763" s="39" t="str">
        <f>IF($A763="","",IF(COUNTIF($A$2:$A763,$A763)=1,1,0))</f>
        <v/>
      </c>
      <c r="Y763" s="39" t="str">
        <f>IF($X763=1,COUNTIF($X$2:$X763,1),"")</f>
        <v/>
      </c>
      <c r="Z763" s="39">
        <f>IF(AND($E763="timed",$N763&gt;Settings!$C$8),1,0)</f>
        <v>0</v>
      </c>
      <c r="AA763" s="39">
        <f t="shared" si="202"/>
        <v>0</v>
      </c>
      <c r="AB763" s="39">
        <f t="shared" si="203"/>
        <v>0</v>
      </c>
      <c r="AC763" s="39" t="str">
        <f t="shared" si="204"/>
        <v/>
      </c>
      <c r="AD763" s="39" t="str">
        <f t="shared" si="205"/>
        <v/>
      </c>
      <c r="AE763" s="39" t="str">
        <f t="shared" si="206"/>
        <v/>
      </c>
      <c r="AF763" s="106" t="str">
        <f t="shared" si="207"/>
        <v/>
      </c>
      <c r="AG763" s="39">
        <f t="shared" si="208"/>
        <v>0</v>
      </c>
      <c r="AH763" s="39" t="str">
        <f t="shared" si="209"/>
        <v/>
      </c>
      <c r="AI763" s="39">
        <f>IF(AND($E763="timed",$N763&gt;=Settings!$C$9),1,0)</f>
        <v>0</v>
      </c>
      <c r="AJ763" s="39" t="str">
        <f>IF(OR($S763="",Settings!$C$16=""),"",IF($S763&lt;=Settings!$C$16,1,2))</f>
        <v/>
      </c>
      <c r="AK763" s="39" t="str">
        <f>IF($C763="","",IFERROR(IF(INDEX(Settings!$C$20:$C$59,MATCH($C763,Settings!$B$20:$B$59,0))="",Settings!$C$10,INDEX(Settings!$C$20:$C$59,MATCH($C763,Settings!$B$20:$B$59,0))),Settings!$C$10))</f>
        <v/>
      </c>
      <c r="AL763" s="108">
        <f t="shared" si="210"/>
        <v>0</v>
      </c>
      <c r="AM763" s="39" t="str">
        <f t="shared" si="211"/>
        <v/>
      </c>
      <c r="AN763" s="39" t="str">
        <f t="shared" si="212"/>
        <v/>
      </c>
      <c r="AO763" s="39" t="str">
        <f t="shared" si="213"/>
        <v/>
      </c>
      <c r="AP763" s="39">
        <f t="shared" si="214"/>
        <v>0</v>
      </c>
      <c r="AQ763" s="39">
        <f t="shared" si="215"/>
        <v>0</v>
      </c>
    </row>
    <row r="764" spans="14:43" x14ac:dyDescent="0.25">
      <c r="N764" s="105">
        <f t="shared" si="198"/>
        <v>0</v>
      </c>
      <c r="O764" s="106" t="str">
        <f>IF($F764="","",IF(ISNUMBER($F764),$F764+Settings!$C$7/24,IFERROR(DATEVALUE(LEFT($F764,10))+TIMEVALUE(MID($F764,12,8))+Settings!$C$7/24,"")))</f>
        <v/>
      </c>
      <c r="P764" s="106" t="str">
        <f>IF($G764="","",IF(ISNUMBER($G764),$G764+Settings!$C$7/24,IFERROR(DATEVALUE(LEFT($G764,10))+TIMEVALUE(MID($G764,12,8))+Settings!$C$7/24,"")))</f>
        <v/>
      </c>
      <c r="Q764" s="39" t="str">
        <f t="shared" si="199"/>
        <v/>
      </c>
      <c r="R764" s="39" t="str">
        <f t="shared" si="200"/>
        <v/>
      </c>
      <c r="S764" s="107" t="str">
        <f t="shared" si="201"/>
        <v/>
      </c>
      <c r="T764" s="39" t="str">
        <f>IF($C764="","",IF(COUNTIF($C$2:$C764,$C764)=1,1,0))</f>
        <v/>
      </c>
      <c r="U764" s="39" t="str">
        <f>IF($T764=1,COUNTIF($T$2:$T764,1),"")</f>
        <v/>
      </c>
      <c r="V764" s="39" t="str">
        <f>IF($B764="","",IF(COUNTIF($B$2:$B764,$B764)=1,1,0))</f>
        <v/>
      </c>
      <c r="W764" s="39" t="str">
        <f>IF($V764=1,COUNTIF($V$2:$V764,1),"")</f>
        <v/>
      </c>
      <c r="X764" s="39" t="str">
        <f>IF($A764="","",IF(COUNTIF($A$2:$A764,$A764)=1,1,0))</f>
        <v/>
      </c>
      <c r="Y764" s="39" t="str">
        <f>IF($X764=1,COUNTIF($X$2:$X764,1),"")</f>
        <v/>
      </c>
      <c r="Z764" s="39">
        <f>IF(AND($E764="timed",$N764&gt;Settings!$C$8),1,0)</f>
        <v>0</v>
      </c>
      <c r="AA764" s="39">
        <f t="shared" si="202"/>
        <v>0</v>
      </c>
      <c r="AB764" s="39">
        <f t="shared" si="203"/>
        <v>0</v>
      </c>
      <c r="AC764" s="39" t="str">
        <f t="shared" si="204"/>
        <v/>
      </c>
      <c r="AD764" s="39" t="str">
        <f t="shared" si="205"/>
        <v/>
      </c>
      <c r="AE764" s="39" t="str">
        <f t="shared" si="206"/>
        <v/>
      </c>
      <c r="AF764" s="106" t="str">
        <f t="shared" si="207"/>
        <v/>
      </c>
      <c r="AG764" s="39">
        <f t="shared" si="208"/>
        <v>0</v>
      </c>
      <c r="AH764" s="39" t="str">
        <f t="shared" si="209"/>
        <v/>
      </c>
      <c r="AI764" s="39">
        <f>IF(AND($E764="timed",$N764&gt;=Settings!$C$9),1,0)</f>
        <v>0</v>
      </c>
      <c r="AJ764" s="39" t="str">
        <f>IF(OR($S764="",Settings!$C$16=""),"",IF($S764&lt;=Settings!$C$16,1,2))</f>
        <v/>
      </c>
      <c r="AK764" s="39" t="str">
        <f>IF($C764="","",IFERROR(IF(INDEX(Settings!$C$20:$C$59,MATCH($C764,Settings!$B$20:$B$59,0))="",Settings!$C$10,INDEX(Settings!$C$20:$C$59,MATCH($C764,Settings!$B$20:$B$59,0))),Settings!$C$10))</f>
        <v/>
      </c>
      <c r="AL764" s="108">
        <f t="shared" si="210"/>
        <v>0</v>
      </c>
      <c r="AM764" s="39" t="str">
        <f t="shared" si="211"/>
        <v/>
      </c>
      <c r="AN764" s="39" t="str">
        <f t="shared" si="212"/>
        <v/>
      </c>
      <c r="AO764" s="39" t="str">
        <f t="shared" si="213"/>
        <v/>
      </c>
      <c r="AP764" s="39">
        <f t="shared" si="214"/>
        <v>0</v>
      </c>
      <c r="AQ764" s="39">
        <f t="shared" si="215"/>
        <v>0</v>
      </c>
    </row>
    <row r="765" spans="14:43" x14ac:dyDescent="0.25">
      <c r="N765" s="105">
        <f t="shared" si="198"/>
        <v>0</v>
      </c>
      <c r="O765" s="106" t="str">
        <f>IF($F765="","",IF(ISNUMBER($F765),$F765+Settings!$C$7/24,IFERROR(DATEVALUE(LEFT($F765,10))+TIMEVALUE(MID($F765,12,8))+Settings!$C$7/24,"")))</f>
        <v/>
      </c>
      <c r="P765" s="106" t="str">
        <f>IF($G765="","",IF(ISNUMBER($G765),$G765+Settings!$C$7/24,IFERROR(DATEVALUE(LEFT($G765,10))+TIMEVALUE(MID($G765,12,8))+Settings!$C$7/24,"")))</f>
        <v/>
      </c>
      <c r="Q765" s="39" t="str">
        <f t="shared" si="199"/>
        <v/>
      </c>
      <c r="R765" s="39" t="str">
        <f t="shared" si="200"/>
        <v/>
      </c>
      <c r="S765" s="107" t="str">
        <f t="shared" si="201"/>
        <v/>
      </c>
      <c r="T765" s="39" t="str">
        <f>IF($C765="","",IF(COUNTIF($C$2:$C765,$C765)=1,1,0))</f>
        <v/>
      </c>
      <c r="U765" s="39" t="str">
        <f>IF($T765=1,COUNTIF($T$2:$T765,1),"")</f>
        <v/>
      </c>
      <c r="V765" s="39" t="str">
        <f>IF($B765="","",IF(COUNTIF($B$2:$B765,$B765)=1,1,0))</f>
        <v/>
      </c>
      <c r="W765" s="39" t="str">
        <f>IF($V765=1,COUNTIF($V$2:$V765,1),"")</f>
        <v/>
      </c>
      <c r="X765" s="39" t="str">
        <f>IF($A765="","",IF(COUNTIF($A$2:$A765,$A765)=1,1,0))</f>
        <v/>
      </c>
      <c r="Y765" s="39" t="str">
        <f>IF($X765=1,COUNTIF($X$2:$X765,1),"")</f>
        <v/>
      </c>
      <c r="Z765" s="39">
        <f>IF(AND($E765="timed",$N765&gt;Settings!$C$8),1,0)</f>
        <v>0</v>
      </c>
      <c r="AA765" s="39">
        <f t="shared" si="202"/>
        <v>0</v>
      </c>
      <c r="AB765" s="39">
        <f t="shared" si="203"/>
        <v>0</v>
      </c>
      <c r="AC765" s="39" t="str">
        <f t="shared" si="204"/>
        <v/>
      </c>
      <c r="AD765" s="39" t="str">
        <f t="shared" si="205"/>
        <v/>
      </c>
      <c r="AE765" s="39" t="str">
        <f t="shared" si="206"/>
        <v/>
      </c>
      <c r="AF765" s="106" t="str">
        <f t="shared" si="207"/>
        <v/>
      </c>
      <c r="AG765" s="39">
        <f t="shared" si="208"/>
        <v>0</v>
      </c>
      <c r="AH765" s="39" t="str">
        <f t="shared" si="209"/>
        <v/>
      </c>
      <c r="AI765" s="39">
        <f>IF(AND($E765="timed",$N765&gt;=Settings!$C$9),1,0)</f>
        <v>0</v>
      </c>
      <c r="AJ765" s="39" t="str">
        <f>IF(OR($S765="",Settings!$C$16=""),"",IF($S765&lt;=Settings!$C$16,1,2))</f>
        <v/>
      </c>
      <c r="AK765" s="39" t="str">
        <f>IF($C765="","",IFERROR(IF(INDEX(Settings!$C$20:$C$59,MATCH($C765,Settings!$B$20:$B$59,0))="",Settings!$C$10,INDEX(Settings!$C$20:$C$59,MATCH($C765,Settings!$B$20:$B$59,0))),Settings!$C$10))</f>
        <v/>
      </c>
      <c r="AL765" s="108">
        <f t="shared" si="210"/>
        <v>0</v>
      </c>
      <c r="AM765" s="39" t="str">
        <f t="shared" si="211"/>
        <v/>
      </c>
      <c r="AN765" s="39" t="str">
        <f t="shared" si="212"/>
        <v/>
      </c>
      <c r="AO765" s="39" t="str">
        <f t="shared" si="213"/>
        <v/>
      </c>
      <c r="AP765" s="39">
        <f t="shared" si="214"/>
        <v>0</v>
      </c>
      <c r="AQ765" s="39">
        <f t="shared" si="215"/>
        <v>0</v>
      </c>
    </row>
    <row r="766" spans="14:43" x14ac:dyDescent="0.25">
      <c r="N766" s="105">
        <f t="shared" si="198"/>
        <v>0</v>
      </c>
      <c r="O766" s="106" t="str">
        <f>IF($F766="","",IF(ISNUMBER($F766),$F766+Settings!$C$7/24,IFERROR(DATEVALUE(LEFT($F766,10))+TIMEVALUE(MID($F766,12,8))+Settings!$C$7/24,"")))</f>
        <v/>
      </c>
      <c r="P766" s="106" t="str">
        <f>IF($G766="","",IF(ISNUMBER($G766),$G766+Settings!$C$7/24,IFERROR(DATEVALUE(LEFT($G766,10))+TIMEVALUE(MID($G766,12,8))+Settings!$C$7/24,"")))</f>
        <v/>
      </c>
      <c r="Q766" s="39" t="str">
        <f t="shared" si="199"/>
        <v/>
      </c>
      <c r="R766" s="39" t="str">
        <f t="shared" si="200"/>
        <v/>
      </c>
      <c r="S766" s="107" t="str">
        <f t="shared" si="201"/>
        <v/>
      </c>
      <c r="T766" s="39" t="str">
        <f>IF($C766="","",IF(COUNTIF($C$2:$C766,$C766)=1,1,0))</f>
        <v/>
      </c>
      <c r="U766" s="39" t="str">
        <f>IF($T766=1,COUNTIF($T$2:$T766,1),"")</f>
        <v/>
      </c>
      <c r="V766" s="39" t="str">
        <f>IF($B766="","",IF(COUNTIF($B$2:$B766,$B766)=1,1,0))</f>
        <v/>
      </c>
      <c r="W766" s="39" t="str">
        <f>IF($V766=1,COUNTIF($V$2:$V766,1),"")</f>
        <v/>
      </c>
      <c r="X766" s="39" t="str">
        <f>IF($A766="","",IF(COUNTIF($A$2:$A766,$A766)=1,1,0))</f>
        <v/>
      </c>
      <c r="Y766" s="39" t="str">
        <f>IF($X766=1,COUNTIF($X$2:$X766,1),"")</f>
        <v/>
      </c>
      <c r="Z766" s="39">
        <f>IF(AND($E766="timed",$N766&gt;Settings!$C$8),1,0)</f>
        <v>0</v>
      </c>
      <c r="AA766" s="39">
        <f t="shared" si="202"/>
        <v>0</v>
      </c>
      <c r="AB766" s="39">
        <f t="shared" si="203"/>
        <v>0</v>
      </c>
      <c r="AC766" s="39" t="str">
        <f t="shared" si="204"/>
        <v/>
      </c>
      <c r="AD766" s="39" t="str">
        <f t="shared" si="205"/>
        <v/>
      </c>
      <c r="AE766" s="39" t="str">
        <f t="shared" si="206"/>
        <v/>
      </c>
      <c r="AF766" s="106" t="str">
        <f t="shared" si="207"/>
        <v/>
      </c>
      <c r="AG766" s="39">
        <f t="shared" si="208"/>
        <v>0</v>
      </c>
      <c r="AH766" s="39" t="str">
        <f t="shared" si="209"/>
        <v/>
      </c>
      <c r="AI766" s="39">
        <f>IF(AND($E766="timed",$N766&gt;=Settings!$C$9),1,0)</f>
        <v>0</v>
      </c>
      <c r="AJ766" s="39" t="str">
        <f>IF(OR($S766="",Settings!$C$16=""),"",IF($S766&lt;=Settings!$C$16,1,2))</f>
        <v/>
      </c>
      <c r="AK766" s="39" t="str">
        <f>IF($C766="","",IFERROR(IF(INDEX(Settings!$C$20:$C$59,MATCH($C766,Settings!$B$20:$B$59,0))="",Settings!$C$10,INDEX(Settings!$C$20:$C$59,MATCH($C766,Settings!$B$20:$B$59,0))),Settings!$C$10))</f>
        <v/>
      </c>
      <c r="AL766" s="108">
        <f t="shared" si="210"/>
        <v>0</v>
      </c>
      <c r="AM766" s="39" t="str">
        <f t="shared" si="211"/>
        <v/>
      </c>
      <c r="AN766" s="39" t="str">
        <f t="shared" si="212"/>
        <v/>
      </c>
      <c r="AO766" s="39" t="str">
        <f t="shared" si="213"/>
        <v/>
      </c>
      <c r="AP766" s="39">
        <f t="shared" si="214"/>
        <v>0</v>
      </c>
      <c r="AQ766" s="39">
        <f t="shared" si="215"/>
        <v>0</v>
      </c>
    </row>
    <row r="767" spans="14:43" x14ac:dyDescent="0.25">
      <c r="N767" s="105">
        <f t="shared" si="198"/>
        <v>0</v>
      </c>
      <c r="O767" s="106" t="str">
        <f>IF($F767="","",IF(ISNUMBER($F767),$F767+Settings!$C$7/24,IFERROR(DATEVALUE(LEFT($F767,10))+TIMEVALUE(MID($F767,12,8))+Settings!$C$7/24,"")))</f>
        <v/>
      </c>
      <c r="P767" s="106" t="str">
        <f>IF($G767="","",IF(ISNUMBER($G767),$G767+Settings!$C$7/24,IFERROR(DATEVALUE(LEFT($G767,10))+TIMEVALUE(MID($G767,12,8))+Settings!$C$7/24,"")))</f>
        <v/>
      </c>
      <c r="Q767" s="39" t="str">
        <f t="shared" si="199"/>
        <v/>
      </c>
      <c r="R767" s="39" t="str">
        <f t="shared" si="200"/>
        <v/>
      </c>
      <c r="S767" s="107" t="str">
        <f t="shared" si="201"/>
        <v/>
      </c>
      <c r="T767" s="39" t="str">
        <f>IF($C767="","",IF(COUNTIF($C$2:$C767,$C767)=1,1,0))</f>
        <v/>
      </c>
      <c r="U767" s="39" t="str">
        <f>IF($T767=1,COUNTIF($T$2:$T767,1),"")</f>
        <v/>
      </c>
      <c r="V767" s="39" t="str">
        <f>IF($B767="","",IF(COUNTIF($B$2:$B767,$B767)=1,1,0))</f>
        <v/>
      </c>
      <c r="W767" s="39" t="str">
        <f>IF($V767=1,COUNTIF($V$2:$V767,1),"")</f>
        <v/>
      </c>
      <c r="X767" s="39" t="str">
        <f>IF($A767="","",IF(COUNTIF($A$2:$A767,$A767)=1,1,0))</f>
        <v/>
      </c>
      <c r="Y767" s="39" t="str">
        <f>IF($X767=1,COUNTIF($X$2:$X767,1),"")</f>
        <v/>
      </c>
      <c r="Z767" s="39">
        <f>IF(AND($E767="timed",$N767&gt;Settings!$C$8),1,0)</f>
        <v>0</v>
      </c>
      <c r="AA767" s="39">
        <f t="shared" si="202"/>
        <v>0</v>
      </c>
      <c r="AB767" s="39">
        <f t="shared" si="203"/>
        <v>0</v>
      </c>
      <c r="AC767" s="39" t="str">
        <f t="shared" si="204"/>
        <v/>
      </c>
      <c r="AD767" s="39" t="str">
        <f t="shared" si="205"/>
        <v/>
      </c>
      <c r="AE767" s="39" t="str">
        <f t="shared" si="206"/>
        <v/>
      </c>
      <c r="AF767" s="106" t="str">
        <f t="shared" si="207"/>
        <v/>
      </c>
      <c r="AG767" s="39">
        <f t="shared" si="208"/>
        <v>0</v>
      </c>
      <c r="AH767" s="39" t="str">
        <f t="shared" si="209"/>
        <v/>
      </c>
      <c r="AI767" s="39">
        <f>IF(AND($E767="timed",$N767&gt;=Settings!$C$9),1,0)</f>
        <v>0</v>
      </c>
      <c r="AJ767" s="39" t="str">
        <f>IF(OR($S767="",Settings!$C$16=""),"",IF($S767&lt;=Settings!$C$16,1,2))</f>
        <v/>
      </c>
      <c r="AK767" s="39" t="str">
        <f>IF($C767="","",IFERROR(IF(INDEX(Settings!$C$20:$C$59,MATCH($C767,Settings!$B$20:$B$59,0))="",Settings!$C$10,INDEX(Settings!$C$20:$C$59,MATCH($C767,Settings!$B$20:$B$59,0))),Settings!$C$10))</f>
        <v/>
      </c>
      <c r="AL767" s="108">
        <f t="shared" si="210"/>
        <v>0</v>
      </c>
      <c r="AM767" s="39" t="str">
        <f t="shared" si="211"/>
        <v/>
      </c>
      <c r="AN767" s="39" t="str">
        <f t="shared" si="212"/>
        <v/>
      </c>
      <c r="AO767" s="39" t="str">
        <f t="shared" si="213"/>
        <v/>
      </c>
      <c r="AP767" s="39">
        <f t="shared" si="214"/>
        <v>0</v>
      </c>
      <c r="AQ767" s="39">
        <f t="shared" si="215"/>
        <v>0</v>
      </c>
    </row>
    <row r="768" spans="14:43" x14ac:dyDescent="0.25">
      <c r="N768" s="105">
        <f t="shared" si="198"/>
        <v>0</v>
      </c>
      <c r="O768" s="106" t="str">
        <f>IF($F768="","",IF(ISNUMBER($F768),$F768+Settings!$C$7/24,IFERROR(DATEVALUE(LEFT($F768,10))+TIMEVALUE(MID($F768,12,8))+Settings!$C$7/24,"")))</f>
        <v/>
      </c>
      <c r="P768" s="106" t="str">
        <f>IF($G768="","",IF(ISNUMBER($G768),$G768+Settings!$C$7/24,IFERROR(DATEVALUE(LEFT($G768,10))+TIMEVALUE(MID($G768,12,8))+Settings!$C$7/24,"")))</f>
        <v/>
      </c>
      <c r="Q768" s="39" t="str">
        <f t="shared" si="199"/>
        <v/>
      </c>
      <c r="R768" s="39" t="str">
        <f t="shared" si="200"/>
        <v/>
      </c>
      <c r="S768" s="107" t="str">
        <f t="shared" si="201"/>
        <v/>
      </c>
      <c r="T768" s="39" t="str">
        <f>IF($C768="","",IF(COUNTIF($C$2:$C768,$C768)=1,1,0))</f>
        <v/>
      </c>
      <c r="U768" s="39" t="str">
        <f>IF($T768=1,COUNTIF($T$2:$T768,1),"")</f>
        <v/>
      </c>
      <c r="V768" s="39" t="str">
        <f>IF($B768="","",IF(COUNTIF($B$2:$B768,$B768)=1,1,0))</f>
        <v/>
      </c>
      <c r="W768" s="39" t="str">
        <f>IF($V768=1,COUNTIF($V$2:$V768,1),"")</f>
        <v/>
      </c>
      <c r="X768" s="39" t="str">
        <f>IF($A768="","",IF(COUNTIF($A$2:$A768,$A768)=1,1,0))</f>
        <v/>
      </c>
      <c r="Y768" s="39" t="str">
        <f>IF($X768=1,COUNTIF($X$2:$X768,1),"")</f>
        <v/>
      </c>
      <c r="Z768" s="39">
        <f>IF(AND($E768="timed",$N768&gt;Settings!$C$8),1,0)</f>
        <v>0</v>
      </c>
      <c r="AA768" s="39">
        <f t="shared" si="202"/>
        <v>0</v>
      </c>
      <c r="AB768" s="39">
        <f t="shared" si="203"/>
        <v>0</v>
      </c>
      <c r="AC768" s="39" t="str">
        <f t="shared" si="204"/>
        <v/>
      </c>
      <c r="AD768" s="39" t="str">
        <f t="shared" si="205"/>
        <v/>
      </c>
      <c r="AE768" s="39" t="str">
        <f t="shared" si="206"/>
        <v/>
      </c>
      <c r="AF768" s="106" t="str">
        <f t="shared" si="207"/>
        <v/>
      </c>
      <c r="AG768" s="39">
        <f t="shared" si="208"/>
        <v>0</v>
      </c>
      <c r="AH768" s="39" t="str">
        <f t="shared" si="209"/>
        <v/>
      </c>
      <c r="AI768" s="39">
        <f>IF(AND($E768="timed",$N768&gt;=Settings!$C$9),1,0)</f>
        <v>0</v>
      </c>
      <c r="AJ768" s="39" t="str">
        <f>IF(OR($S768="",Settings!$C$16=""),"",IF($S768&lt;=Settings!$C$16,1,2))</f>
        <v/>
      </c>
      <c r="AK768" s="39" t="str">
        <f>IF($C768="","",IFERROR(IF(INDEX(Settings!$C$20:$C$59,MATCH($C768,Settings!$B$20:$B$59,0))="",Settings!$C$10,INDEX(Settings!$C$20:$C$59,MATCH($C768,Settings!$B$20:$B$59,0))),Settings!$C$10))</f>
        <v/>
      </c>
      <c r="AL768" s="108">
        <f t="shared" si="210"/>
        <v>0</v>
      </c>
      <c r="AM768" s="39" t="str">
        <f t="shared" si="211"/>
        <v/>
      </c>
      <c r="AN768" s="39" t="str">
        <f t="shared" si="212"/>
        <v/>
      </c>
      <c r="AO768" s="39" t="str">
        <f t="shared" si="213"/>
        <v/>
      </c>
      <c r="AP768" s="39">
        <f t="shared" si="214"/>
        <v>0</v>
      </c>
      <c r="AQ768" s="39">
        <f t="shared" si="215"/>
        <v>0</v>
      </c>
    </row>
    <row r="769" spans="14:43" x14ac:dyDescent="0.25">
      <c r="N769" s="105">
        <f t="shared" si="198"/>
        <v>0</v>
      </c>
      <c r="O769" s="106" t="str">
        <f>IF($F769="","",IF(ISNUMBER($F769),$F769+Settings!$C$7/24,IFERROR(DATEVALUE(LEFT($F769,10))+TIMEVALUE(MID($F769,12,8))+Settings!$C$7/24,"")))</f>
        <v/>
      </c>
      <c r="P769" s="106" t="str">
        <f>IF($G769="","",IF(ISNUMBER($G769),$G769+Settings!$C$7/24,IFERROR(DATEVALUE(LEFT($G769,10))+TIMEVALUE(MID($G769,12,8))+Settings!$C$7/24,"")))</f>
        <v/>
      </c>
      <c r="Q769" s="39" t="str">
        <f t="shared" si="199"/>
        <v/>
      </c>
      <c r="R769" s="39" t="str">
        <f t="shared" si="200"/>
        <v/>
      </c>
      <c r="S769" s="107" t="str">
        <f t="shared" si="201"/>
        <v/>
      </c>
      <c r="T769" s="39" t="str">
        <f>IF($C769="","",IF(COUNTIF($C$2:$C769,$C769)=1,1,0))</f>
        <v/>
      </c>
      <c r="U769" s="39" t="str">
        <f>IF($T769=1,COUNTIF($T$2:$T769,1),"")</f>
        <v/>
      </c>
      <c r="V769" s="39" t="str">
        <f>IF($B769="","",IF(COUNTIF($B$2:$B769,$B769)=1,1,0))</f>
        <v/>
      </c>
      <c r="W769" s="39" t="str">
        <f>IF($V769=1,COUNTIF($V$2:$V769,1),"")</f>
        <v/>
      </c>
      <c r="X769" s="39" t="str">
        <f>IF($A769="","",IF(COUNTIF($A$2:$A769,$A769)=1,1,0))</f>
        <v/>
      </c>
      <c r="Y769" s="39" t="str">
        <f>IF($X769=1,COUNTIF($X$2:$X769,1),"")</f>
        <v/>
      </c>
      <c r="Z769" s="39">
        <f>IF(AND($E769="timed",$N769&gt;Settings!$C$8),1,0)</f>
        <v>0</v>
      </c>
      <c r="AA769" s="39">
        <f t="shared" si="202"/>
        <v>0</v>
      </c>
      <c r="AB769" s="39">
        <f t="shared" si="203"/>
        <v>0</v>
      </c>
      <c r="AC769" s="39" t="str">
        <f t="shared" si="204"/>
        <v/>
      </c>
      <c r="AD769" s="39" t="str">
        <f t="shared" si="205"/>
        <v/>
      </c>
      <c r="AE769" s="39" t="str">
        <f t="shared" si="206"/>
        <v/>
      </c>
      <c r="AF769" s="106" t="str">
        <f t="shared" si="207"/>
        <v/>
      </c>
      <c r="AG769" s="39">
        <f t="shared" si="208"/>
        <v>0</v>
      </c>
      <c r="AH769" s="39" t="str">
        <f t="shared" si="209"/>
        <v/>
      </c>
      <c r="AI769" s="39">
        <f>IF(AND($E769="timed",$N769&gt;=Settings!$C$9),1,0)</f>
        <v>0</v>
      </c>
      <c r="AJ769" s="39" t="str">
        <f>IF(OR($S769="",Settings!$C$16=""),"",IF($S769&lt;=Settings!$C$16,1,2))</f>
        <v/>
      </c>
      <c r="AK769" s="39" t="str">
        <f>IF($C769="","",IFERROR(IF(INDEX(Settings!$C$20:$C$59,MATCH($C769,Settings!$B$20:$B$59,0))="",Settings!$C$10,INDEX(Settings!$C$20:$C$59,MATCH($C769,Settings!$B$20:$B$59,0))),Settings!$C$10))</f>
        <v/>
      </c>
      <c r="AL769" s="108">
        <f t="shared" si="210"/>
        <v>0</v>
      </c>
      <c r="AM769" s="39" t="str">
        <f t="shared" si="211"/>
        <v/>
      </c>
      <c r="AN769" s="39" t="str">
        <f t="shared" si="212"/>
        <v/>
      </c>
      <c r="AO769" s="39" t="str">
        <f t="shared" si="213"/>
        <v/>
      </c>
      <c r="AP769" s="39">
        <f t="shared" si="214"/>
        <v>0</v>
      </c>
      <c r="AQ769" s="39">
        <f t="shared" si="215"/>
        <v>0</v>
      </c>
    </row>
    <row r="770" spans="14:43" x14ac:dyDescent="0.25">
      <c r="N770" s="105">
        <f t="shared" ref="N770:N833" si="216">IF($E770&lt;&gt;"timed",0,IF(ISNUMBER($H770),$H770,IFERROR(VALUE($H770),0)))</f>
        <v>0</v>
      </c>
      <c r="O770" s="106" t="str">
        <f>IF($F770="","",IF(ISNUMBER($F770),$F770+Settings!$C$7/24,IFERROR(DATEVALUE(LEFT($F770,10))+TIMEVALUE(MID($F770,12,8))+Settings!$C$7/24,"")))</f>
        <v/>
      </c>
      <c r="P770" s="106" t="str">
        <f>IF($G770="","",IF(ISNUMBER($G770),$G770+Settings!$C$7/24,IFERROR(DATEVALUE(LEFT($G770,10))+TIMEVALUE(MID($G770,12,8))+Settings!$C$7/24,"")))</f>
        <v/>
      </c>
      <c r="Q770" s="39" t="str">
        <f t="shared" ref="Q770:Q833" si="217">IF($O770="","",HOUR($O770))</f>
        <v/>
      </c>
      <c r="R770" s="39" t="str">
        <f t="shared" ref="R770:R833" si="218">IF($O770="","",WEEKDAY($O770,2))</f>
        <v/>
      </c>
      <c r="S770" s="107" t="str">
        <f t="shared" ref="S770:S833" si="219">IF($A770="","",IF(ISNUMBER($A770),INT($A770),IFERROR(DATEVALUE($A770),"")))</f>
        <v/>
      </c>
      <c r="T770" s="39" t="str">
        <f>IF($C770="","",IF(COUNTIF($C$2:$C770,$C770)=1,1,0))</f>
        <v/>
      </c>
      <c r="U770" s="39" t="str">
        <f>IF($T770=1,COUNTIF($T$2:$T770,1),"")</f>
        <v/>
      </c>
      <c r="V770" s="39" t="str">
        <f>IF($B770="","",IF(COUNTIF($B$2:$B770,$B770)=1,1,0))</f>
        <v/>
      </c>
      <c r="W770" s="39" t="str">
        <f>IF($V770=1,COUNTIF($V$2:$V770,1),"")</f>
        <v/>
      </c>
      <c r="X770" s="39" t="str">
        <f>IF($A770="","",IF(COUNTIF($A$2:$A770,$A770)=1,1,0))</f>
        <v/>
      </c>
      <c r="Y770" s="39" t="str">
        <f>IF($X770=1,COUNTIF($X$2:$X770,1),"")</f>
        <v/>
      </c>
      <c r="Z770" s="39">
        <f>IF(AND($E770="timed",$N770&gt;Settings!$C$8),1,0)</f>
        <v>0</v>
      </c>
      <c r="AA770" s="39">
        <f t="shared" ref="AA770:AA833" si="220">IF(AND($E770="timed",$G770=""),1,0)</f>
        <v>0</v>
      </c>
      <c r="AB770" s="39">
        <f t="shared" ref="AB770:AB833" si="221">IF($E770&lt;&gt;"timed",0,IF(ISNUMBER($I770),$I770,IFERROR(VALUE($I770),0)))</f>
        <v>0</v>
      </c>
      <c r="AC770" s="39" t="str">
        <f t="shared" ref="AC770:AC833" si="222">IF(OR($E770&lt;&gt;"timed",$O770=""),"",ROUND($O770*86400,0)*10000+ROW())</f>
        <v/>
      </c>
      <c r="AD770" s="39" t="str">
        <f t="shared" ref="AD770:AD833" si="223">IF($AC770="","",COUNTIF($AC$2:$AC$1201,"&lt;"&amp;$AC770)+1)</f>
        <v/>
      </c>
      <c r="AE770" s="39" t="str">
        <f t="shared" ref="AE770:AE833" si="224">IF($AD770="","",IFERROR(IF(INDEX($S$2:$S$1201,MATCH($AD770-1,$AD$2:$AD$1201,0))=$S770,INDEX($C$2:$C$1201,MATCH($AD770-1,$AD$2:$AD$1201,0)),""),""))</f>
        <v/>
      </c>
      <c r="AF770" s="106" t="str">
        <f t="shared" ref="AF770:AF833" si="225">IF($AD770="","",IFERROR(IF(INDEX($S$2:$S$1201,MATCH($AD770-1,$AD$2:$AD$1201,0))=$S770,INDEX($P$2:$P$1201,MATCH($AD770-1,$AD$2:$AD$1201,0)),""),""))</f>
        <v/>
      </c>
      <c r="AG770" s="39">
        <f t="shared" ref="AG770:AG833" si="226">IF(OR($E770&lt;&gt;"timed",$AE770=""),0,IF($AE770=$C770,0,1))</f>
        <v>0</v>
      </c>
      <c r="AH770" s="39" t="str">
        <f t="shared" ref="AH770:AH833" si="227">IF(OR($AF770="",$O770=""),"",MAX(0,ROUND(($O770-$AF770)*1440,0)))</f>
        <v/>
      </c>
      <c r="AI770" s="39">
        <f>IF(AND($E770="timed",$N770&gt;=Settings!$C$9),1,0)</f>
        <v>0</v>
      </c>
      <c r="AJ770" s="39" t="str">
        <f>IF(OR($S770="",Settings!$C$16=""),"",IF($S770&lt;=Settings!$C$16,1,2))</f>
        <v/>
      </c>
      <c r="AK770" s="39" t="str">
        <f>IF($C770="","",IFERROR(IF(INDEX(Settings!$C$20:$C$59,MATCH($C770,Settings!$B$20:$B$59,0))="",Settings!$C$10,INDEX(Settings!$C$20:$C$59,MATCH($C770,Settings!$B$20:$B$59,0))),Settings!$C$10))</f>
        <v/>
      </c>
      <c r="AL770" s="108">
        <f t="shared" ref="AL770:AL833" si="228">IF(OR($N770=0,$AK770=""),0,ROUND($N770/60*$AK770,2))</f>
        <v>0</v>
      </c>
      <c r="AM770" s="39" t="str">
        <f t="shared" ref="AM770:AM833" si="229">IF($AD770="","",IFERROR(INDEX($S$2:$S$1201,MATCH($AD770-1,$AD$2:$AD$1201,0)),""))</f>
        <v/>
      </c>
      <c r="AN770" s="39" t="str">
        <f t="shared" ref="AN770:AN833" si="230">IF($Z770=1,$N770+ROW()/1000000,"")</f>
        <v/>
      </c>
      <c r="AO770" s="39" t="str">
        <f t="shared" ref="AO770:AO833" si="231">IF(OR($E770&lt;&gt;"timed",$P770=""),"",ROUND($P770*86400,0)*10000+ROW())</f>
        <v/>
      </c>
      <c r="AP770" s="39">
        <f t="shared" ref="AP770:AP833" si="232">IF($AC770="",0,IF(COUNTIFS($S$2:$S$1201,$S770,$AC$2:$AC$1201,"&lt;"&amp;$AC770)=0,1,0))</f>
        <v>0</v>
      </c>
      <c r="AQ770" s="39">
        <f t="shared" ref="AQ770:AQ833" si="233">IF($AO770="",0,IF(COUNTIFS($S$2:$S$1201,$S770,$AO$2:$AO$1201,"&gt;"&amp;$AO770)=0,1,0))</f>
        <v>0</v>
      </c>
    </row>
    <row r="771" spans="14:43" x14ac:dyDescent="0.25">
      <c r="N771" s="105">
        <f t="shared" si="216"/>
        <v>0</v>
      </c>
      <c r="O771" s="106" t="str">
        <f>IF($F771="","",IF(ISNUMBER($F771),$F771+Settings!$C$7/24,IFERROR(DATEVALUE(LEFT($F771,10))+TIMEVALUE(MID($F771,12,8))+Settings!$C$7/24,"")))</f>
        <v/>
      </c>
      <c r="P771" s="106" t="str">
        <f>IF($G771="","",IF(ISNUMBER($G771),$G771+Settings!$C$7/24,IFERROR(DATEVALUE(LEFT($G771,10))+TIMEVALUE(MID($G771,12,8))+Settings!$C$7/24,"")))</f>
        <v/>
      </c>
      <c r="Q771" s="39" t="str">
        <f t="shared" si="217"/>
        <v/>
      </c>
      <c r="R771" s="39" t="str">
        <f t="shared" si="218"/>
        <v/>
      </c>
      <c r="S771" s="107" t="str">
        <f t="shared" si="219"/>
        <v/>
      </c>
      <c r="T771" s="39" t="str">
        <f>IF($C771="","",IF(COUNTIF($C$2:$C771,$C771)=1,1,0))</f>
        <v/>
      </c>
      <c r="U771" s="39" t="str">
        <f>IF($T771=1,COUNTIF($T$2:$T771,1),"")</f>
        <v/>
      </c>
      <c r="V771" s="39" t="str">
        <f>IF($B771="","",IF(COUNTIF($B$2:$B771,$B771)=1,1,0))</f>
        <v/>
      </c>
      <c r="W771" s="39" t="str">
        <f>IF($V771=1,COUNTIF($V$2:$V771,1),"")</f>
        <v/>
      </c>
      <c r="X771" s="39" t="str">
        <f>IF($A771="","",IF(COUNTIF($A$2:$A771,$A771)=1,1,0))</f>
        <v/>
      </c>
      <c r="Y771" s="39" t="str">
        <f>IF($X771=1,COUNTIF($X$2:$X771,1),"")</f>
        <v/>
      </c>
      <c r="Z771" s="39">
        <f>IF(AND($E771="timed",$N771&gt;Settings!$C$8),1,0)</f>
        <v>0</v>
      </c>
      <c r="AA771" s="39">
        <f t="shared" si="220"/>
        <v>0</v>
      </c>
      <c r="AB771" s="39">
        <f t="shared" si="221"/>
        <v>0</v>
      </c>
      <c r="AC771" s="39" t="str">
        <f t="shared" si="222"/>
        <v/>
      </c>
      <c r="AD771" s="39" t="str">
        <f t="shared" si="223"/>
        <v/>
      </c>
      <c r="AE771" s="39" t="str">
        <f t="shared" si="224"/>
        <v/>
      </c>
      <c r="AF771" s="106" t="str">
        <f t="shared" si="225"/>
        <v/>
      </c>
      <c r="AG771" s="39">
        <f t="shared" si="226"/>
        <v>0</v>
      </c>
      <c r="AH771" s="39" t="str">
        <f t="shared" si="227"/>
        <v/>
      </c>
      <c r="AI771" s="39">
        <f>IF(AND($E771="timed",$N771&gt;=Settings!$C$9),1,0)</f>
        <v>0</v>
      </c>
      <c r="AJ771" s="39" t="str">
        <f>IF(OR($S771="",Settings!$C$16=""),"",IF($S771&lt;=Settings!$C$16,1,2))</f>
        <v/>
      </c>
      <c r="AK771" s="39" t="str">
        <f>IF($C771="","",IFERROR(IF(INDEX(Settings!$C$20:$C$59,MATCH($C771,Settings!$B$20:$B$59,0))="",Settings!$C$10,INDEX(Settings!$C$20:$C$59,MATCH($C771,Settings!$B$20:$B$59,0))),Settings!$C$10))</f>
        <v/>
      </c>
      <c r="AL771" s="108">
        <f t="shared" si="228"/>
        <v>0</v>
      </c>
      <c r="AM771" s="39" t="str">
        <f t="shared" si="229"/>
        <v/>
      </c>
      <c r="AN771" s="39" t="str">
        <f t="shared" si="230"/>
        <v/>
      </c>
      <c r="AO771" s="39" t="str">
        <f t="shared" si="231"/>
        <v/>
      </c>
      <c r="AP771" s="39">
        <f t="shared" si="232"/>
        <v>0</v>
      </c>
      <c r="AQ771" s="39">
        <f t="shared" si="233"/>
        <v>0</v>
      </c>
    </row>
    <row r="772" spans="14:43" x14ac:dyDescent="0.25">
      <c r="N772" s="105">
        <f t="shared" si="216"/>
        <v>0</v>
      </c>
      <c r="O772" s="106" t="str">
        <f>IF($F772="","",IF(ISNUMBER($F772),$F772+Settings!$C$7/24,IFERROR(DATEVALUE(LEFT($F772,10))+TIMEVALUE(MID($F772,12,8))+Settings!$C$7/24,"")))</f>
        <v/>
      </c>
      <c r="P772" s="106" t="str">
        <f>IF($G772="","",IF(ISNUMBER($G772),$G772+Settings!$C$7/24,IFERROR(DATEVALUE(LEFT($G772,10))+TIMEVALUE(MID($G772,12,8))+Settings!$C$7/24,"")))</f>
        <v/>
      </c>
      <c r="Q772" s="39" t="str">
        <f t="shared" si="217"/>
        <v/>
      </c>
      <c r="R772" s="39" t="str">
        <f t="shared" si="218"/>
        <v/>
      </c>
      <c r="S772" s="107" t="str">
        <f t="shared" si="219"/>
        <v/>
      </c>
      <c r="T772" s="39" t="str">
        <f>IF($C772="","",IF(COUNTIF($C$2:$C772,$C772)=1,1,0))</f>
        <v/>
      </c>
      <c r="U772" s="39" t="str">
        <f>IF($T772=1,COUNTIF($T$2:$T772,1),"")</f>
        <v/>
      </c>
      <c r="V772" s="39" t="str">
        <f>IF($B772="","",IF(COUNTIF($B$2:$B772,$B772)=1,1,0))</f>
        <v/>
      </c>
      <c r="W772" s="39" t="str">
        <f>IF($V772=1,COUNTIF($V$2:$V772,1),"")</f>
        <v/>
      </c>
      <c r="X772" s="39" t="str">
        <f>IF($A772="","",IF(COUNTIF($A$2:$A772,$A772)=1,1,0))</f>
        <v/>
      </c>
      <c r="Y772" s="39" t="str">
        <f>IF($X772=1,COUNTIF($X$2:$X772,1),"")</f>
        <v/>
      </c>
      <c r="Z772" s="39">
        <f>IF(AND($E772="timed",$N772&gt;Settings!$C$8),1,0)</f>
        <v>0</v>
      </c>
      <c r="AA772" s="39">
        <f t="shared" si="220"/>
        <v>0</v>
      </c>
      <c r="AB772" s="39">
        <f t="shared" si="221"/>
        <v>0</v>
      </c>
      <c r="AC772" s="39" t="str">
        <f t="shared" si="222"/>
        <v/>
      </c>
      <c r="AD772" s="39" t="str">
        <f t="shared" si="223"/>
        <v/>
      </c>
      <c r="AE772" s="39" t="str">
        <f t="shared" si="224"/>
        <v/>
      </c>
      <c r="AF772" s="106" t="str">
        <f t="shared" si="225"/>
        <v/>
      </c>
      <c r="AG772" s="39">
        <f t="shared" si="226"/>
        <v>0</v>
      </c>
      <c r="AH772" s="39" t="str">
        <f t="shared" si="227"/>
        <v/>
      </c>
      <c r="AI772" s="39">
        <f>IF(AND($E772="timed",$N772&gt;=Settings!$C$9),1,0)</f>
        <v>0</v>
      </c>
      <c r="AJ772" s="39" t="str">
        <f>IF(OR($S772="",Settings!$C$16=""),"",IF($S772&lt;=Settings!$C$16,1,2))</f>
        <v/>
      </c>
      <c r="AK772" s="39" t="str">
        <f>IF($C772="","",IFERROR(IF(INDEX(Settings!$C$20:$C$59,MATCH($C772,Settings!$B$20:$B$59,0))="",Settings!$C$10,INDEX(Settings!$C$20:$C$59,MATCH($C772,Settings!$B$20:$B$59,0))),Settings!$C$10))</f>
        <v/>
      </c>
      <c r="AL772" s="108">
        <f t="shared" si="228"/>
        <v>0</v>
      </c>
      <c r="AM772" s="39" t="str">
        <f t="shared" si="229"/>
        <v/>
      </c>
      <c r="AN772" s="39" t="str">
        <f t="shared" si="230"/>
        <v/>
      </c>
      <c r="AO772" s="39" t="str">
        <f t="shared" si="231"/>
        <v/>
      </c>
      <c r="AP772" s="39">
        <f t="shared" si="232"/>
        <v>0</v>
      </c>
      <c r="AQ772" s="39">
        <f t="shared" si="233"/>
        <v>0</v>
      </c>
    </row>
    <row r="773" spans="14:43" x14ac:dyDescent="0.25">
      <c r="N773" s="105">
        <f t="shared" si="216"/>
        <v>0</v>
      </c>
      <c r="O773" s="106" t="str">
        <f>IF($F773="","",IF(ISNUMBER($F773),$F773+Settings!$C$7/24,IFERROR(DATEVALUE(LEFT($F773,10))+TIMEVALUE(MID($F773,12,8))+Settings!$C$7/24,"")))</f>
        <v/>
      </c>
      <c r="P773" s="106" t="str">
        <f>IF($G773="","",IF(ISNUMBER($G773),$G773+Settings!$C$7/24,IFERROR(DATEVALUE(LEFT($G773,10))+TIMEVALUE(MID($G773,12,8))+Settings!$C$7/24,"")))</f>
        <v/>
      </c>
      <c r="Q773" s="39" t="str">
        <f t="shared" si="217"/>
        <v/>
      </c>
      <c r="R773" s="39" t="str">
        <f t="shared" si="218"/>
        <v/>
      </c>
      <c r="S773" s="107" t="str">
        <f t="shared" si="219"/>
        <v/>
      </c>
      <c r="T773" s="39" t="str">
        <f>IF($C773="","",IF(COUNTIF($C$2:$C773,$C773)=1,1,0))</f>
        <v/>
      </c>
      <c r="U773" s="39" t="str">
        <f>IF($T773=1,COUNTIF($T$2:$T773,1),"")</f>
        <v/>
      </c>
      <c r="V773" s="39" t="str">
        <f>IF($B773="","",IF(COUNTIF($B$2:$B773,$B773)=1,1,0))</f>
        <v/>
      </c>
      <c r="W773" s="39" t="str">
        <f>IF($V773=1,COUNTIF($V$2:$V773,1),"")</f>
        <v/>
      </c>
      <c r="X773" s="39" t="str">
        <f>IF($A773="","",IF(COUNTIF($A$2:$A773,$A773)=1,1,0))</f>
        <v/>
      </c>
      <c r="Y773" s="39" t="str">
        <f>IF($X773=1,COUNTIF($X$2:$X773,1),"")</f>
        <v/>
      </c>
      <c r="Z773" s="39">
        <f>IF(AND($E773="timed",$N773&gt;Settings!$C$8),1,0)</f>
        <v>0</v>
      </c>
      <c r="AA773" s="39">
        <f t="shared" si="220"/>
        <v>0</v>
      </c>
      <c r="AB773" s="39">
        <f t="shared" si="221"/>
        <v>0</v>
      </c>
      <c r="AC773" s="39" t="str">
        <f t="shared" si="222"/>
        <v/>
      </c>
      <c r="AD773" s="39" t="str">
        <f t="shared" si="223"/>
        <v/>
      </c>
      <c r="AE773" s="39" t="str">
        <f t="shared" si="224"/>
        <v/>
      </c>
      <c r="AF773" s="106" t="str">
        <f t="shared" si="225"/>
        <v/>
      </c>
      <c r="AG773" s="39">
        <f t="shared" si="226"/>
        <v>0</v>
      </c>
      <c r="AH773" s="39" t="str">
        <f t="shared" si="227"/>
        <v/>
      </c>
      <c r="AI773" s="39">
        <f>IF(AND($E773="timed",$N773&gt;=Settings!$C$9),1,0)</f>
        <v>0</v>
      </c>
      <c r="AJ773" s="39" t="str">
        <f>IF(OR($S773="",Settings!$C$16=""),"",IF($S773&lt;=Settings!$C$16,1,2))</f>
        <v/>
      </c>
      <c r="AK773" s="39" t="str">
        <f>IF($C773="","",IFERROR(IF(INDEX(Settings!$C$20:$C$59,MATCH($C773,Settings!$B$20:$B$59,0))="",Settings!$C$10,INDEX(Settings!$C$20:$C$59,MATCH($C773,Settings!$B$20:$B$59,0))),Settings!$C$10))</f>
        <v/>
      </c>
      <c r="AL773" s="108">
        <f t="shared" si="228"/>
        <v>0</v>
      </c>
      <c r="AM773" s="39" t="str">
        <f t="shared" si="229"/>
        <v/>
      </c>
      <c r="AN773" s="39" t="str">
        <f t="shared" si="230"/>
        <v/>
      </c>
      <c r="AO773" s="39" t="str">
        <f t="shared" si="231"/>
        <v/>
      </c>
      <c r="AP773" s="39">
        <f t="shared" si="232"/>
        <v>0</v>
      </c>
      <c r="AQ773" s="39">
        <f t="shared" si="233"/>
        <v>0</v>
      </c>
    </row>
    <row r="774" spans="14:43" x14ac:dyDescent="0.25">
      <c r="N774" s="105">
        <f t="shared" si="216"/>
        <v>0</v>
      </c>
      <c r="O774" s="106" t="str">
        <f>IF($F774="","",IF(ISNUMBER($F774),$F774+Settings!$C$7/24,IFERROR(DATEVALUE(LEFT($F774,10))+TIMEVALUE(MID($F774,12,8))+Settings!$C$7/24,"")))</f>
        <v/>
      </c>
      <c r="P774" s="106" t="str">
        <f>IF($G774="","",IF(ISNUMBER($G774),$G774+Settings!$C$7/24,IFERROR(DATEVALUE(LEFT($G774,10))+TIMEVALUE(MID($G774,12,8))+Settings!$C$7/24,"")))</f>
        <v/>
      </c>
      <c r="Q774" s="39" t="str">
        <f t="shared" si="217"/>
        <v/>
      </c>
      <c r="R774" s="39" t="str">
        <f t="shared" si="218"/>
        <v/>
      </c>
      <c r="S774" s="107" t="str">
        <f t="shared" si="219"/>
        <v/>
      </c>
      <c r="T774" s="39" t="str">
        <f>IF($C774="","",IF(COUNTIF($C$2:$C774,$C774)=1,1,0))</f>
        <v/>
      </c>
      <c r="U774" s="39" t="str">
        <f>IF($T774=1,COUNTIF($T$2:$T774,1),"")</f>
        <v/>
      </c>
      <c r="V774" s="39" t="str">
        <f>IF($B774="","",IF(COUNTIF($B$2:$B774,$B774)=1,1,0))</f>
        <v/>
      </c>
      <c r="W774" s="39" t="str">
        <f>IF($V774=1,COUNTIF($V$2:$V774,1),"")</f>
        <v/>
      </c>
      <c r="X774" s="39" t="str">
        <f>IF($A774="","",IF(COUNTIF($A$2:$A774,$A774)=1,1,0))</f>
        <v/>
      </c>
      <c r="Y774" s="39" t="str">
        <f>IF($X774=1,COUNTIF($X$2:$X774,1),"")</f>
        <v/>
      </c>
      <c r="Z774" s="39">
        <f>IF(AND($E774="timed",$N774&gt;Settings!$C$8),1,0)</f>
        <v>0</v>
      </c>
      <c r="AA774" s="39">
        <f t="shared" si="220"/>
        <v>0</v>
      </c>
      <c r="AB774" s="39">
        <f t="shared" si="221"/>
        <v>0</v>
      </c>
      <c r="AC774" s="39" t="str">
        <f t="shared" si="222"/>
        <v/>
      </c>
      <c r="AD774" s="39" t="str">
        <f t="shared" si="223"/>
        <v/>
      </c>
      <c r="AE774" s="39" t="str">
        <f t="shared" si="224"/>
        <v/>
      </c>
      <c r="AF774" s="106" t="str">
        <f t="shared" si="225"/>
        <v/>
      </c>
      <c r="AG774" s="39">
        <f t="shared" si="226"/>
        <v>0</v>
      </c>
      <c r="AH774" s="39" t="str">
        <f t="shared" si="227"/>
        <v/>
      </c>
      <c r="AI774" s="39">
        <f>IF(AND($E774="timed",$N774&gt;=Settings!$C$9),1,0)</f>
        <v>0</v>
      </c>
      <c r="AJ774" s="39" t="str">
        <f>IF(OR($S774="",Settings!$C$16=""),"",IF($S774&lt;=Settings!$C$16,1,2))</f>
        <v/>
      </c>
      <c r="AK774" s="39" t="str">
        <f>IF($C774="","",IFERROR(IF(INDEX(Settings!$C$20:$C$59,MATCH($C774,Settings!$B$20:$B$59,0))="",Settings!$C$10,INDEX(Settings!$C$20:$C$59,MATCH($C774,Settings!$B$20:$B$59,0))),Settings!$C$10))</f>
        <v/>
      </c>
      <c r="AL774" s="108">
        <f t="shared" si="228"/>
        <v>0</v>
      </c>
      <c r="AM774" s="39" t="str">
        <f t="shared" si="229"/>
        <v/>
      </c>
      <c r="AN774" s="39" t="str">
        <f t="shared" si="230"/>
        <v/>
      </c>
      <c r="AO774" s="39" t="str">
        <f t="shared" si="231"/>
        <v/>
      </c>
      <c r="AP774" s="39">
        <f t="shared" si="232"/>
        <v>0</v>
      </c>
      <c r="AQ774" s="39">
        <f t="shared" si="233"/>
        <v>0</v>
      </c>
    </row>
    <row r="775" spans="14:43" x14ac:dyDescent="0.25">
      <c r="N775" s="105">
        <f t="shared" si="216"/>
        <v>0</v>
      </c>
      <c r="O775" s="106" t="str">
        <f>IF($F775="","",IF(ISNUMBER($F775),$F775+Settings!$C$7/24,IFERROR(DATEVALUE(LEFT($F775,10))+TIMEVALUE(MID($F775,12,8))+Settings!$C$7/24,"")))</f>
        <v/>
      </c>
      <c r="P775" s="106" t="str">
        <f>IF($G775="","",IF(ISNUMBER($G775),$G775+Settings!$C$7/24,IFERROR(DATEVALUE(LEFT($G775,10))+TIMEVALUE(MID($G775,12,8))+Settings!$C$7/24,"")))</f>
        <v/>
      </c>
      <c r="Q775" s="39" t="str">
        <f t="shared" si="217"/>
        <v/>
      </c>
      <c r="R775" s="39" t="str">
        <f t="shared" si="218"/>
        <v/>
      </c>
      <c r="S775" s="107" t="str">
        <f t="shared" si="219"/>
        <v/>
      </c>
      <c r="T775" s="39" t="str">
        <f>IF($C775="","",IF(COUNTIF($C$2:$C775,$C775)=1,1,0))</f>
        <v/>
      </c>
      <c r="U775" s="39" t="str">
        <f>IF($T775=1,COUNTIF($T$2:$T775,1),"")</f>
        <v/>
      </c>
      <c r="V775" s="39" t="str">
        <f>IF($B775="","",IF(COUNTIF($B$2:$B775,$B775)=1,1,0))</f>
        <v/>
      </c>
      <c r="W775" s="39" t="str">
        <f>IF($V775=1,COUNTIF($V$2:$V775,1),"")</f>
        <v/>
      </c>
      <c r="X775" s="39" t="str">
        <f>IF($A775="","",IF(COUNTIF($A$2:$A775,$A775)=1,1,0))</f>
        <v/>
      </c>
      <c r="Y775" s="39" t="str">
        <f>IF($X775=1,COUNTIF($X$2:$X775,1),"")</f>
        <v/>
      </c>
      <c r="Z775" s="39">
        <f>IF(AND($E775="timed",$N775&gt;Settings!$C$8),1,0)</f>
        <v>0</v>
      </c>
      <c r="AA775" s="39">
        <f t="shared" si="220"/>
        <v>0</v>
      </c>
      <c r="AB775" s="39">
        <f t="shared" si="221"/>
        <v>0</v>
      </c>
      <c r="AC775" s="39" t="str">
        <f t="shared" si="222"/>
        <v/>
      </c>
      <c r="AD775" s="39" t="str">
        <f t="shared" si="223"/>
        <v/>
      </c>
      <c r="AE775" s="39" t="str">
        <f t="shared" si="224"/>
        <v/>
      </c>
      <c r="AF775" s="106" t="str">
        <f t="shared" si="225"/>
        <v/>
      </c>
      <c r="AG775" s="39">
        <f t="shared" si="226"/>
        <v>0</v>
      </c>
      <c r="AH775" s="39" t="str">
        <f t="shared" si="227"/>
        <v/>
      </c>
      <c r="AI775" s="39">
        <f>IF(AND($E775="timed",$N775&gt;=Settings!$C$9),1,0)</f>
        <v>0</v>
      </c>
      <c r="AJ775" s="39" t="str">
        <f>IF(OR($S775="",Settings!$C$16=""),"",IF($S775&lt;=Settings!$C$16,1,2))</f>
        <v/>
      </c>
      <c r="AK775" s="39" t="str">
        <f>IF($C775="","",IFERROR(IF(INDEX(Settings!$C$20:$C$59,MATCH($C775,Settings!$B$20:$B$59,0))="",Settings!$C$10,INDEX(Settings!$C$20:$C$59,MATCH($C775,Settings!$B$20:$B$59,0))),Settings!$C$10))</f>
        <v/>
      </c>
      <c r="AL775" s="108">
        <f t="shared" si="228"/>
        <v>0</v>
      </c>
      <c r="AM775" s="39" t="str">
        <f t="shared" si="229"/>
        <v/>
      </c>
      <c r="AN775" s="39" t="str">
        <f t="shared" si="230"/>
        <v/>
      </c>
      <c r="AO775" s="39" t="str">
        <f t="shared" si="231"/>
        <v/>
      </c>
      <c r="AP775" s="39">
        <f t="shared" si="232"/>
        <v>0</v>
      </c>
      <c r="AQ775" s="39">
        <f t="shared" si="233"/>
        <v>0</v>
      </c>
    </row>
    <row r="776" spans="14:43" x14ac:dyDescent="0.25">
      <c r="N776" s="105">
        <f t="shared" si="216"/>
        <v>0</v>
      </c>
      <c r="O776" s="106" t="str">
        <f>IF($F776="","",IF(ISNUMBER($F776),$F776+Settings!$C$7/24,IFERROR(DATEVALUE(LEFT($F776,10))+TIMEVALUE(MID($F776,12,8))+Settings!$C$7/24,"")))</f>
        <v/>
      </c>
      <c r="P776" s="106" t="str">
        <f>IF($G776="","",IF(ISNUMBER($G776),$G776+Settings!$C$7/24,IFERROR(DATEVALUE(LEFT($G776,10))+TIMEVALUE(MID($G776,12,8))+Settings!$C$7/24,"")))</f>
        <v/>
      </c>
      <c r="Q776" s="39" t="str">
        <f t="shared" si="217"/>
        <v/>
      </c>
      <c r="R776" s="39" t="str">
        <f t="shared" si="218"/>
        <v/>
      </c>
      <c r="S776" s="107" t="str">
        <f t="shared" si="219"/>
        <v/>
      </c>
      <c r="T776" s="39" t="str">
        <f>IF($C776="","",IF(COUNTIF($C$2:$C776,$C776)=1,1,0))</f>
        <v/>
      </c>
      <c r="U776" s="39" t="str">
        <f>IF($T776=1,COUNTIF($T$2:$T776,1),"")</f>
        <v/>
      </c>
      <c r="V776" s="39" t="str">
        <f>IF($B776="","",IF(COUNTIF($B$2:$B776,$B776)=1,1,0))</f>
        <v/>
      </c>
      <c r="W776" s="39" t="str">
        <f>IF($V776=1,COUNTIF($V$2:$V776,1),"")</f>
        <v/>
      </c>
      <c r="X776" s="39" t="str">
        <f>IF($A776="","",IF(COUNTIF($A$2:$A776,$A776)=1,1,0))</f>
        <v/>
      </c>
      <c r="Y776" s="39" t="str">
        <f>IF($X776=1,COUNTIF($X$2:$X776,1),"")</f>
        <v/>
      </c>
      <c r="Z776" s="39">
        <f>IF(AND($E776="timed",$N776&gt;Settings!$C$8),1,0)</f>
        <v>0</v>
      </c>
      <c r="AA776" s="39">
        <f t="shared" si="220"/>
        <v>0</v>
      </c>
      <c r="AB776" s="39">
        <f t="shared" si="221"/>
        <v>0</v>
      </c>
      <c r="AC776" s="39" t="str">
        <f t="shared" si="222"/>
        <v/>
      </c>
      <c r="AD776" s="39" t="str">
        <f t="shared" si="223"/>
        <v/>
      </c>
      <c r="AE776" s="39" t="str">
        <f t="shared" si="224"/>
        <v/>
      </c>
      <c r="AF776" s="106" t="str">
        <f t="shared" si="225"/>
        <v/>
      </c>
      <c r="AG776" s="39">
        <f t="shared" si="226"/>
        <v>0</v>
      </c>
      <c r="AH776" s="39" t="str">
        <f t="shared" si="227"/>
        <v/>
      </c>
      <c r="AI776" s="39">
        <f>IF(AND($E776="timed",$N776&gt;=Settings!$C$9),1,0)</f>
        <v>0</v>
      </c>
      <c r="AJ776" s="39" t="str">
        <f>IF(OR($S776="",Settings!$C$16=""),"",IF($S776&lt;=Settings!$C$16,1,2))</f>
        <v/>
      </c>
      <c r="AK776" s="39" t="str">
        <f>IF($C776="","",IFERROR(IF(INDEX(Settings!$C$20:$C$59,MATCH($C776,Settings!$B$20:$B$59,0))="",Settings!$C$10,INDEX(Settings!$C$20:$C$59,MATCH($C776,Settings!$B$20:$B$59,0))),Settings!$C$10))</f>
        <v/>
      </c>
      <c r="AL776" s="108">
        <f t="shared" si="228"/>
        <v>0</v>
      </c>
      <c r="AM776" s="39" t="str">
        <f t="shared" si="229"/>
        <v/>
      </c>
      <c r="AN776" s="39" t="str">
        <f t="shared" si="230"/>
        <v/>
      </c>
      <c r="AO776" s="39" t="str">
        <f t="shared" si="231"/>
        <v/>
      </c>
      <c r="AP776" s="39">
        <f t="shared" si="232"/>
        <v>0</v>
      </c>
      <c r="AQ776" s="39">
        <f t="shared" si="233"/>
        <v>0</v>
      </c>
    </row>
    <row r="777" spans="14:43" x14ac:dyDescent="0.25">
      <c r="N777" s="105">
        <f t="shared" si="216"/>
        <v>0</v>
      </c>
      <c r="O777" s="106" t="str">
        <f>IF($F777="","",IF(ISNUMBER($F777),$F777+Settings!$C$7/24,IFERROR(DATEVALUE(LEFT($F777,10))+TIMEVALUE(MID($F777,12,8))+Settings!$C$7/24,"")))</f>
        <v/>
      </c>
      <c r="P777" s="106" t="str">
        <f>IF($G777="","",IF(ISNUMBER($G777),$G777+Settings!$C$7/24,IFERROR(DATEVALUE(LEFT($G777,10))+TIMEVALUE(MID($G777,12,8))+Settings!$C$7/24,"")))</f>
        <v/>
      </c>
      <c r="Q777" s="39" t="str">
        <f t="shared" si="217"/>
        <v/>
      </c>
      <c r="R777" s="39" t="str">
        <f t="shared" si="218"/>
        <v/>
      </c>
      <c r="S777" s="107" t="str">
        <f t="shared" si="219"/>
        <v/>
      </c>
      <c r="T777" s="39" t="str">
        <f>IF($C777="","",IF(COUNTIF($C$2:$C777,$C777)=1,1,0))</f>
        <v/>
      </c>
      <c r="U777" s="39" t="str">
        <f>IF($T777=1,COUNTIF($T$2:$T777,1),"")</f>
        <v/>
      </c>
      <c r="V777" s="39" t="str">
        <f>IF($B777="","",IF(COUNTIF($B$2:$B777,$B777)=1,1,0))</f>
        <v/>
      </c>
      <c r="W777" s="39" t="str">
        <f>IF($V777=1,COUNTIF($V$2:$V777,1),"")</f>
        <v/>
      </c>
      <c r="X777" s="39" t="str">
        <f>IF($A777="","",IF(COUNTIF($A$2:$A777,$A777)=1,1,0))</f>
        <v/>
      </c>
      <c r="Y777" s="39" t="str">
        <f>IF($X777=1,COUNTIF($X$2:$X777,1),"")</f>
        <v/>
      </c>
      <c r="Z777" s="39">
        <f>IF(AND($E777="timed",$N777&gt;Settings!$C$8),1,0)</f>
        <v>0</v>
      </c>
      <c r="AA777" s="39">
        <f t="shared" si="220"/>
        <v>0</v>
      </c>
      <c r="AB777" s="39">
        <f t="shared" si="221"/>
        <v>0</v>
      </c>
      <c r="AC777" s="39" t="str">
        <f t="shared" si="222"/>
        <v/>
      </c>
      <c r="AD777" s="39" t="str">
        <f t="shared" si="223"/>
        <v/>
      </c>
      <c r="AE777" s="39" t="str">
        <f t="shared" si="224"/>
        <v/>
      </c>
      <c r="AF777" s="106" t="str">
        <f t="shared" si="225"/>
        <v/>
      </c>
      <c r="AG777" s="39">
        <f t="shared" si="226"/>
        <v>0</v>
      </c>
      <c r="AH777" s="39" t="str">
        <f t="shared" si="227"/>
        <v/>
      </c>
      <c r="AI777" s="39">
        <f>IF(AND($E777="timed",$N777&gt;=Settings!$C$9),1,0)</f>
        <v>0</v>
      </c>
      <c r="AJ777" s="39" t="str">
        <f>IF(OR($S777="",Settings!$C$16=""),"",IF($S777&lt;=Settings!$C$16,1,2))</f>
        <v/>
      </c>
      <c r="AK777" s="39" t="str">
        <f>IF($C777="","",IFERROR(IF(INDEX(Settings!$C$20:$C$59,MATCH($C777,Settings!$B$20:$B$59,0))="",Settings!$C$10,INDEX(Settings!$C$20:$C$59,MATCH($C777,Settings!$B$20:$B$59,0))),Settings!$C$10))</f>
        <v/>
      </c>
      <c r="AL777" s="108">
        <f t="shared" si="228"/>
        <v>0</v>
      </c>
      <c r="AM777" s="39" t="str">
        <f t="shared" si="229"/>
        <v/>
      </c>
      <c r="AN777" s="39" t="str">
        <f t="shared" si="230"/>
        <v/>
      </c>
      <c r="AO777" s="39" t="str">
        <f t="shared" si="231"/>
        <v/>
      </c>
      <c r="AP777" s="39">
        <f t="shared" si="232"/>
        <v>0</v>
      </c>
      <c r="AQ777" s="39">
        <f t="shared" si="233"/>
        <v>0</v>
      </c>
    </row>
    <row r="778" spans="14:43" x14ac:dyDescent="0.25">
      <c r="N778" s="105">
        <f t="shared" si="216"/>
        <v>0</v>
      </c>
      <c r="O778" s="106" t="str">
        <f>IF($F778="","",IF(ISNUMBER($F778),$F778+Settings!$C$7/24,IFERROR(DATEVALUE(LEFT($F778,10))+TIMEVALUE(MID($F778,12,8))+Settings!$C$7/24,"")))</f>
        <v/>
      </c>
      <c r="P778" s="106" t="str">
        <f>IF($G778="","",IF(ISNUMBER($G778),$G778+Settings!$C$7/24,IFERROR(DATEVALUE(LEFT($G778,10))+TIMEVALUE(MID($G778,12,8))+Settings!$C$7/24,"")))</f>
        <v/>
      </c>
      <c r="Q778" s="39" t="str">
        <f t="shared" si="217"/>
        <v/>
      </c>
      <c r="R778" s="39" t="str">
        <f t="shared" si="218"/>
        <v/>
      </c>
      <c r="S778" s="107" t="str">
        <f t="shared" si="219"/>
        <v/>
      </c>
      <c r="T778" s="39" t="str">
        <f>IF($C778="","",IF(COUNTIF($C$2:$C778,$C778)=1,1,0))</f>
        <v/>
      </c>
      <c r="U778" s="39" t="str">
        <f>IF($T778=1,COUNTIF($T$2:$T778,1),"")</f>
        <v/>
      </c>
      <c r="V778" s="39" t="str">
        <f>IF($B778="","",IF(COUNTIF($B$2:$B778,$B778)=1,1,0))</f>
        <v/>
      </c>
      <c r="W778" s="39" t="str">
        <f>IF($V778=1,COUNTIF($V$2:$V778,1),"")</f>
        <v/>
      </c>
      <c r="X778" s="39" t="str">
        <f>IF($A778="","",IF(COUNTIF($A$2:$A778,$A778)=1,1,0))</f>
        <v/>
      </c>
      <c r="Y778" s="39" t="str">
        <f>IF($X778=1,COUNTIF($X$2:$X778,1),"")</f>
        <v/>
      </c>
      <c r="Z778" s="39">
        <f>IF(AND($E778="timed",$N778&gt;Settings!$C$8),1,0)</f>
        <v>0</v>
      </c>
      <c r="AA778" s="39">
        <f t="shared" si="220"/>
        <v>0</v>
      </c>
      <c r="AB778" s="39">
        <f t="shared" si="221"/>
        <v>0</v>
      </c>
      <c r="AC778" s="39" t="str">
        <f t="shared" si="222"/>
        <v/>
      </c>
      <c r="AD778" s="39" t="str">
        <f t="shared" si="223"/>
        <v/>
      </c>
      <c r="AE778" s="39" t="str">
        <f t="shared" si="224"/>
        <v/>
      </c>
      <c r="AF778" s="106" t="str">
        <f t="shared" si="225"/>
        <v/>
      </c>
      <c r="AG778" s="39">
        <f t="shared" si="226"/>
        <v>0</v>
      </c>
      <c r="AH778" s="39" t="str">
        <f t="shared" si="227"/>
        <v/>
      </c>
      <c r="AI778" s="39">
        <f>IF(AND($E778="timed",$N778&gt;=Settings!$C$9),1,0)</f>
        <v>0</v>
      </c>
      <c r="AJ778" s="39" t="str">
        <f>IF(OR($S778="",Settings!$C$16=""),"",IF($S778&lt;=Settings!$C$16,1,2))</f>
        <v/>
      </c>
      <c r="AK778" s="39" t="str">
        <f>IF($C778="","",IFERROR(IF(INDEX(Settings!$C$20:$C$59,MATCH($C778,Settings!$B$20:$B$59,0))="",Settings!$C$10,INDEX(Settings!$C$20:$C$59,MATCH($C778,Settings!$B$20:$B$59,0))),Settings!$C$10))</f>
        <v/>
      </c>
      <c r="AL778" s="108">
        <f t="shared" si="228"/>
        <v>0</v>
      </c>
      <c r="AM778" s="39" t="str">
        <f t="shared" si="229"/>
        <v/>
      </c>
      <c r="AN778" s="39" t="str">
        <f t="shared" si="230"/>
        <v/>
      </c>
      <c r="AO778" s="39" t="str">
        <f t="shared" si="231"/>
        <v/>
      </c>
      <c r="AP778" s="39">
        <f t="shared" si="232"/>
        <v>0</v>
      </c>
      <c r="AQ778" s="39">
        <f t="shared" si="233"/>
        <v>0</v>
      </c>
    </row>
    <row r="779" spans="14:43" x14ac:dyDescent="0.25">
      <c r="N779" s="105">
        <f t="shared" si="216"/>
        <v>0</v>
      </c>
      <c r="O779" s="106" t="str">
        <f>IF($F779="","",IF(ISNUMBER($F779),$F779+Settings!$C$7/24,IFERROR(DATEVALUE(LEFT($F779,10))+TIMEVALUE(MID($F779,12,8))+Settings!$C$7/24,"")))</f>
        <v/>
      </c>
      <c r="P779" s="106" t="str">
        <f>IF($G779="","",IF(ISNUMBER($G779),$G779+Settings!$C$7/24,IFERROR(DATEVALUE(LEFT($G779,10))+TIMEVALUE(MID($G779,12,8))+Settings!$C$7/24,"")))</f>
        <v/>
      </c>
      <c r="Q779" s="39" t="str">
        <f t="shared" si="217"/>
        <v/>
      </c>
      <c r="R779" s="39" t="str">
        <f t="shared" si="218"/>
        <v/>
      </c>
      <c r="S779" s="107" t="str">
        <f t="shared" si="219"/>
        <v/>
      </c>
      <c r="T779" s="39" t="str">
        <f>IF($C779="","",IF(COUNTIF($C$2:$C779,$C779)=1,1,0))</f>
        <v/>
      </c>
      <c r="U779" s="39" t="str">
        <f>IF($T779=1,COUNTIF($T$2:$T779,1),"")</f>
        <v/>
      </c>
      <c r="V779" s="39" t="str">
        <f>IF($B779="","",IF(COUNTIF($B$2:$B779,$B779)=1,1,0))</f>
        <v/>
      </c>
      <c r="W779" s="39" t="str">
        <f>IF($V779=1,COUNTIF($V$2:$V779,1),"")</f>
        <v/>
      </c>
      <c r="X779" s="39" t="str">
        <f>IF($A779="","",IF(COUNTIF($A$2:$A779,$A779)=1,1,0))</f>
        <v/>
      </c>
      <c r="Y779" s="39" t="str">
        <f>IF($X779=1,COUNTIF($X$2:$X779,1),"")</f>
        <v/>
      </c>
      <c r="Z779" s="39">
        <f>IF(AND($E779="timed",$N779&gt;Settings!$C$8),1,0)</f>
        <v>0</v>
      </c>
      <c r="AA779" s="39">
        <f t="shared" si="220"/>
        <v>0</v>
      </c>
      <c r="AB779" s="39">
        <f t="shared" si="221"/>
        <v>0</v>
      </c>
      <c r="AC779" s="39" t="str">
        <f t="shared" si="222"/>
        <v/>
      </c>
      <c r="AD779" s="39" t="str">
        <f t="shared" si="223"/>
        <v/>
      </c>
      <c r="AE779" s="39" t="str">
        <f t="shared" si="224"/>
        <v/>
      </c>
      <c r="AF779" s="106" t="str">
        <f t="shared" si="225"/>
        <v/>
      </c>
      <c r="AG779" s="39">
        <f t="shared" si="226"/>
        <v>0</v>
      </c>
      <c r="AH779" s="39" t="str">
        <f t="shared" si="227"/>
        <v/>
      </c>
      <c r="AI779" s="39">
        <f>IF(AND($E779="timed",$N779&gt;=Settings!$C$9),1,0)</f>
        <v>0</v>
      </c>
      <c r="AJ779" s="39" t="str">
        <f>IF(OR($S779="",Settings!$C$16=""),"",IF($S779&lt;=Settings!$C$16,1,2))</f>
        <v/>
      </c>
      <c r="AK779" s="39" t="str">
        <f>IF($C779="","",IFERROR(IF(INDEX(Settings!$C$20:$C$59,MATCH($C779,Settings!$B$20:$B$59,0))="",Settings!$C$10,INDEX(Settings!$C$20:$C$59,MATCH($C779,Settings!$B$20:$B$59,0))),Settings!$C$10))</f>
        <v/>
      </c>
      <c r="AL779" s="108">
        <f t="shared" si="228"/>
        <v>0</v>
      </c>
      <c r="AM779" s="39" t="str">
        <f t="shared" si="229"/>
        <v/>
      </c>
      <c r="AN779" s="39" t="str">
        <f t="shared" si="230"/>
        <v/>
      </c>
      <c r="AO779" s="39" t="str">
        <f t="shared" si="231"/>
        <v/>
      </c>
      <c r="AP779" s="39">
        <f t="shared" si="232"/>
        <v>0</v>
      </c>
      <c r="AQ779" s="39">
        <f t="shared" si="233"/>
        <v>0</v>
      </c>
    </row>
    <row r="780" spans="14:43" x14ac:dyDescent="0.25">
      <c r="N780" s="105">
        <f t="shared" si="216"/>
        <v>0</v>
      </c>
      <c r="O780" s="106" t="str">
        <f>IF($F780="","",IF(ISNUMBER($F780),$F780+Settings!$C$7/24,IFERROR(DATEVALUE(LEFT($F780,10))+TIMEVALUE(MID($F780,12,8))+Settings!$C$7/24,"")))</f>
        <v/>
      </c>
      <c r="P780" s="106" t="str">
        <f>IF($G780="","",IF(ISNUMBER($G780),$G780+Settings!$C$7/24,IFERROR(DATEVALUE(LEFT($G780,10))+TIMEVALUE(MID($G780,12,8))+Settings!$C$7/24,"")))</f>
        <v/>
      </c>
      <c r="Q780" s="39" t="str">
        <f t="shared" si="217"/>
        <v/>
      </c>
      <c r="R780" s="39" t="str">
        <f t="shared" si="218"/>
        <v/>
      </c>
      <c r="S780" s="107" t="str">
        <f t="shared" si="219"/>
        <v/>
      </c>
      <c r="T780" s="39" t="str">
        <f>IF($C780="","",IF(COUNTIF($C$2:$C780,$C780)=1,1,0))</f>
        <v/>
      </c>
      <c r="U780" s="39" t="str">
        <f>IF($T780=1,COUNTIF($T$2:$T780,1),"")</f>
        <v/>
      </c>
      <c r="V780" s="39" t="str">
        <f>IF($B780="","",IF(COUNTIF($B$2:$B780,$B780)=1,1,0))</f>
        <v/>
      </c>
      <c r="W780" s="39" t="str">
        <f>IF($V780=1,COUNTIF($V$2:$V780,1),"")</f>
        <v/>
      </c>
      <c r="X780" s="39" t="str">
        <f>IF($A780="","",IF(COUNTIF($A$2:$A780,$A780)=1,1,0))</f>
        <v/>
      </c>
      <c r="Y780" s="39" t="str">
        <f>IF($X780=1,COUNTIF($X$2:$X780,1),"")</f>
        <v/>
      </c>
      <c r="Z780" s="39">
        <f>IF(AND($E780="timed",$N780&gt;Settings!$C$8),1,0)</f>
        <v>0</v>
      </c>
      <c r="AA780" s="39">
        <f t="shared" si="220"/>
        <v>0</v>
      </c>
      <c r="AB780" s="39">
        <f t="shared" si="221"/>
        <v>0</v>
      </c>
      <c r="AC780" s="39" t="str">
        <f t="shared" si="222"/>
        <v/>
      </c>
      <c r="AD780" s="39" t="str">
        <f t="shared" si="223"/>
        <v/>
      </c>
      <c r="AE780" s="39" t="str">
        <f t="shared" si="224"/>
        <v/>
      </c>
      <c r="AF780" s="106" t="str">
        <f t="shared" si="225"/>
        <v/>
      </c>
      <c r="AG780" s="39">
        <f t="shared" si="226"/>
        <v>0</v>
      </c>
      <c r="AH780" s="39" t="str">
        <f t="shared" si="227"/>
        <v/>
      </c>
      <c r="AI780" s="39">
        <f>IF(AND($E780="timed",$N780&gt;=Settings!$C$9),1,0)</f>
        <v>0</v>
      </c>
      <c r="AJ780" s="39" t="str">
        <f>IF(OR($S780="",Settings!$C$16=""),"",IF($S780&lt;=Settings!$C$16,1,2))</f>
        <v/>
      </c>
      <c r="AK780" s="39" t="str">
        <f>IF($C780="","",IFERROR(IF(INDEX(Settings!$C$20:$C$59,MATCH($C780,Settings!$B$20:$B$59,0))="",Settings!$C$10,INDEX(Settings!$C$20:$C$59,MATCH($C780,Settings!$B$20:$B$59,0))),Settings!$C$10))</f>
        <v/>
      </c>
      <c r="AL780" s="108">
        <f t="shared" si="228"/>
        <v>0</v>
      </c>
      <c r="AM780" s="39" t="str">
        <f t="shared" si="229"/>
        <v/>
      </c>
      <c r="AN780" s="39" t="str">
        <f t="shared" si="230"/>
        <v/>
      </c>
      <c r="AO780" s="39" t="str">
        <f t="shared" si="231"/>
        <v/>
      </c>
      <c r="AP780" s="39">
        <f t="shared" si="232"/>
        <v>0</v>
      </c>
      <c r="AQ780" s="39">
        <f t="shared" si="233"/>
        <v>0</v>
      </c>
    </row>
    <row r="781" spans="14:43" x14ac:dyDescent="0.25">
      <c r="N781" s="105">
        <f t="shared" si="216"/>
        <v>0</v>
      </c>
      <c r="O781" s="106" t="str">
        <f>IF($F781="","",IF(ISNUMBER($F781),$F781+Settings!$C$7/24,IFERROR(DATEVALUE(LEFT($F781,10))+TIMEVALUE(MID($F781,12,8))+Settings!$C$7/24,"")))</f>
        <v/>
      </c>
      <c r="P781" s="106" t="str">
        <f>IF($G781="","",IF(ISNUMBER($G781),$G781+Settings!$C$7/24,IFERROR(DATEVALUE(LEFT($G781,10))+TIMEVALUE(MID($G781,12,8))+Settings!$C$7/24,"")))</f>
        <v/>
      </c>
      <c r="Q781" s="39" t="str">
        <f t="shared" si="217"/>
        <v/>
      </c>
      <c r="R781" s="39" t="str">
        <f t="shared" si="218"/>
        <v/>
      </c>
      <c r="S781" s="107" t="str">
        <f t="shared" si="219"/>
        <v/>
      </c>
      <c r="T781" s="39" t="str">
        <f>IF($C781="","",IF(COUNTIF($C$2:$C781,$C781)=1,1,0))</f>
        <v/>
      </c>
      <c r="U781" s="39" t="str">
        <f>IF($T781=1,COUNTIF($T$2:$T781,1),"")</f>
        <v/>
      </c>
      <c r="V781" s="39" t="str">
        <f>IF($B781="","",IF(COUNTIF($B$2:$B781,$B781)=1,1,0))</f>
        <v/>
      </c>
      <c r="W781" s="39" t="str">
        <f>IF($V781=1,COUNTIF($V$2:$V781,1),"")</f>
        <v/>
      </c>
      <c r="X781" s="39" t="str">
        <f>IF($A781="","",IF(COUNTIF($A$2:$A781,$A781)=1,1,0))</f>
        <v/>
      </c>
      <c r="Y781" s="39" t="str">
        <f>IF($X781=1,COUNTIF($X$2:$X781,1),"")</f>
        <v/>
      </c>
      <c r="Z781" s="39">
        <f>IF(AND($E781="timed",$N781&gt;Settings!$C$8),1,0)</f>
        <v>0</v>
      </c>
      <c r="AA781" s="39">
        <f t="shared" si="220"/>
        <v>0</v>
      </c>
      <c r="AB781" s="39">
        <f t="shared" si="221"/>
        <v>0</v>
      </c>
      <c r="AC781" s="39" t="str">
        <f t="shared" si="222"/>
        <v/>
      </c>
      <c r="AD781" s="39" t="str">
        <f t="shared" si="223"/>
        <v/>
      </c>
      <c r="AE781" s="39" t="str">
        <f t="shared" si="224"/>
        <v/>
      </c>
      <c r="AF781" s="106" t="str">
        <f t="shared" si="225"/>
        <v/>
      </c>
      <c r="AG781" s="39">
        <f t="shared" si="226"/>
        <v>0</v>
      </c>
      <c r="AH781" s="39" t="str">
        <f t="shared" si="227"/>
        <v/>
      </c>
      <c r="AI781" s="39">
        <f>IF(AND($E781="timed",$N781&gt;=Settings!$C$9),1,0)</f>
        <v>0</v>
      </c>
      <c r="AJ781" s="39" t="str">
        <f>IF(OR($S781="",Settings!$C$16=""),"",IF($S781&lt;=Settings!$C$16,1,2))</f>
        <v/>
      </c>
      <c r="AK781" s="39" t="str">
        <f>IF($C781="","",IFERROR(IF(INDEX(Settings!$C$20:$C$59,MATCH($C781,Settings!$B$20:$B$59,0))="",Settings!$C$10,INDEX(Settings!$C$20:$C$59,MATCH($C781,Settings!$B$20:$B$59,0))),Settings!$C$10))</f>
        <v/>
      </c>
      <c r="AL781" s="108">
        <f t="shared" si="228"/>
        <v>0</v>
      </c>
      <c r="AM781" s="39" t="str">
        <f t="shared" si="229"/>
        <v/>
      </c>
      <c r="AN781" s="39" t="str">
        <f t="shared" si="230"/>
        <v/>
      </c>
      <c r="AO781" s="39" t="str">
        <f t="shared" si="231"/>
        <v/>
      </c>
      <c r="AP781" s="39">
        <f t="shared" si="232"/>
        <v>0</v>
      </c>
      <c r="AQ781" s="39">
        <f t="shared" si="233"/>
        <v>0</v>
      </c>
    </row>
    <row r="782" spans="14:43" x14ac:dyDescent="0.25">
      <c r="N782" s="105">
        <f t="shared" si="216"/>
        <v>0</v>
      </c>
      <c r="O782" s="106" t="str">
        <f>IF($F782="","",IF(ISNUMBER($F782),$F782+Settings!$C$7/24,IFERROR(DATEVALUE(LEFT($F782,10))+TIMEVALUE(MID($F782,12,8))+Settings!$C$7/24,"")))</f>
        <v/>
      </c>
      <c r="P782" s="106" t="str">
        <f>IF($G782="","",IF(ISNUMBER($G782),$G782+Settings!$C$7/24,IFERROR(DATEVALUE(LEFT($G782,10))+TIMEVALUE(MID($G782,12,8))+Settings!$C$7/24,"")))</f>
        <v/>
      </c>
      <c r="Q782" s="39" t="str">
        <f t="shared" si="217"/>
        <v/>
      </c>
      <c r="R782" s="39" t="str">
        <f t="shared" si="218"/>
        <v/>
      </c>
      <c r="S782" s="107" t="str">
        <f t="shared" si="219"/>
        <v/>
      </c>
      <c r="T782" s="39" t="str">
        <f>IF($C782="","",IF(COUNTIF($C$2:$C782,$C782)=1,1,0))</f>
        <v/>
      </c>
      <c r="U782" s="39" t="str">
        <f>IF($T782=1,COUNTIF($T$2:$T782,1),"")</f>
        <v/>
      </c>
      <c r="V782" s="39" t="str">
        <f>IF($B782="","",IF(COUNTIF($B$2:$B782,$B782)=1,1,0))</f>
        <v/>
      </c>
      <c r="W782" s="39" t="str">
        <f>IF($V782=1,COUNTIF($V$2:$V782,1),"")</f>
        <v/>
      </c>
      <c r="X782" s="39" t="str">
        <f>IF($A782="","",IF(COUNTIF($A$2:$A782,$A782)=1,1,0))</f>
        <v/>
      </c>
      <c r="Y782" s="39" t="str">
        <f>IF($X782=1,COUNTIF($X$2:$X782,1),"")</f>
        <v/>
      </c>
      <c r="Z782" s="39">
        <f>IF(AND($E782="timed",$N782&gt;Settings!$C$8),1,0)</f>
        <v>0</v>
      </c>
      <c r="AA782" s="39">
        <f t="shared" si="220"/>
        <v>0</v>
      </c>
      <c r="AB782" s="39">
        <f t="shared" si="221"/>
        <v>0</v>
      </c>
      <c r="AC782" s="39" t="str">
        <f t="shared" si="222"/>
        <v/>
      </c>
      <c r="AD782" s="39" t="str">
        <f t="shared" si="223"/>
        <v/>
      </c>
      <c r="AE782" s="39" t="str">
        <f t="shared" si="224"/>
        <v/>
      </c>
      <c r="AF782" s="106" t="str">
        <f t="shared" si="225"/>
        <v/>
      </c>
      <c r="AG782" s="39">
        <f t="shared" si="226"/>
        <v>0</v>
      </c>
      <c r="AH782" s="39" t="str">
        <f t="shared" si="227"/>
        <v/>
      </c>
      <c r="AI782" s="39">
        <f>IF(AND($E782="timed",$N782&gt;=Settings!$C$9),1,0)</f>
        <v>0</v>
      </c>
      <c r="AJ782" s="39" t="str">
        <f>IF(OR($S782="",Settings!$C$16=""),"",IF($S782&lt;=Settings!$C$16,1,2))</f>
        <v/>
      </c>
      <c r="AK782" s="39" t="str">
        <f>IF($C782="","",IFERROR(IF(INDEX(Settings!$C$20:$C$59,MATCH($C782,Settings!$B$20:$B$59,0))="",Settings!$C$10,INDEX(Settings!$C$20:$C$59,MATCH($C782,Settings!$B$20:$B$59,0))),Settings!$C$10))</f>
        <v/>
      </c>
      <c r="AL782" s="108">
        <f t="shared" si="228"/>
        <v>0</v>
      </c>
      <c r="AM782" s="39" t="str">
        <f t="shared" si="229"/>
        <v/>
      </c>
      <c r="AN782" s="39" t="str">
        <f t="shared" si="230"/>
        <v/>
      </c>
      <c r="AO782" s="39" t="str">
        <f t="shared" si="231"/>
        <v/>
      </c>
      <c r="AP782" s="39">
        <f t="shared" si="232"/>
        <v>0</v>
      </c>
      <c r="AQ782" s="39">
        <f t="shared" si="233"/>
        <v>0</v>
      </c>
    </row>
    <row r="783" spans="14:43" x14ac:dyDescent="0.25">
      <c r="N783" s="105">
        <f t="shared" si="216"/>
        <v>0</v>
      </c>
      <c r="O783" s="106" t="str">
        <f>IF($F783="","",IF(ISNUMBER($F783),$F783+Settings!$C$7/24,IFERROR(DATEVALUE(LEFT($F783,10))+TIMEVALUE(MID($F783,12,8))+Settings!$C$7/24,"")))</f>
        <v/>
      </c>
      <c r="P783" s="106" t="str">
        <f>IF($G783="","",IF(ISNUMBER($G783),$G783+Settings!$C$7/24,IFERROR(DATEVALUE(LEFT($G783,10))+TIMEVALUE(MID($G783,12,8))+Settings!$C$7/24,"")))</f>
        <v/>
      </c>
      <c r="Q783" s="39" t="str">
        <f t="shared" si="217"/>
        <v/>
      </c>
      <c r="R783" s="39" t="str">
        <f t="shared" si="218"/>
        <v/>
      </c>
      <c r="S783" s="107" t="str">
        <f t="shared" si="219"/>
        <v/>
      </c>
      <c r="T783" s="39" t="str">
        <f>IF($C783="","",IF(COUNTIF($C$2:$C783,$C783)=1,1,0))</f>
        <v/>
      </c>
      <c r="U783" s="39" t="str">
        <f>IF($T783=1,COUNTIF($T$2:$T783,1),"")</f>
        <v/>
      </c>
      <c r="V783" s="39" t="str">
        <f>IF($B783="","",IF(COUNTIF($B$2:$B783,$B783)=1,1,0))</f>
        <v/>
      </c>
      <c r="W783" s="39" t="str">
        <f>IF($V783=1,COUNTIF($V$2:$V783,1),"")</f>
        <v/>
      </c>
      <c r="X783" s="39" t="str">
        <f>IF($A783="","",IF(COUNTIF($A$2:$A783,$A783)=1,1,0))</f>
        <v/>
      </c>
      <c r="Y783" s="39" t="str">
        <f>IF($X783=1,COUNTIF($X$2:$X783,1),"")</f>
        <v/>
      </c>
      <c r="Z783" s="39">
        <f>IF(AND($E783="timed",$N783&gt;Settings!$C$8),1,0)</f>
        <v>0</v>
      </c>
      <c r="AA783" s="39">
        <f t="shared" si="220"/>
        <v>0</v>
      </c>
      <c r="AB783" s="39">
        <f t="shared" si="221"/>
        <v>0</v>
      </c>
      <c r="AC783" s="39" t="str">
        <f t="shared" si="222"/>
        <v/>
      </c>
      <c r="AD783" s="39" t="str">
        <f t="shared" si="223"/>
        <v/>
      </c>
      <c r="AE783" s="39" t="str">
        <f t="shared" si="224"/>
        <v/>
      </c>
      <c r="AF783" s="106" t="str">
        <f t="shared" si="225"/>
        <v/>
      </c>
      <c r="AG783" s="39">
        <f t="shared" si="226"/>
        <v>0</v>
      </c>
      <c r="AH783" s="39" t="str">
        <f t="shared" si="227"/>
        <v/>
      </c>
      <c r="AI783" s="39">
        <f>IF(AND($E783="timed",$N783&gt;=Settings!$C$9),1,0)</f>
        <v>0</v>
      </c>
      <c r="AJ783" s="39" t="str">
        <f>IF(OR($S783="",Settings!$C$16=""),"",IF($S783&lt;=Settings!$C$16,1,2))</f>
        <v/>
      </c>
      <c r="AK783" s="39" t="str">
        <f>IF($C783="","",IFERROR(IF(INDEX(Settings!$C$20:$C$59,MATCH($C783,Settings!$B$20:$B$59,0))="",Settings!$C$10,INDEX(Settings!$C$20:$C$59,MATCH($C783,Settings!$B$20:$B$59,0))),Settings!$C$10))</f>
        <v/>
      </c>
      <c r="AL783" s="108">
        <f t="shared" si="228"/>
        <v>0</v>
      </c>
      <c r="AM783" s="39" t="str">
        <f t="shared" si="229"/>
        <v/>
      </c>
      <c r="AN783" s="39" t="str">
        <f t="shared" si="230"/>
        <v/>
      </c>
      <c r="AO783" s="39" t="str">
        <f t="shared" si="231"/>
        <v/>
      </c>
      <c r="AP783" s="39">
        <f t="shared" si="232"/>
        <v>0</v>
      </c>
      <c r="AQ783" s="39">
        <f t="shared" si="233"/>
        <v>0</v>
      </c>
    </row>
    <row r="784" spans="14:43" x14ac:dyDescent="0.25">
      <c r="N784" s="105">
        <f t="shared" si="216"/>
        <v>0</v>
      </c>
      <c r="O784" s="106" t="str">
        <f>IF($F784="","",IF(ISNUMBER($F784),$F784+Settings!$C$7/24,IFERROR(DATEVALUE(LEFT($F784,10))+TIMEVALUE(MID($F784,12,8))+Settings!$C$7/24,"")))</f>
        <v/>
      </c>
      <c r="P784" s="106" t="str">
        <f>IF($G784="","",IF(ISNUMBER($G784),$G784+Settings!$C$7/24,IFERROR(DATEVALUE(LEFT($G784,10))+TIMEVALUE(MID($G784,12,8))+Settings!$C$7/24,"")))</f>
        <v/>
      </c>
      <c r="Q784" s="39" t="str">
        <f t="shared" si="217"/>
        <v/>
      </c>
      <c r="R784" s="39" t="str">
        <f t="shared" si="218"/>
        <v/>
      </c>
      <c r="S784" s="107" t="str">
        <f t="shared" si="219"/>
        <v/>
      </c>
      <c r="T784" s="39" t="str">
        <f>IF($C784="","",IF(COUNTIF($C$2:$C784,$C784)=1,1,0))</f>
        <v/>
      </c>
      <c r="U784" s="39" t="str">
        <f>IF($T784=1,COUNTIF($T$2:$T784,1),"")</f>
        <v/>
      </c>
      <c r="V784" s="39" t="str">
        <f>IF($B784="","",IF(COUNTIF($B$2:$B784,$B784)=1,1,0))</f>
        <v/>
      </c>
      <c r="W784" s="39" t="str">
        <f>IF($V784=1,COUNTIF($V$2:$V784,1),"")</f>
        <v/>
      </c>
      <c r="X784" s="39" t="str">
        <f>IF($A784="","",IF(COUNTIF($A$2:$A784,$A784)=1,1,0))</f>
        <v/>
      </c>
      <c r="Y784" s="39" t="str">
        <f>IF($X784=1,COUNTIF($X$2:$X784,1),"")</f>
        <v/>
      </c>
      <c r="Z784" s="39">
        <f>IF(AND($E784="timed",$N784&gt;Settings!$C$8),1,0)</f>
        <v>0</v>
      </c>
      <c r="AA784" s="39">
        <f t="shared" si="220"/>
        <v>0</v>
      </c>
      <c r="AB784" s="39">
        <f t="shared" si="221"/>
        <v>0</v>
      </c>
      <c r="AC784" s="39" t="str">
        <f t="shared" si="222"/>
        <v/>
      </c>
      <c r="AD784" s="39" t="str">
        <f t="shared" si="223"/>
        <v/>
      </c>
      <c r="AE784" s="39" t="str">
        <f t="shared" si="224"/>
        <v/>
      </c>
      <c r="AF784" s="106" t="str">
        <f t="shared" si="225"/>
        <v/>
      </c>
      <c r="AG784" s="39">
        <f t="shared" si="226"/>
        <v>0</v>
      </c>
      <c r="AH784" s="39" t="str">
        <f t="shared" si="227"/>
        <v/>
      </c>
      <c r="AI784" s="39">
        <f>IF(AND($E784="timed",$N784&gt;=Settings!$C$9),1,0)</f>
        <v>0</v>
      </c>
      <c r="AJ784" s="39" t="str">
        <f>IF(OR($S784="",Settings!$C$16=""),"",IF($S784&lt;=Settings!$C$16,1,2))</f>
        <v/>
      </c>
      <c r="AK784" s="39" t="str">
        <f>IF($C784="","",IFERROR(IF(INDEX(Settings!$C$20:$C$59,MATCH($C784,Settings!$B$20:$B$59,0))="",Settings!$C$10,INDEX(Settings!$C$20:$C$59,MATCH($C784,Settings!$B$20:$B$59,0))),Settings!$C$10))</f>
        <v/>
      </c>
      <c r="AL784" s="108">
        <f t="shared" si="228"/>
        <v>0</v>
      </c>
      <c r="AM784" s="39" t="str">
        <f t="shared" si="229"/>
        <v/>
      </c>
      <c r="AN784" s="39" t="str">
        <f t="shared" si="230"/>
        <v/>
      </c>
      <c r="AO784" s="39" t="str">
        <f t="shared" si="231"/>
        <v/>
      </c>
      <c r="AP784" s="39">
        <f t="shared" si="232"/>
        <v>0</v>
      </c>
      <c r="AQ784" s="39">
        <f t="shared" si="233"/>
        <v>0</v>
      </c>
    </row>
    <row r="785" spans="14:43" x14ac:dyDescent="0.25">
      <c r="N785" s="105">
        <f t="shared" si="216"/>
        <v>0</v>
      </c>
      <c r="O785" s="106" t="str">
        <f>IF($F785="","",IF(ISNUMBER($F785),$F785+Settings!$C$7/24,IFERROR(DATEVALUE(LEFT($F785,10))+TIMEVALUE(MID($F785,12,8))+Settings!$C$7/24,"")))</f>
        <v/>
      </c>
      <c r="P785" s="106" t="str">
        <f>IF($G785="","",IF(ISNUMBER($G785),$G785+Settings!$C$7/24,IFERROR(DATEVALUE(LEFT($G785,10))+TIMEVALUE(MID($G785,12,8))+Settings!$C$7/24,"")))</f>
        <v/>
      </c>
      <c r="Q785" s="39" t="str">
        <f t="shared" si="217"/>
        <v/>
      </c>
      <c r="R785" s="39" t="str">
        <f t="shared" si="218"/>
        <v/>
      </c>
      <c r="S785" s="107" t="str">
        <f t="shared" si="219"/>
        <v/>
      </c>
      <c r="T785" s="39" t="str">
        <f>IF($C785="","",IF(COUNTIF($C$2:$C785,$C785)=1,1,0))</f>
        <v/>
      </c>
      <c r="U785" s="39" t="str">
        <f>IF($T785=1,COUNTIF($T$2:$T785,1),"")</f>
        <v/>
      </c>
      <c r="V785" s="39" t="str">
        <f>IF($B785="","",IF(COUNTIF($B$2:$B785,$B785)=1,1,0))</f>
        <v/>
      </c>
      <c r="W785" s="39" t="str">
        <f>IF($V785=1,COUNTIF($V$2:$V785,1),"")</f>
        <v/>
      </c>
      <c r="X785" s="39" t="str">
        <f>IF($A785="","",IF(COUNTIF($A$2:$A785,$A785)=1,1,0))</f>
        <v/>
      </c>
      <c r="Y785" s="39" t="str">
        <f>IF($X785=1,COUNTIF($X$2:$X785,1),"")</f>
        <v/>
      </c>
      <c r="Z785" s="39">
        <f>IF(AND($E785="timed",$N785&gt;Settings!$C$8),1,0)</f>
        <v>0</v>
      </c>
      <c r="AA785" s="39">
        <f t="shared" si="220"/>
        <v>0</v>
      </c>
      <c r="AB785" s="39">
        <f t="shared" si="221"/>
        <v>0</v>
      </c>
      <c r="AC785" s="39" t="str">
        <f t="shared" si="222"/>
        <v/>
      </c>
      <c r="AD785" s="39" t="str">
        <f t="shared" si="223"/>
        <v/>
      </c>
      <c r="AE785" s="39" t="str">
        <f t="shared" si="224"/>
        <v/>
      </c>
      <c r="AF785" s="106" t="str">
        <f t="shared" si="225"/>
        <v/>
      </c>
      <c r="AG785" s="39">
        <f t="shared" si="226"/>
        <v>0</v>
      </c>
      <c r="AH785" s="39" t="str">
        <f t="shared" si="227"/>
        <v/>
      </c>
      <c r="AI785" s="39">
        <f>IF(AND($E785="timed",$N785&gt;=Settings!$C$9),1,0)</f>
        <v>0</v>
      </c>
      <c r="AJ785" s="39" t="str">
        <f>IF(OR($S785="",Settings!$C$16=""),"",IF($S785&lt;=Settings!$C$16,1,2))</f>
        <v/>
      </c>
      <c r="AK785" s="39" t="str">
        <f>IF($C785="","",IFERROR(IF(INDEX(Settings!$C$20:$C$59,MATCH($C785,Settings!$B$20:$B$59,0))="",Settings!$C$10,INDEX(Settings!$C$20:$C$59,MATCH($C785,Settings!$B$20:$B$59,0))),Settings!$C$10))</f>
        <v/>
      </c>
      <c r="AL785" s="108">
        <f t="shared" si="228"/>
        <v>0</v>
      </c>
      <c r="AM785" s="39" t="str">
        <f t="shared" si="229"/>
        <v/>
      </c>
      <c r="AN785" s="39" t="str">
        <f t="shared" si="230"/>
        <v/>
      </c>
      <c r="AO785" s="39" t="str">
        <f t="shared" si="231"/>
        <v/>
      </c>
      <c r="AP785" s="39">
        <f t="shared" si="232"/>
        <v>0</v>
      </c>
      <c r="AQ785" s="39">
        <f t="shared" si="233"/>
        <v>0</v>
      </c>
    </row>
    <row r="786" spans="14:43" x14ac:dyDescent="0.25">
      <c r="N786" s="105">
        <f t="shared" si="216"/>
        <v>0</v>
      </c>
      <c r="O786" s="106" t="str">
        <f>IF($F786="","",IF(ISNUMBER($F786),$F786+Settings!$C$7/24,IFERROR(DATEVALUE(LEFT($F786,10))+TIMEVALUE(MID($F786,12,8))+Settings!$C$7/24,"")))</f>
        <v/>
      </c>
      <c r="P786" s="106" t="str">
        <f>IF($G786="","",IF(ISNUMBER($G786),$G786+Settings!$C$7/24,IFERROR(DATEVALUE(LEFT($G786,10))+TIMEVALUE(MID($G786,12,8))+Settings!$C$7/24,"")))</f>
        <v/>
      </c>
      <c r="Q786" s="39" t="str">
        <f t="shared" si="217"/>
        <v/>
      </c>
      <c r="R786" s="39" t="str">
        <f t="shared" si="218"/>
        <v/>
      </c>
      <c r="S786" s="107" t="str">
        <f t="shared" si="219"/>
        <v/>
      </c>
      <c r="T786" s="39" t="str">
        <f>IF($C786="","",IF(COUNTIF($C$2:$C786,$C786)=1,1,0))</f>
        <v/>
      </c>
      <c r="U786" s="39" t="str">
        <f>IF($T786=1,COUNTIF($T$2:$T786,1),"")</f>
        <v/>
      </c>
      <c r="V786" s="39" t="str">
        <f>IF($B786="","",IF(COUNTIF($B$2:$B786,$B786)=1,1,0))</f>
        <v/>
      </c>
      <c r="W786" s="39" t="str">
        <f>IF($V786=1,COUNTIF($V$2:$V786,1),"")</f>
        <v/>
      </c>
      <c r="X786" s="39" t="str">
        <f>IF($A786="","",IF(COUNTIF($A$2:$A786,$A786)=1,1,0))</f>
        <v/>
      </c>
      <c r="Y786" s="39" t="str">
        <f>IF($X786=1,COUNTIF($X$2:$X786,1),"")</f>
        <v/>
      </c>
      <c r="Z786" s="39">
        <f>IF(AND($E786="timed",$N786&gt;Settings!$C$8),1,0)</f>
        <v>0</v>
      </c>
      <c r="AA786" s="39">
        <f t="shared" si="220"/>
        <v>0</v>
      </c>
      <c r="AB786" s="39">
        <f t="shared" si="221"/>
        <v>0</v>
      </c>
      <c r="AC786" s="39" t="str">
        <f t="shared" si="222"/>
        <v/>
      </c>
      <c r="AD786" s="39" t="str">
        <f t="shared" si="223"/>
        <v/>
      </c>
      <c r="AE786" s="39" t="str">
        <f t="shared" si="224"/>
        <v/>
      </c>
      <c r="AF786" s="106" t="str">
        <f t="shared" si="225"/>
        <v/>
      </c>
      <c r="AG786" s="39">
        <f t="shared" si="226"/>
        <v>0</v>
      </c>
      <c r="AH786" s="39" t="str">
        <f t="shared" si="227"/>
        <v/>
      </c>
      <c r="AI786" s="39">
        <f>IF(AND($E786="timed",$N786&gt;=Settings!$C$9),1,0)</f>
        <v>0</v>
      </c>
      <c r="AJ786" s="39" t="str">
        <f>IF(OR($S786="",Settings!$C$16=""),"",IF($S786&lt;=Settings!$C$16,1,2))</f>
        <v/>
      </c>
      <c r="AK786" s="39" t="str">
        <f>IF($C786="","",IFERROR(IF(INDEX(Settings!$C$20:$C$59,MATCH($C786,Settings!$B$20:$B$59,0))="",Settings!$C$10,INDEX(Settings!$C$20:$C$59,MATCH($C786,Settings!$B$20:$B$59,0))),Settings!$C$10))</f>
        <v/>
      </c>
      <c r="AL786" s="108">
        <f t="shared" si="228"/>
        <v>0</v>
      </c>
      <c r="AM786" s="39" t="str">
        <f t="shared" si="229"/>
        <v/>
      </c>
      <c r="AN786" s="39" t="str">
        <f t="shared" si="230"/>
        <v/>
      </c>
      <c r="AO786" s="39" t="str">
        <f t="shared" si="231"/>
        <v/>
      </c>
      <c r="AP786" s="39">
        <f t="shared" si="232"/>
        <v>0</v>
      </c>
      <c r="AQ786" s="39">
        <f t="shared" si="233"/>
        <v>0</v>
      </c>
    </row>
    <row r="787" spans="14:43" x14ac:dyDescent="0.25">
      <c r="N787" s="105">
        <f t="shared" si="216"/>
        <v>0</v>
      </c>
      <c r="O787" s="106" t="str">
        <f>IF($F787="","",IF(ISNUMBER($F787),$F787+Settings!$C$7/24,IFERROR(DATEVALUE(LEFT($F787,10))+TIMEVALUE(MID($F787,12,8))+Settings!$C$7/24,"")))</f>
        <v/>
      </c>
      <c r="P787" s="106" t="str">
        <f>IF($G787="","",IF(ISNUMBER($G787),$G787+Settings!$C$7/24,IFERROR(DATEVALUE(LEFT($G787,10))+TIMEVALUE(MID($G787,12,8))+Settings!$C$7/24,"")))</f>
        <v/>
      </c>
      <c r="Q787" s="39" t="str">
        <f t="shared" si="217"/>
        <v/>
      </c>
      <c r="R787" s="39" t="str">
        <f t="shared" si="218"/>
        <v/>
      </c>
      <c r="S787" s="107" t="str">
        <f t="shared" si="219"/>
        <v/>
      </c>
      <c r="T787" s="39" t="str">
        <f>IF($C787="","",IF(COUNTIF($C$2:$C787,$C787)=1,1,0))</f>
        <v/>
      </c>
      <c r="U787" s="39" t="str">
        <f>IF($T787=1,COUNTIF($T$2:$T787,1),"")</f>
        <v/>
      </c>
      <c r="V787" s="39" t="str">
        <f>IF($B787="","",IF(COUNTIF($B$2:$B787,$B787)=1,1,0))</f>
        <v/>
      </c>
      <c r="W787" s="39" t="str">
        <f>IF($V787=1,COUNTIF($V$2:$V787,1),"")</f>
        <v/>
      </c>
      <c r="X787" s="39" t="str">
        <f>IF($A787="","",IF(COUNTIF($A$2:$A787,$A787)=1,1,0))</f>
        <v/>
      </c>
      <c r="Y787" s="39" t="str">
        <f>IF($X787=1,COUNTIF($X$2:$X787,1),"")</f>
        <v/>
      </c>
      <c r="Z787" s="39">
        <f>IF(AND($E787="timed",$N787&gt;Settings!$C$8),1,0)</f>
        <v>0</v>
      </c>
      <c r="AA787" s="39">
        <f t="shared" si="220"/>
        <v>0</v>
      </c>
      <c r="AB787" s="39">
        <f t="shared" si="221"/>
        <v>0</v>
      </c>
      <c r="AC787" s="39" t="str">
        <f t="shared" si="222"/>
        <v/>
      </c>
      <c r="AD787" s="39" t="str">
        <f t="shared" si="223"/>
        <v/>
      </c>
      <c r="AE787" s="39" t="str">
        <f t="shared" si="224"/>
        <v/>
      </c>
      <c r="AF787" s="106" t="str">
        <f t="shared" si="225"/>
        <v/>
      </c>
      <c r="AG787" s="39">
        <f t="shared" si="226"/>
        <v>0</v>
      </c>
      <c r="AH787" s="39" t="str">
        <f t="shared" si="227"/>
        <v/>
      </c>
      <c r="AI787" s="39">
        <f>IF(AND($E787="timed",$N787&gt;=Settings!$C$9),1,0)</f>
        <v>0</v>
      </c>
      <c r="AJ787" s="39" t="str">
        <f>IF(OR($S787="",Settings!$C$16=""),"",IF($S787&lt;=Settings!$C$16,1,2))</f>
        <v/>
      </c>
      <c r="AK787" s="39" t="str">
        <f>IF($C787="","",IFERROR(IF(INDEX(Settings!$C$20:$C$59,MATCH($C787,Settings!$B$20:$B$59,0))="",Settings!$C$10,INDEX(Settings!$C$20:$C$59,MATCH($C787,Settings!$B$20:$B$59,0))),Settings!$C$10))</f>
        <v/>
      </c>
      <c r="AL787" s="108">
        <f t="shared" si="228"/>
        <v>0</v>
      </c>
      <c r="AM787" s="39" t="str">
        <f t="shared" si="229"/>
        <v/>
      </c>
      <c r="AN787" s="39" t="str">
        <f t="shared" si="230"/>
        <v/>
      </c>
      <c r="AO787" s="39" t="str">
        <f t="shared" si="231"/>
        <v/>
      </c>
      <c r="AP787" s="39">
        <f t="shared" si="232"/>
        <v>0</v>
      </c>
      <c r="AQ787" s="39">
        <f t="shared" si="233"/>
        <v>0</v>
      </c>
    </row>
    <row r="788" spans="14:43" x14ac:dyDescent="0.25">
      <c r="N788" s="105">
        <f t="shared" si="216"/>
        <v>0</v>
      </c>
      <c r="O788" s="106" t="str">
        <f>IF($F788="","",IF(ISNUMBER($F788),$F788+Settings!$C$7/24,IFERROR(DATEVALUE(LEFT($F788,10))+TIMEVALUE(MID($F788,12,8))+Settings!$C$7/24,"")))</f>
        <v/>
      </c>
      <c r="P788" s="106" t="str">
        <f>IF($G788="","",IF(ISNUMBER($G788),$G788+Settings!$C$7/24,IFERROR(DATEVALUE(LEFT($G788,10))+TIMEVALUE(MID($G788,12,8))+Settings!$C$7/24,"")))</f>
        <v/>
      </c>
      <c r="Q788" s="39" t="str">
        <f t="shared" si="217"/>
        <v/>
      </c>
      <c r="R788" s="39" t="str">
        <f t="shared" si="218"/>
        <v/>
      </c>
      <c r="S788" s="107" t="str">
        <f t="shared" si="219"/>
        <v/>
      </c>
      <c r="T788" s="39" t="str">
        <f>IF($C788="","",IF(COUNTIF($C$2:$C788,$C788)=1,1,0))</f>
        <v/>
      </c>
      <c r="U788" s="39" t="str">
        <f>IF($T788=1,COUNTIF($T$2:$T788,1),"")</f>
        <v/>
      </c>
      <c r="V788" s="39" t="str">
        <f>IF($B788="","",IF(COUNTIF($B$2:$B788,$B788)=1,1,0))</f>
        <v/>
      </c>
      <c r="W788" s="39" t="str">
        <f>IF($V788=1,COUNTIF($V$2:$V788,1),"")</f>
        <v/>
      </c>
      <c r="X788" s="39" t="str">
        <f>IF($A788="","",IF(COUNTIF($A$2:$A788,$A788)=1,1,0))</f>
        <v/>
      </c>
      <c r="Y788" s="39" t="str">
        <f>IF($X788=1,COUNTIF($X$2:$X788,1),"")</f>
        <v/>
      </c>
      <c r="Z788" s="39">
        <f>IF(AND($E788="timed",$N788&gt;Settings!$C$8),1,0)</f>
        <v>0</v>
      </c>
      <c r="AA788" s="39">
        <f t="shared" si="220"/>
        <v>0</v>
      </c>
      <c r="AB788" s="39">
        <f t="shared" si="221"/>
        <v>0</v>
      </c>
      <c r="AC788" s="39" t="str">
        <f t="shared" si="222"/>
        <v/>
      </c>
      <c r="AD788" s="39" t="str">
        <f t="shared" si="223"/>
        <v/>
      </c>
      <c r="AE788" s="39" t="str">
        <f t="shared" si="224"/>
        <v/>
      </c>
      <c r="AF788" s="106" t="str">
        <f t="shared" si="225"/>
        <v/>
      </c>
      <c r="AG788" s="39">
        <f t="shared" si="226"/>
        <v>0</v>
      </c>
      <c r="AH788" s="39" t="str">
        <f t="shared" si="227"/>
        <v/>
      </c>
      <c r="AI788" s="39">
        <f>IF(AND($E788="timed",$N788&gt;=Settings!$C$9),1,0)</f>
        <v>0</v>
      </c>
      <c r="AJ788" s="39" t="str">
        <f>IF(OR($S788="",Settings!$C$16=""),"",IF($S788&lt;=Settings!$C$16,1,2))</f>
        <v/>
      </c>
      <c r="AK788" s="39" t="str">
        <f>IF($C788="","",IFERROR(IF(INDEX(Settings!$C$20:$C$59,MATCH($C788,Settings!$B$20:$B$59,0))="",Settings!$C$10,INDEX(Settings!$C$20:$C$59,MATCH($C788,Settings!$B$20:$B$59,0))),Settings!$C$10))</f>
        <v/>
      </c>
      <c r="AL788" s="108">
        <f t="shared" si="228"/>
        <v>0</v>
      </c>
      <c r="AM788" s="39" t="str">
        <f t="shared" si="229"/>
        <v/>
      </c>
      <c r="AN788" s="39" t="str">
        <f t="shared" si="230"/>
        <v/>
      </c>
      <c r="AO788" s="39" t="str">
        <f t="shared" si="231"/>
        <v/>
      </c>
      <c r="AP788" s="39">
        <f t="shared" si="232"/>
        <v>0</v>
      </c>
      <c r="AQ788" s="39">
        <f t="shared" si="233"/>
        <v>0</v>
      </c>
    </row>
    <row r="789" spans="14:43" x14ac:dyDescent="0.25">
      <c r="N789" s="105">
        <f t="shared" si="216"/>
        <v>0</v>
      </c>
      <c r="O789" s="106" t="str">
        <f>IF($F789="","",IF(ISNUMBER($F789),$F789+Settings!$C$7/24,IFERROR(DATEVALUE(LEFT($F789,10))+TIMEVALUE(MID($F789,12,8))+Settings!$C$7/24,"")))</f>
        <v/>
      </c>
      <c r="P789" s="106" t="str">
        <f>IF($G789="","",IF(ISNUMBER($G789),$G789+Settings!$C$7/24,IFERROR(DATEVALUE(LEFT($G789,10))+TIMEVALUE(MID($G789,12,8))+Settings!$C$7/24,"")))</f>
        <v/>
      </c>
      <c r="Q789" s="39" t="str">
        <f t="shared" si="217"/>
        <v/>
      </c>
      <c r="R789" s="39" t="str">
        <f t="shared" si="218"/>
        <v/>
      </c>
      <c r="S789" s="107" t="str">
        <f t="shared" si="219"/>
        <v/>
      </c>
      <c r="T789" s="39" t="str">
        <f>IF($C789="","",IF(COUNTIF($C$2:$C789,$C789)=1,1,0))</f>
        <v/>
      </c>
      <c r="U789" s="39" t="str">
        <f>IF($T789=1,COUNTIF($T$2:$T789,1),"")</f>
        <v/>
      </c>
      <c r="V789" s="39" t="str">
        <f>IF($B789="","",IF(COUNTIF($B$2:$B789,$B789)=1,1,0))</f>
        <v/>
      </c>
      <c r="W789" s="39" t="str">
        <f>IF($V789=1,COUNTIF($V$2:$V789,1),"")</f>
        <v/>
      </c>
      <c r="X789" s="39" t="str">
        <f>IF($A789="","",IF(COUNTIF($A$2:$A789,$A789)=1,1,0))</f>
        <v/>
      </c>
      <c r="Y789" s="39" t="str">
        <f>IF($X789=1,COUNTIF($X$2:$X789,1),"")</f>
        <v/>
      </c>
      <c r="Z789" s="39">
        <f>IF(AND($E789="timed",$N789&gt;Settings!$C$8),1,0)</f>
        <v>0</v>
      </c>
      <c r="AA789" s="39">
        <f t="shared" si="220"/>
        <v>0</v>
      </c>
      <c r="AB789" s="39">
        <f t="shared" si="221"/>
        <v>0</v>
      </c>
      <c r="AC789" s="39" t="str">
        <f t="shared" si="222"/>
        <v/>
      </c>
      <c r="AD789" s="39" t="str">
        <f t="shared" si="223"/>
        <v/>
      </c>
      <c r="AE789" s="39" t="str">
        <f t="shared" si="224"/>
        <v/>
      </c>
      <c r="AF789" s="106" t="str">
        <f t="shared" si="225"/>
        <v/>
      </c>
      <c r="AG789" s="39">
        <f t="shared" si="226"/>
        <v>0</v>
      </c>
      <c r="AH789" s="39" t="str">
        <f t="shared" si="227"/>
        <v/>
      </c>
      <c r="AI789" s="39">
        <f>IF(AND($E789="timed",$N789&gt;=Settings!$C$9),1,0)</f>
        <v>0</v>
      </c>
      <c r="AJ789" s="39" t="str">
        <f>IF(OR($S789="",Settings!$C$16=""),"",IF($S789&lt;=Settings!$C$16,1,2))</f>
        <v/>
      </c>
      <c r="AK789" s="39" t="str">
        <f>IF($C789="","",IFERROR(IF(INDEX(Settings!$C$20:$C$59,MATCH($C789,Settings!$B$20:$B$59,0))="",Settings!$C$10,INDEX(Settings!$C$20:$C$59,MATCH($C789,Settings!$B$20:$B$59,0))),Settings!$C$10))</f>
        <v/>
      </c>
      <c r="AL789" s="108">
        <f t="shared" si="228"/>
        <v>0</v>
      </c>
      <c r="AM789" s="39" t="str">
        <f t="shared" si="229"/>
        <v/>
      </c>
      <c r="AN789" s="39" t="str">
        <f t="shared" si="230"/>
        <v/>
      </c>
      <c r="AO789" s="39" t="str">
        <f t="shared" si="231"/>
        <v/>
      </c>
      <c r="AP789" s="39">
        <f t="shared" si="232"/>
        <v>0</v>
      </c>
      <c r="AQ789" s="39">
        <f t="shared" si="233"/>
        <v>0</v>
      </c>
    </row>
    <row r="790" spans="14:43" x14ac:dyDescent="0.25">
      <c r="N790" s="105">
        <f t="shared" si="216"/>
        <v>0</v>
      </c>
      <c r="O790" s="106" t="str">
        <f>IF($F790="","",IF(ISNUMBER($F790),$F790+Settings!$C$7/24,IFERROR(DATEVALUE(LEFT($F790,10))+TIMEVALUE(MID($F790,12,8))+Settings!$C$7/24,"")))</f>
        <v/>
      </c>
      <c r="P790" s="106" t="str">
        <f>IF($G790="","",IF(ISNUMBER($G790),$G790+Settings!$C$7/24,IFERROR(DATEVALUE(LEFT($G790,10))+TIMEVALUE(MID($G790,12,8))+Settings!$C$7/24,"")))</f>
        <v/>
      </c>
      <c r="Q790" s="39" t="str">
        <f t="shared" si="217"/>
        <v/>
      </c>
      <c r="R790" s="39" t="str">
        <f t="shared" si="218"/>
        <v/>
      </c>
      <c r="S790" s="107" t="str">
        <f t="shared" si="219"/>
        <v/>
      </c>
      <c r="T790" s="39" t="str">
        <f>IF($C790="","",IF(COUNTIF($C$2:$C790,$C790)=1,1,0))</f>
        <v/>
      </c>
      <c r="U790" s="39" t="str">
        <f>IF($T790=1,COUNTIF($T$2:$T790,1),"")</f>
        <v/>
      </c>
      <c r="V790" s="39" t="str">
        <f>IF($B790="","",IF(COUNTIF($B$2:$B790,$B790)=1,1,0))</f>
        <v/>
      </c>
      <c r="W790" s="39" t="str">
        <f>IF($V790=1,COUNTIF($V$2:$V790,1),"")</f>
        <v/>
      </c>
      <c r="X790" s="39" t="str">
        <f>IF($A790="","",IF(COUNTIF($A$2:$A790,$A790)=1,1,0))</f>
        <v/>
      </c>
      <c r="Y790" s="39" t="str">
        <f>IF($X790=1,COUNTIF($X$2:$X790,1),"")</f>
        <v/>
      </c>
      <c r="Z790" s="39">
        <f>IF(AND($E790="timed",$N790&gt;Settings!$C$8),1,0)</f>
        <v>0</v>
      </c>
      <c r="AA790" s="39">
        <f t="shared" si="220"/>
        <v>0</v>
      </c>
      <c r="AB790" s="39">
        <f t="shared" si="221"/>
        <v>0</v>
      </c>
      <c r="AC790" s="39" t="str">
        <f t="shared" si="222"/>
        <v/>
      </c>
      <c r="AD790" s="39" t="str">
        <f t="shared" si="223"/>
        <v/>
      </c>
      <c r="AE790" s="39" t="str">
        <f t="shared" si="224"/>
        <v/>
      </c>
      <c r="AF790" s="106" t="str">
        <f t="shared" si="225"/>
        <v/>
      </c>
      <c r="AG790" s="39">
        <f t="shared" si="226"/>
        <v>0</v>
      </c>
      <c r="AH790" s="39" t="str">
        <f t="shared" si="227"/>
        <v/>
      </c>
      <c r="AI790" s="39">
        <f>IF(AND($E790="timed",$N790&gt;=Settings!$C$9),1,0)</f>
        <v>0</v>
      </c>
      <c r="AJ790" s="39" t="str">
        <f>IF(OR($S790="",Settings!$C$16=""),"",IF($S790&lt;=Settings!$C$16,1,2))</f>
        <v/>
      </c>
      <c r="AK790" s="39" t="str">
        <f>IF($C790="","",IFERROR(IF(INDEX(Settings!$C$20:$C$59,MATCH($C790,Settings!$B$20:$B$59,0))="",Settings!$C$10,INDEX(Settings!$C$20:$C$59,MATCH($C790,Settings!$B$20:$B$59,0))),Settings!$C$10))</f>
        <v/>
      </c>
      <c r="AL790" s="108">
        <f t="shared" si="228"/>
        <v>0</v>
      </c>
      <c r="AM790" s="39" t="str">
        <f t="shared" si="229"/>
        <v/>
      </c>
      <c r="AN790" s="39" t="str">
        <f t="shared" si="230"/>
        <v/>
      </c>
      <c r="AO790" s="39" t="str">
        <f t="shared" si="231"/>
        <v/>
      </c>
      <c r="AP790" s="39">
        <f t="shared" si="232"/>
        <v>0</v>
      </c>
      <c r="AQ790" s="39">
        <f t="shared" si="233"/>
        <v>0</v>
      </c>
    </row>
    <row r="791" spans="14:43" x14ac:dyDescent="0.25">
      <c r="N791" s="105">
        <f t="shared" si="216"/>
        <v>0</v>
      </c>
      <c r="O791" s="106" t="str">
        <f>IF($F791="","",IF(ISNUMBER($F791),$F791+Settings!$C$7/24,IFERROR(DATEVALUE(LEFT($F791,10))+TIMEVALUE(MID($F791,12,8))+Settings!$C$7/24,"")))</f>
        <v/>
      </c>
      <c r="P791" s="106" t="str">
        <f>IF($G791="","",IF(ISNUMBER($G791),$G791+Settings!$C$7/24,IFERROR(DATEVALUE(LEFT($G791,10))+TIMEVALUE(MID($G791,12,8))+Settings!$C$7/24,"")))</f>
        <v/>
      </c>
      <c r="Q791" s="39" t="str">
        <f t="shared" si="217"/>
        <v/>
      </c>
      <c r="R791" s="39" t="str">
        <f t="shared" si="218"/>
        <v/>
      </c>
      <c r="S791" s="107" t="str">
        <f t="shared" si="219"/>
        <v/>
      </c>
      <c r="T791" s="39" t="str">
        <f>IF($C791="","",IF(COUNTIF($C$2:$C791,$C791)=1,1,0))</f>
        <v/>
      </c>
      <c r="U791" s="39" t="str">
        <f>IF($T791=1,COUNTIF($T$2:$T791,1),"")</f>
        <v/>
      </c>
      <c r="V791" s="39" t="str">
        <f>IF($B791="","",IF(COUNTIF($B$2:$B791,$B791)=1,1,0))</f>
        <v/>
      </c>
      <c r="W791" s="39" t="str">
        <f>IF($V791=1,COUNTIF($V$2:$V791,1),"")</f>
        <v/>
      </c>
      <c r="X791" s="39" t="str">
        <f>IF($A791="","",IF(COUNTIF($A$2:$A791,$A791)=1,1,0))</f>
        <v/>
      </c>
      <c r="Y791" s="39" t="str">
        <f>IF($X791=1,COUNTIF($X$2:$X791,1),"")</f>
        <v/>
      </c>
      <c r="Z791" s="39">
        <f>IF(AND($E791="timed",$N791&gt;Settings!$C$8),1,0)</f>
        <v>0</v>
      </c>
      <c r="AA791" s="39">
        <f t="shared" si="220"/>
        <v>0</v>
      </c>
      <c r="AB791" s="39">
        <f t="shared" si="221"/>
        <v>0</v>
      </c>
      <c r="AC791" s="39" t="str">
        <f t="shared" si="222"/>
        <v/>
      </c>
      <c r="AD791" s="39" t="str">
        <f t="shared" si="223"/>
        <v/>
      </c>
      <c r="AE791" s="39" t="str">
        <f t="shared" si="224"/>
        <v/>
      </c>
      <c r="AF791" s="106" t="str">
        <f t="shared" si="225"/>
        <v/>
      </c>
      <c r="AG791" s="39">
        <f t="shared" si="226"/>
        <v>0</v>
      </c>
      <c r="AH791" s="39" t="str">
        <f t="shared" si="227"/>
        <v/>
      </c>
      <c r="AI791" s="39">
        <f>IF(AND($E791="timed",$N791&gt;=Settings!$C$9),1,0)</f>
        <v>0</v>
      </c>
      <c r="AJ791" s="39" t="str">
        <f>IF(OR($S791="",Settings!$C$16=""),"",IF($S791&lt;=Settings!$C$16,1,2))</f>
        <v/>
      </c>
      <c r="AK791" s="39" t="str">
        <f>IF($C791="","",IFERROR(IF(INDEX(Settings!$C$20:$C$59,MATCH($C791,Settings!$B$20:$B$59,0))="",Settings!$C$10,INDEX(Settings!$C$20:$C$59,MATCH($C791,Settings!$B$20:$B$59,0))),Settings!$C$10))</f>
        <v/>
      </c>
      <c r="AL791" s="108">
        <f t="shared" si="228"/>
        <v>0</v>
      </c>
      <c r="AM791" s="39" t="str">
        <f t="shared" si="229"/>
        <v/>
      </c>
      <c r="AN791" s="39" t="str">
        <f t="shared" si="230"/>
        <v/>
      </c>
      <c r="AO791" s="39" t="str">
        <f t="shared" si="231"/>
        <v/>
      </c>
      <c r="AP791" s="39">
        <f t="shared" si="232"/>
        <v>0</v>
      </c>
      <c r="AQ791" s="39">
        <f t="shared" si="233"/>
        <v>0</v>
      </c>
    </row>
    <row r="792" spans="14:43" x14ac:dyDescent="0.25">
      <c r="N792" s="105">
        <f t="shared" si="216"/>
        <v>0</v>
      </c>
      <c r="O792" s="106" t="str">
        <f>IF($F792="","",IF(ISNUMBER($F792),$F792+Settings!$C$7/24,IFERROR(DATEVALUE(LEFT($F792,10))+TIMEVALUE(MID($F792,12,8))+Settings!$C$7/24,"")))</f>
        <v/>
      </c>
      <c r="P792" s="106" t="str">
        <f>IF($G792="","",IF(ISNUMBER($G792),$G792+Settings!$C$7/24,IFERROR(DATEVALUE(LEFT($G792,10))+TIMEVALUE(MID($G792,12,8))+Settings!$C$7/24,"")))</f>
        <v/>
      </c>
      <c r="Q792" s="39" t="str">
        <f t="shared" si="217"/>
        <v/>
      </c>
      <c r="R792" s="39" t="str">
        <f t="shared" si="218"/>
        <v/>
      </c>
      <c r="S792" s="107" t="str">
        <f t="shared" si="219"/>
        <v/>
      </c>
      <c r="T792" s="39" t="str">
        <f>IF($C792="","",IF(COUNTIF($C$2:$C792,$C792)=1,1,0))</f>
        <v/>
      </c>
      <c r="U792" s="39" t="str">
        <f>IF($T792=1,COUNTIF($T$2:$T792,1),"")</f>
        <v/>
      </c>
      <c r="V792" s="39" t="str">
        <f>IF($B792="","",IF(COUNTIF($B$2:$B792,$B792)=1,1,0))</f>
        <v/>
      </c>
      <c r="W792" s="39" t="str">
        <f>IF($V792=1,COUNTIF($V$2:$V792,1),"")</f>
        <v/>
      </c>
      <c r="X792" s="39" t="str">
        <f>IF($A792="","",IF(COUNTIF($A$2:$A792,$A792)=1,1,0))</f>
        <v/>
      </c>
      <c r="Y792" s="39" t="str">
        <f>IF($X792=1,COUNTIF($X$2:$X792,1),"")</f>
        <v/>
      </c>
      <c r="Z792" s="39">
        <f>IF(AND($E792="timed",$N792&gt;Settings!$C$8),1,0)</f>
        <v>0</v>
      </c>
      <c r="AA792" s="39">
        <f t="shared" si="220"/>
        <v>0</v>
      </c>
      <c r="AB792" s="39">
        <f t="shared" si="221"/>
        <v>0</v>
      </c>
      <c r="AC792" s="39" t="str">
        <f t="shared" si="222"/>
        <v/>
      </c>
      <c r="AD792" s="39" t="str">
        <f t="shared" si="223"/>
        <v/>
      </c>
      <c r="AE792" s="39" t="str">
        <f t="shared" si="224"/>
        <v/>
      </c>
      <c r="AF792" s="106" t="str">
        <f t="shared" si="225"/>
        <v/>
      </c>
      <c r="AG792" s="39">
        <f t="shared" si="226"/>
        <v>0</v>
      </c>
      <c r="AH792" s="39" t="str">
        <f t="shared" si="227"/>
        <v/>
      </c>
      <c r="AI792" s="39">
        <f>IF(AND($E792="timed",$N792&gt;=Settings!$C$9),1,0)</f>
        <v>0</v>
      </c>
      <c r="AJ792" s="39" t="str">
        <f>IF(OR($S792="",Settings!$C$16=""),"",IF($S792&lt;=Settings!$C$16,1,2))</f>
        <v/>
      </c>
      <c r="AK792" s="39" t="str">
        <f>IF($C792="","",IFERROR(IF(INDEX(Settings!$C$20:$C$59,MATCH($C792,Settings!$B$20:$B$59,0))="",Settings!$C$10,INDEX(Settings!$C$20:$C$59,MATCH($C792,Settings!$B$20:$B$59,0))),Settings!$C$10))</f>
        <v/>
      </c>
      <c r="AL792" s="108">
        <f t="shared" si="228"/>
        <v>0</v>
      </c>
      <c r="AM792" s="39" t="str">
        <f t="shared" si="229"/>
        <v/>
      </c>
      <c r="AN792" s="39" t="str">
        <f t="shared" si="230"/>
        <v/>
      </c>
      <c r="AO792" s="39" t="str">
        <f t="shared" si="231"/>
        <v/>
      </c>
      <c r="AP792" s="39">
        <f t="shared" si="232"/>
        <v>0</v>
      </c>
      <c r="AQ792" s="39">
        <f t="shared" si="233"/>
        <v>0</v>
      </c>
    </row>
    <row r="793" spans="14:43" x14ac:dyDescent="0.25">
      <c r="N793" s="105">
        <f t="shared" si="216"/>
        <v>0</v>
      </c>
      <c r="O793" s="106" t="str">
        <f>IF($F793="","",IF(ISNUMBER($F793),$F793+Settings!$C$7/24,IFERROR(DATEVALUE(LEFT($F793,10))+TIMEVALUE(MID($F793,12,8))+Settings!$C$7/24,"")))</f>
        <v/>
      </c>
      <c r="P793" s="106" t="str">
        <f>IF($G793="","",IF(ISNUMBER($G793),$G793+Settings!$C$7/24,IFERROR(DATEVALUE(LEFT($G793,10))+TIMEVALUE(MID($G793,12,8))+Settings!$C$7/24,"")))</f>
        <v/>
      </c>
      <c r="Q793" s="39" t="str">
        <f t="shared" si="217"/>
        <v/>
      </c>
      <c r="R793" s="39" t="str">
        <f t="shared" si="218"/>
        <v/>
      </c>
      <c r="S793" s="107" t="str">
        <f t="shared" si="219"/>
        <v/>
      </c>
      <c r="T793" s="39" t="str">
        <f>IF($C793="","",IF(COUNTIF($C$2:$C793,$C793)=1,1,0))</f>
        <v/>
      </c>
      <c r="U793" s="39" t="str">
        <f>IF($T793=1,COUNTIF($T$2:$T793,1),"")</f>
        <v/>
      </c>
      <c r="V793" s="39" t="str">
        <f>IF($B793="","",IF(COUNTIF($B$2:$B793,$B793)=1,1,0))</f>
        <v/>
      </c>
      <c r="W793" s="39" t="str">
        <f>IF($V793=1,COUNTIF($V$2:$V793,1),"")</f>
        <v/>
      </c>
      <c r="X793" s="39" t="str">
        <f>IF($A793="","",IF(COUNTIF($A$2:$A793,$A793)=1,1,0))</f>
        <v/>
      </c>
      <c r="Y793" s="39" t="str">
        <f>IF($X793=1,COUNTIF($X$2:$X793,1),"")</f>
        <v/>
      </c>
      <c r="Z793" s="39">
        <f>IF(AND($E793="timed",$N793&gt;Settings!$C$8),1,0)</f>
        <v>0</v>
      </c>
      <c r="AA793" s="39">
        <f t="shared" si="220"/>
        <v>0</v>
      </c>
      <c r="AB793" s="39">
        <f t="shared" si="221"/>
        <v>0</v>
      </c>
      <c r="AC793" s="39" t="str">
        <f t="shared" si="222"/>
        <v/>
      </c>
      <c r="AD793" s="39" t="str">
        <f t="shared" si="223"/>
        <v/>
      </c>
      <c r="AE793" s="39" t="str">
        <f t="shared" si="224"/>
        <v/>
      </c>
      <c r="AF793" s="106" t="str">
        <f t="shared" si="225"/>
        <v/>
      </c>
      <c r="AG793" s="39">
        <f t="shared" si="226"/>
        <v>0</v>
      </c>
      <c r="AH793" s="39" t="str">
        <f t="shared" si="227"/>
        <v/>
      </c>
      <c r="AI793" s="39">
        <f>IF(AND($E793="timed",$N793&gt;=Settings!$C$9),1,0)</f>
        <v>0</v>
      </c>
      <c r="AJ793" s="39" t="str">
        <f>IF(OR($S793="",Settings!$C$16=""),"",IF($S793&lt;=Settings!$C$16,1,2))</f>
        <v/>
      </c>
      <c r="AK793" s="39" t="str">
        <f>IF($C793="","",IFERROR(IF(INDEX(Settings!$C$20:$C$59,MATCH($C793,Settings!$B$20:$B$59,0))="",Settings!$C$10,INDEX(Settings!$C$20:$C$59,MATCH($C793,Settings!$B$20:$B$59,0))),Settings!$C$10))</f>
        <v/>
      </c>
      <c r="AL793" s="108">
        <f t="shared" si="228"/>
        <v>0</v>
      </c>
      <c r="AM793" s="39" t="str">
        <f t="shared" si="229"/>
        <v/>
      </c>
      <c r="AN793" s="39" t="str">
        <f t="shared" si="230"/>
        <v/>
      </c>
      <c r="AO793" s="39" t="str">
        <f t="shared" si="231"/>
        <v/>
      </c>
      <c r="AP793" s="39">
        <f t="shared" si="232"/>
        <v>0</v>
      </c>
      <c r="AQ793" s="39">
        <f t="shared" si="233"/>
        <v>0</v>
      </c>
    </row>
    <row r="794" spans="14:43" x14ac:dyDescent="0.25">
      <c r="N794" s="105">
        <f t="shared" si="216"/>
        <v>0</v>
      </c>
      <c r="O794" s="106" t="str">
        <f>IF($F794="","",IF(ISNUMBER($F794),$F794+Settings!$C$7/24,IFERROR(DATEVALUE(LEFT($F794,10))+TIMEVALUE(MID($F794,12,8))+Settings!$C$7/24,"")))</f>
        <v/>
      </c>
      <c r="P794" s="106" t="str">
        <f>IF($G794="","",IF(ISNUMBER($G794),$G794+Settings!$C$7/24,IFERROR(DATEVALUE(LEFT($G794,10))+TIMEVALUE(MID($G794,12,8))+Settings!$C$7/24,"")))</f>
        <v/>
      </c>
      <c r="Q794" s="39" t="str">
        <f t="shared" si="217"/>
        <v/>
      </c>
      <c r="R794" s="39" t="str">
        <f t="shared" si="218"/>
        <v/>
      </c>
      <c r="S794" s="107" t="str">
        <f t="shared" si="219"/>
        <v/>
      </c>
      <c r="T794" s="39" t="str">
        <f>IF($C794="","",IF(COUNTIF($C$2:$C794,$C794)=1,1,0))</f>
        <v/>
      </c>
      <c r="U794" s="39" t="str">
        <f>IF($T794=1,COUNTIF($T$2:$T794,1),"")</f>
        <v/>
      </c>
      <c r="V794" s="39" t="str">
        <f>IF($B794="","",IF(COUNTIF($B$2:$B794,$B794)=1,1,0))</f>
        <v/>
      </c>
      <c r="W794" s="39" t="str">
        <f>IF($V794=1,COUNTIF($V$2:$V794,1),"")</f>
        <v/>
      </c>
      <c r="X794" s="39" t="str">
        <f>IF($A794="","",IF(COUNTIF($A$2:$A794,$A794)=1,1,0))</f>
        <v/>
      </c>
      <c r="Y794" s="39" t="str">
        <f>IF($X794=1,COUNTIF($X$2:$X794,1),"")</f>
        <v/>
      </c>
      <c r="Z794" s="39">
        <f>IF(AND($E794="timed",$N794&gt;Settings!$C$8),1,0)</f>
        <v>0</v>
      </c>
      <c r="AA794" s="39">
        <f t="shared" si="220"/>
        <v>0</v>
      </c>
      <c r="AB794" s="39">
        <f t="shared" si="221"/>
        <v>0</v>
      </c>
      <c r="AC794" s="39" t="str">
        <f t="shared" si="222"/>
        <v/>
      </c>
      <c r="AD794" s="39" t="str">
        <f t="shared" si="223"/>
        <v/>
      </c>
      <c r="AE794" s="39" t="str">
        <f t="shared" si="224"/>
        <v/>
      </c>
      <c r="AF794" s="106" t="str">
        <f t="shared" si="225"/>
        <v/>
      </c>
      <c r="AG794" s="39">
        <f t="shared" si="226"/>
        <v>0</v>
      </c>
      <c r="AH794" s="39" t="str">
        <f t="shared" si="227"/>
        <v/>
      </c>
      <c r="AI794" s="39">
        <f>IF(AND($E794="timed",$N794&gt;=Settings!$C$9),1,0)</f>
        <v>0</v>
      </c>
      <c r="AJ794" s="39" t="str">
        <f>IF(OR($S794="",Settings!$C$16=""),"",IF($S794&lt;=Settings!$C$16,1,2))</f>
        <v/>
      </c>
      <c r="AK794" s="39" t="str">
        <f>IF($C794="","",IFERROR(IF(INDEX(Settings!$C$20:$C$59,MATCH($C794,Settings!$B$20:$B$59,0))="",Settings!$C$10,INDEX(Settings!$C$20:$C$59,MATCH($C794,Settings!$B$20:$B$59,0))),Settings!$C$10))</f>
        <v/>
      </c>
      <c r="AL794" s="108">
        <f t="shared" si="228"/>
        <v>0</v>
      </c>
      <c r="AM794" s="39" t="str">
        <f t="shared" si="229"/>
        <v/>
      </c>
      <c r="AN794" s="39" t="str">
        <f t="shared" si="230"/>
        <v/>
      </c>
      <c r="AO794" s="39" t="str">
        <f t="shared" si="231"/>
        <v/>
      </c>
      <c r="AP794" s="39">
        <f t="shared" si="232"/>
        <v>0</v>
      </c>
      <c r="AQ794" s="39">
        <f t="shared" si="233"/>
        <v>0</v>
      </c>
    </row>
    <row r="795" spans="14:43" x14ac:dyDescent="0.25">
      <c r="N795" s="105">
        <f t="shared" si="216"/>
        <v>0</v>
      </c>
      <c r="O795" s="106" t="str">
        <f>IF($F795="","",IF(ISNUMBER($F795),$F795+Settings!$C$7/24,IFERROR(DATEVALUE(LEFT($F795,10))+TIMEVALUE(MID($F795,12,8))+Settings!$C$7/24,"")))</f>
        <v/>
      </c>
      <c r="P795" s="106" t="str">
        <f>IF($G795="","",IF(ISNUMBER($G795),$G795+Settings!$C$7/24,IFERROR(DATEVALUE(LEFT($G795,10))+TIMEVALUE(MID($G795,12,8))+Settings!$C$7/24,"")))</f>
        <v/>
      </c>
      <c r="Q795" s="39" t="str">
        <f t="shared" si="217"/>
        <v/>
      </c>
      <c r="R795" s="39" t="str">
        <f t="shared" si="218"/>
        <v/>
      </c>
      <c r="S795" s="107" t="str">
        <f t="shared" si="219"/>
        <v/>
      </c>
      <c r="T795" s="39" t="str">
        <f>IF($C795="","",IF(COUNTIF($C$2:$C795,$C795)=1,1,0))</f>
        <v/>
      </c>
      <c r="U795" s="39" t="str">
        <f>IF($T795=1,COUNTIF($T$2:$T795,1),"")</f>
        <v/>
      </c>
      <c r="V795" s="39" t="str">
        <f>IF($B795="","",IF(COUNTIF($B$2:$B795,$B795)=1,1,0))</f>
        <v/>
      </c>
      <c r="W795" s="39" t="str">
        <f>IF($V795=1,COUNTIF($V$2:$V795,1),"")</f>
        <v/>
      </c>
      <c r="X795" s="39" t="str">
        <f>IF($A795="","",IF(COUNTIF($A$2:$A795,$A795)=1,1,0))</f>
        <v/>
      </c>
      <c r="Y795" s="39" t="str">
        <f>IF($X795=1,COUNTIF($X$2:$X795,1),"")</f>
        <v/>
      </c>
      <c r="Z795" s="39">
        <f>IF(AND($E795="timed",$N795&gt;Settings!$C$8),1,0)</f>
        <v>0</v>
      </c>
      <c r="AA795" s="39">
        <f t="shared" si="220"/>
        <v>0</v>
      </c>
      <c r="AB795" s="39">
        <f t="shared" si="221"/>
        <v>0</v>
      </c>
      <c r="AC795" s="39" t="str">
        <f t="shared" si="222"/>
        <v/>
      </c>
      <c r="AD795" s="39" t="str">
        <f t="shared" si="223"/>
        <v/>
      </c>
      <c r="AE795" s="39" t="str">
        <f t="shared" si="224"/>
        <v/>
      </c>
      <c r="AF795" s="106" t="str">
        <f t="shared" si="225"/>
        <v/>
      </c>
      <c r="AG795" s="39">
        <f t="shared" si="226"/>
        <v>0</v>
      </c>
      <c r="AH795" s="39" t="str">
        <f t="shared" si="227"/>
        <v/>
      </c>
      <c r="AI795" s="39">
        <f>IF(AND($E795="timed",$N795&gt;=Settings!$C$9),1,0)</f>
        <v>0</v>
      </c>
      <c r="AJ795" s="39" t="str">
        <f>IF(OR($S795="",Settings!$C$16=""),"",IF($S795&lt;=Settings!$C$16,1,2))</f>
        <v/>
      </c>
      <c r="AK795" s="39" t="str">
        <f>IF($C795="","",IFERROR(IF(INDEX(Settings!$C$20:$C$59,MATCH($C795,Settings!$B$20:$B$59,0))="",Settings!$C$10,INDEX(Settings!$C$20:$C$59,MATCH($C795,Settings!$B$20:$B$59,0))),Settings!$C$10))</f>
        <v/>
      </c>
      <c r="AL795" s="108">
        <f t="shared" si="228"/>
        <v>0</v>
      </c>
      <c r="AM795" s="39" t="str">
        <f t="shared" si="229"/>
        <v/>
      </c>
      <c r="AN795" s="39" t="str">
        <f t="shared" si="230"/>
        <v/>
      </c>
      <c r="AO795" s="39" t="str">
        <f t="shared" si="231"/>
        <v/>
      </c>
      <c r="AP795" s="39">
        <f t="shared" si="232"/>
        <v>0</v>
      </c>
      <c r="AQ795" s="39">
        <f t="shared" si="233"/>
        <v>0</v>
      </c>
    </row>
    <row r="796" spans="14:43" x14ac:dyDescent="0.25">
      <c r="N796" s="105">
        <f t="shared" si="216"/>
        <v>0</v>
      </c>
      <c r="O796" s="106" t="str">
        <f>IF($F796="","",IF(ISNUMBER($F796),$F796+Settings!$C$7/24,IFERROR(DATEVALUE(LEFT($F796,10))+TIMEVALUE(MID($F796,12,8))+Settings!$C$7/24,"")))</f>
        <v/>
      </c>
      <c r="P796" s="106" t="str">
        <f>IF($G796="","",IF(ISNUMBER($G796),$G796+Settings!$C$7/24,IFERROR(DATEVALUE(LEFT($G796,10))+TIMEVALUE(MID($G796,12,8))+Settings!$C$7/24,"")))</f>
        <v/>
      </c>
      <c r="Q796" s="39" t="str">
        <f t="shared" si="217"/>
        <v/>
      </c>
      <c r="R796" s="39" t="str">
        <f t="shared" si="218"/>
        <v/>
      </c>
      <c r="S796" s="107" t="str">
        <f t="shared" si="219"/>
        <v/>
      </c>
      <c r="T796" s="39" t="str">
        <f>IF($C796="","",IF(COUNTIF($C$2:$C796,$C796)=1,1,0))</f>
        <v/>
      </c>
      <c r="U796" s="39" t="str">
        <f>IF($T796=1,COUNTIF($T$2:$T796,1),"")</f>
        <v/>
      </c>
      <c r="V796" s="39" t="str">
        <f>IF($B796="","",IF(COUNTIF($B$2:$B796,$B796)=1,1,0))</f>
        <v/>
      </c>
      <c r="W796" s="39" t="str">
        <f>IF($V796=1,COUNTIF($V$2:$V796,1),"")</f>
        <v/>
      </c>
      <c r="X796" s="39" t="str">
        <f>IF($A796="","",IF(COUNTIF($A$2:$A796,$A796)=1,1,0))</f>
        <v/>
      </c>
      <c r="Y796" s="39" t="str">
        <f>IF($X796=1,COUNTIF($X$2:$X796,1),"")</f>
        <v/>
      </c>
      <c r="Z796" s="39">
        <f>IF(AND($E796="timed",$N796&gt;Settings!$C$8),1,0)</f>
        <v>0</v>
      </c>
      <c r="AA796" s="39">
        <f t="shared" si="220"/>
        <v>0</v>
      </c>
      <c r="AB796" s="39">
        <f t="shared" si="221"/>
        <v>0</v>
      </c>
      <c r="AC796" s="39" t="str">
        <f t="shared" si="222"/>
        <v/>
      </c>
      <c r="AD796" s="39" t="str">
        <f t="shared" si="223"/>
        <v/>
      </c>
      <c r="AE796" s="39" t="str">
        <f t="shared" si="224"/>
        <v/>
      </c>
      <c r="AF796" s="106" t="str">
        <f t="shared" si="225"/>
        <v/>
      </c>
      <c r="AG796" s="39">
        <f t="shared" si="226"/>
        <v>0</v>
      </c>
      <c r="AH796" s="39" t="str">
        <f t="shared" si="227"/>
        <v/>
      </c>
      <c r="AI796" s="39">
        <f>IF(AND($E796="timed",$N796&gt;=Settings!$C$9),1,0)</f>
        <v>0</v>
      </c>
      <c r="AJ796" s="39" t="str">
        <f>IF(OR($S796="",Settings!$C$16=""),"",IF($S796&lt;=Settings!$C$16,1,2))</f>
        <v/>
      </c>
      <c r="AK796" s="39" t="str">
        <f>IF($C796="","",IFERROR(IF(INDEX(Settings!$C$20:$C$59,MATCH($C796,Settings!$B$20:$B$59,0))="",Settings!$C$10,INDEX(Settings!$C$20:$C$59,MATCH($C796,Settings!$B$20:$B$59,0))),Settings!$C$10))</f>
        <v/>
      </c>
      <c r="AL796" s="108">
        <f t="shared" si="228"/>
        <v>0</v>
      </c>
      <c r="AM796" s="39" t="str">
        <f t="shared" si="229"/>
        <v/>
      </c>
      <c r="AN796" s="39" t="str">
        <f t="shared" si="230"/>
        <v/>
      </c>
      <c r="AO796" s="39" t="str">
        <f t="shared" si="231"/>
        <v/>
      </c>
      <c r="AP796" s="39">
        <f t="shared" si="232"/>
        <v>0</v>
      </c>
      <c r="AQ796" s="39">
        <f t="shared" si="233"/>
        <v>0</v>
      </c>
    </row>
    <row r="797" spans="14:43" x14ac:dyDescent="0.25">
      <c r="N797" s="105">
        <f t="shared" si="216"/>
        <v>0</v>
      </c>
      <c r="O797" s="106" t="str">
        <f>IF($F797="","",IF(ISNUMBER($F797),$F797+Settings!$C$7/24,IFERROR(DATEVALUE(LEFT($F797,10))+TIMEVALUE(MID($F797,12,8))+Settings!$C$7/24,"")))</f>
        <v/>
      </c>
      <c r="P797" s="106" t="str">
        <f>IF($G797="","",IF(ISNUMBER($G797),$G797+Settings!$C$7/24,IFERROR(DATEVALUE(LEFT($G797,10))+TIMEVALUE(MID($G797,12,8))+Settings!$C$7/24,"")))</f>
        <v/>
      </c>
      <c r="Q797" s="39" t="str">
        <f t="shared" si="217"/>
        <v/>
      </c>
      <c r="R797" s="39" t="str">
        <f t="shared" si="218"/>
        <v/>
      </c>
      <c r="S797" s="107" t="str">
        <f t="shared" si="219"/>
        <v/>
      </c>
      <c r="T797" s="39" t="str">
        <f>IF($C797="","",IF(COUNTIF($C$2:$C797,$C797)=1,1,0))</f>
        <v/>
      </c>
      <c r="U797" s="39" t="str">
        <f>IF($T797=1,COUNTIF($T$2:$T797,1),"")</f>
        <v/>
      </c>
      <c r="V797" s="39" t="str">
        <f>IF($B797="","",IF(COUNTIF($B$2:$B797,$B797)=1,1,0))</f>
        <v/>
      </c>
      <c r="W797" s="39" t="str">
        <f>IF($V797=1,COUNTIF($V$2:$V797,1),"")</f>
        <v/>
      </c>
      <c r="X797" s="39" t="str">
        <f>IF($A797="","",IF(COUNTIF($A$2:$A797,$A797)=1,1,0))</f>
        <v/>
      </c>
      <c r="Y797" s="39" t="str">
        <f>IF($X797=1,COUNTIF($X$2:$X797,1),"")</f>
        <v/>
      </c>
      <c r="Z797" s="39">
        <f>IF(AND($E797="timed",$N797&gt;Settings!$C$8),1,0)</f>
        <v>0</v>
      </c>
      <c r="AA797" s="39">
        <f t="shared" si="220"/>
        <v>0</v>
      </c>
      <c r="AB797" s="39">
        <f t="shared" si="221"/>
        <v>0</v>
      </c>
      <c r="AC797" s="39" t="str">
        <f t="shared" si="222"/>
        <v/>
      </c>
      <c r="AD797" s="39" t="str">
        <f t="shared" si="223"/>
        <v/>
      </c>
      <c r="AE797" s="39" t="str">
        <f t="shared" si="224"/>
        <v/>
      </c>
      <c r="AF797" s="106" t="str">
        <f t="shared" si="225"/>
        <v/>
      </c>
      <c r="AG797" s="39">
        <f t="shared" si="226"/>
        <v>0</v>
      </c>
      <c r="AH797" s="39" t="str">
        <f t="shared" si="227"/>
        <v/>
      </c>
      <c r="AI797" s="39">
        <f>IF(AND($E797="timed",$N797&gt;=Settings!$C$9),1,0)</f>
        <v>0</v>
      </c>
      <c r="AJ797" s="39" t="str">
        <f>IF(OR($S797="",Settings!$C$16=""),"",IF($S797&lt;=Settings!$C$16,1,2))</f>
        <v/>
      </c>
      <c r="AK797" s="39" t="str">
        <f>IF($C797="","",IFERROR(IF(INDEX(Settings!$C$20:$C$59,MATCH($C797,Settings!$B$20:$B$59,0))="",Settings!$C$10,INDEX(Settings!$C$20:$C$59,MATCH($C797,Settings!$B$20:$B$59,0))),Settings!$C$10))</f>
        <v/>
      </c>
      <c r="AL797" s="108">
        <f t="shared" si="228"/>
        <v>0</v>
      </c>
      <c r="AM797" s="39" t="str">
        <f t="shared" si="229"/>
        <v/>
      </c>
      <c r="AN797" s="39" t="str">
        <f t="shared" si="230"/>
        <v/>
      </c>
      <c r="AO797" s="39" t="str">
        <f t="shared" si="231"/>
        <v/>
      </c>
      <c r="AP797" s="39">
        <f t="shared" si="232"/>
        <v>0</v>
      </c>
      <c r="AQ797" s="39">
        <f t="shared" si="233"/>
        <v>0</v>
      </c>
    </row>
    <row r="798" spans="14:43" x14ac:dyDescent="0.25">
      <c r="N798" s="105">
        <f t="shared" si="216"/>
        <v>0</v>
      </c>
      <c r="O798" s="106" t="str">
        <f>IF($F798="","",IF(ISNUMBER($F798),$F798+Settings!$C$7/24,IFERROR(DATEVALUE(LEFT($F798,10))+TIMEVALUE(MID($F798,12,8))+Settings!$C$7/24,"")))</f>
        <v/>
      </c>
      <c r="P798" s="106" t="str">
        <f>IF($G798="","",IF(ISNUMBER($G798),$G798+Settings!$C$7/24,IFERROR(DATEVALUE(LEFT($G798,10))+TIMEVALUE(MID($G798,12,8))+Settings!$C$7/24,"")))</f>
        <v/>
      </c>
      <c r="Q798" s="39" t="str">
        <f t="shared" si="217"/>
        <v/>
      </c>
      <c r="R798" s="39" t="str">
        <f t="shared" si="218"/>
        <v/>
      </c>
      <c r="S798" s="107" t="str">
        <f t="shared" si="219"/>
        <v/>
      </c>
      <c r="T798" s="39" t="str">
        <f>IF($C798="","",IF(COUNTIF($C$2:$C798,$C798)=1,1,0))</f>
        <v/>
      </c>
      <c r="U798" s="39" t="str">
        <f>IF($T798=1,COUNTIF($T$2:$T798,1),"")</f>
        <v/>
      </c>
      <c r="V798" s="39" t="str">
        <f>IF($B798="","",IF(COUNTIF($B$2:$B798,$B798)=1,1,0))</f>
        <v/>
      </c>
      <c r="W798" s="39" t="str">
        <f>IF($V798=1,COUNTIF($V$2:$V798,1),"")</f>
        <v/>
      </c>
      <c r="X798" s="39" t="str">
        <f>IF($A798="","",IF(COUNTIF($A$2:$A798,$A798)=1,1,0))</f>
        <v/>
      </c>
      <c r="Y798" s="39" t="str">
        <f>IF($X798=1,COUNTIF($X$2:$X798,1),"")</f>
        <v/>
      </c>
      <c r="Z798" s="39">
        <f>IF(AND($E798="timed",$N798&gt;Settings!$C$8),1,0)</f>
        <v>0</v>
      </c>
      <c r="AA798" s="39">
        <f t="shared" si="220"/>
        <v>0</v>
      </c>
      <c r="AB798" s="39">
        <f t="shared" si="221"/>
        <v>0</v>
      </c>
      <c r="AC798" s="39" t="str">
        <f t="shared" si="222"/>
        <v/>
      </c>
      <c r="AD798" s="39" t="str">
        <f t="shared" si="223"/>
        <v/>
      </c>
      <c r="AE798" s="39" t="str">
        <f t="shared" si="224"/>
        <v/>
      </c>
      <c r="AF798" s="106" t="str">
        <f t="shared" si="225"/>
        <v/>
      </c>
      <c r="AG798" s="39">
        <f t="shared" si="226"/>
        <v>0</v>
      </c>
      <c r="AH798" s="39" t="str">
        <f t="shared" si="227"/>
        <v/>
      </c>
      <c r="AI798" s="39">
        <f>IF(AND($E798="timed",$N798&gt;=Settings!$C$9),1,0)</f>
        <v>0</v>
      </c>
      <c r="AJ798" s="39" t="str">
        <f>IF(OR($S798="",Settings!$C$16=""),"",IF($S798&lt;=Settings!$C$16,1,2))</f>
        <v/>
      </c>
      <c r="AK798" s="39" t="str">
        <f>IF($C798="","",IFERROR(IF(INDEX(Settings!$C$20:$C$59,MATCH($C798,Settings!$B$20:$B$59,0))="",Settings!$C$10,INDEX(Settings!$C$20:$C$59,MATCH($C798,Settings!$B$20:$B$59,0))),Settings!$C$10))</f>
        <v/>
      </c>
      <c r="AL798" s="108">
        <f t="shared" si="228"/>
        <v>0</v>
      </c>
      <c r="AM798" s="39" t="str">
        <f t="shared" si="229"/>
        <v/>
      </c>
      <c r="AN798" s="39" t="str">
        <f t="shared" si="230"/>
        <v/>
      </c>
      <c r="AO798" s="39" t="str">
        <f t="shared" si="231"/>
        <v/>
      </c>
      <c r="AP798" s="39">
        <f t="shared" si="232"/>
        <v>0</v>
      </c>
      <c r="AQ798" s="39">
        <f t="shared" si="233"/>
        <v>0</v>
      </c>
    </row>
    <row r="799" spans="14:43" x14ac:dyDescent="0.25">
      <c r="N799" s="105">
        <f t="shared" si="216"/>
        <v>0</v>
      </c>
      <c r="O799" s="106" t="str">
        <f>IF($F799="","",IF(ISNUMBER($F799),$F799+Settings!$C$7/24,IFERROR(DATEVALUE(LEFT($F799,10))+TIMEVALUE(MID($F799,12,8))+Settings!$C$7/24,"")))</f>
        <v/>
      </c>
      <c r="P799" s="106" t="str">
        <f>IF($G799="","",IF(ISNUMBER($G799),$G799+Settings!$C$7/24,IFERROR(DATEVALUE(LEFT($G799,10))+TIMEVALUE(MID($G799,12,8))+Settings!$C$7/24,"")))</f>
        <v/>
      </c>
      <c r="Q799" s="39" t="str">
        <f t="shared" si="217"/>
        <v/>
      </c>
      <c r="R799" s="39" t="str">
        <f t="shared" si="218"/>
        <v/>
      </c>
      <c r="S799" s="107" t="str">
        <f t="shared" si="219"/>
        <v/>
      </c>
      <c r="T799" s="39" t="str">
        <f>IF($C799="","",IF(COUNTIF($C$2:$C799,$C799)=1,1,0))</f>
        <v/>
      </c>
      <c r="U799" s="39" t="str">
        <f>IF($T799=1,COUNTIF($T$2:$T799,1),"")</f>
        <v/>
      </c>
      <c r="V799" s="39" t="str">
        <f>IF($B799="","",IF(COUNTIF($B$2:$B799,$B799)=1,1,0))</f>
        <v/>
      </c>
      <c r="W799" s="39" t="str">
        <f>IF($V799=1,COUNTIF($V$2:$V799,1),"")</f>
        <v/>
      </c>
      <c r="X799" s="39" t="str">
        <f>IF($A799="","",IF(COUNTIF($A$2:$A799,$A799)=1,1,0))</f>
        <v/>
      </c>
      <c r="Y799" s="39" t="str">
        <f>IF($X799=1,COUNTIF($X$2:$X799,1),"")</f>
        <v/>
      </c>
      <c r="Z799" s="39">
        <f>IF(AND($E799="timed",$N799&gt;Settings!$C$8),1,0)</f>
        <v>0</v>
      </c>
      <c r="AA799" s="39">
        <f t="shared" si="220"/>
        <v>0</v>
      </c>
      <c r="AB799" s="39">
        <f t="shared" si="221"/>
        <v>0</v>
      </c>
      <c r="AC799" s="39" t="str">
        <f t="shared" si="222"/>
        <v/>
      </c>
      <c r="AD799" s="39" t="str">
        <f t="shared" si="223"/>
        <v/>
      </c>
      <c r="AE799" s="39" t="str">
        <f t="shared" si="224"/>
        <v/>
      </c>
      <c r="AF799" s="106" t="str">
        <f t="shared" si="225"/>
        <v/>
      </c>
      <c r="AG799" s="39">
        <f t="shared" si="226"/>
        <v>0</v>
      </c>
      <c r="AH799" s="39" t="str">
        <f t="shared" si="227"/>
        <v/>
      </c>
      <c r="AI799" s="39">
        <f>IF(AND($E799="timed",$N799&gt;=Settings!$C$9),1,0)</f>
        <v>0</v>
      </c>
      <c r="AJ799" s="39" t="str">
        <f>IF(OR($S799="",Settings!$C$16=""),"",IF($S799&lt;=Settings!$C$16,1,2))</f>
        <v/>
      </c>
      <c r="AK799" s="39" t="str">
        <f>IF($C799="","",IFERROR(IF(INDEX(Settings!$C$20:$C$59,MATCH($C799,Settings!$B$20:$B$59,0))="",Settings!$C$10,INDEX(Settings!$C$20:$C$59,MATCH($C799,Settings!$B$20:$B$59,0))),Settings!$C$10))</f>
        <v/>
      </c>
      <c r="AL799" s="108">
        <f t="shared" si="228"/>
        <v>0</v>
      </c>
      <c r="AM799" s="39" t="str">
        <f t="shared" si="229"/>
        <v/>
      </c>
      <c r="AN799" s="39" t="str">
        <f t="shared" si="230"/>
        <v/>
      </c>
      <c r="AO799" s="39" t="str">
        <f t="shared" si="231"/>
        <v/>
      </c>
      <c r="AP799" s="39">
        <f t="shared" si="232"/>
        <v>0</v>
      </c>
      <c r="AQ799" s="39">
        <f t="shared" si="233"/>
        <v>0</v>
      </c>
    </row>
    <row r="800" spans="14:43" x14ac:dyDescent="0.25">
      <c r="N800" s="105">
        <f t="shared" si="216"/>
        <v>0</v>
      </c>
      <c r="O800" s="106" t="str">
        <f>IF($F800="","",IF(ISNUMBER($F800),$F800+Settings!$C$7/24,IFERROR(DATEVALUE(LEFT($F800,10))+TIMEVALUE(MID($F800,12,8))+Settings!$C$7/24,"")))</f>
        <v/>
      </c>
      <c r="P800" s="106" t="str">
        <f>IF($G800="","",IF(ISNUMBER($G800),$G800+Settings!$C$7/24,IFERROR(DATEVALUE(LEFT($G800,10))+TIMEVALUE(MID($G800,12,8))+Settings!$C$7/24,"")))</f>
        <v/>
      </c>
      <c r="Q800" s="39" t="str">
        <f t="shared" si="217"/>
        <v/>
      </c>
      <c r="R800" s="39" t="str">
        <f t="shared" si="218"/>
        <v/>
      </c>
      <c r="S800" s="107" t="str">
        <f t="shared" si="219"/>
        <v/>
      </c>
      <c r="T800" s="39" t="str">
        <f>IF($C800="","",IF(COUNTIF($C$2:$C800,$C800)=1,1,0))</f>
        <v/>
      </c>
      <c r="U800" s="39" t="str">
        <f>IF($T800=1,COUNTIF($T$2:$T800,1),"")</f>
        <v/>
      </c>
      <c r="V800" s="39" t="str">
        <f>IF($B800="","",IF(COUNTIF($B$2:$B800,$B800)=1,1,0))</f>
        <v/>
      </c>
      <c r="W800" s="39" t="str">
        <f>IF($V800=1,COUNTIF($V$2:$V800,1),"")</f>
        <v/>
      </c>
      <c r="X800" s="39" t="str">
        <f>IF($A800="","",IF(COUNTIF($A$2:$A800,$A800)=1,1,0))</f>
        <v/>
      </c>
      <c r="Y800" s="39" t="str">
        <f>IF($X800=1,COUNTIF($X$2:$X800,1),"")</f>
        <v/>
      </c>
      <c r="Z800" s="39">
        <f>IF(AND($E800="timed",$N800&gt;Settings!$C$8),1,0)</f>
        <v>0</v>
      </c>
      <c r="AA800" s="39">
        <f t="shared" si="220"/>
        <v>0</v>
      </c>
      <c r="AB800" s="39">
        <f t="shared" si="221"/>
        <v>0</v>
      </c>
      <c r="AC800" s="39" t="str">
        <f t="shared" si="222"/>
        <v/>
      </c>
      <c r="AD800" s="39" t="str">
        <f t="shared" si="223"/>
        <v/>
      </c>
      <c r="AE800" s="39" t="str">
        <f t="shared" si="224"/>
        <v/>
      </c>
      <c r="AF800" s="106" t="str">
        <f t="shared" si="225"/>
        <v/>
      </c>
      <c r="AG800" s="39">
        <f t="shared" si="226"/>
        <v>0</v>
      </c>
      <c r="AH800" s="39" t="str">
        <f t="shared" si="227"/>
        <v/>
      </c>
      <c r="AI800" s="39">
        <f>IF(AND($E800="timed",$N800&gt;=Settings!$C$9),1,0)</f>
        <v>0</v>
      </c>
      <c r="AJ800" s="39" t="str">
        <f>IF(OR($S800="",Settings!$C$16=""),"",IF($S800&lt;=Settings!$C$16,1,2))</f>
        <v/>
      </c>
      <c r="AK800" s="39" t="str">
        <f>IF($C800="","",IFERROR(IF(INDEX(Settings!$C$20:$C$59,MATCH($C800,Settings!$B$20:$B$59,0))="",Settings!$C$10,INDEX(Settings!$C$20:$C$59,MATCH($C800,Settings!$B$20:$B$59,0))),Settings!$C$10))</f>
        <v/>
      </c>
      <c r="AL800" s="108">
        <f t="shared" si="228"/>
        <v>0</v>
      </c>
      <c r="AM800" s="39" t="str">
        <f t="shared" si="229"/>
        <v/>
      </c>
      <c r="AN800" s="39" t="str">
        <f t="shared" si="230"/>
        <v/>
      </c>
      <c r="AO800" s="39" t="str">
        <f t="shared" si="231"/>
        <v/>
      </c>
      <c r="AP800" s="39">
        <f t="shared" si="232"/>
        <v>0</v>
      </c>
      <c r="AQ800" s="39">
        <f t="shared" si="233"/>
        <v>0</v>
      </c>
    </row>
    <row r="801" spans="14:43" x14ac:dyDescent="0.25">
      <c r="N801" s="105">
        <f t="shared" si="216"/>
        <v>0</v>
      </c>
      <c r="O801" s="106" t="str">
        <f>IF($F801="","",IF(ISNUMBER($F801),$F801+Settings!$C$7/24,IFERROR(DATEVALUE(LEFT($F801,10))+TIMEVALUE(MID($F801,12,8))+Settings!$C$7/24,"")))</f>
        <v/>
      </c>
      <c r="P801" s="106" t="str">
        <f>IF($G801="","",IF(ISNUMBER($G801),$G801+Settings!$C$7/24,IFERROR(DATEVALUE(LEFT($G801,10))+TIMEVALUE(MID($G801,12,8))+Settings!$C$7/24,"")))</f>
        <v/>
      </c>
      <c r="Q801" s="39" t="str">
        <f t="shared" si="217"/>
        <v/>
      </c>
      <c r="R801" s="39" t="str">
        <f t="shared" si="218"/>
        <v/>
      </c>
      <c r="S801" s="107" t="str">
        <f t="shared" si="219"/>
        <v/>
      </c>
      <c r="T801" s="39" t="str">
        <f>IF($C801="","",IF(COUNTIF($C$2:$C801,$C801)=1,1,0))</f>
        <v/>
      </c>
      <c r="U801" s="39" t="str">
        <f>IF($T801=1,COUNTIF($T$2:$T801,1),"")</f>
        <v/>
      </c>
      <c r="V801" s="39" t="str">
        <f>IF($B801="","",IF(COUNTIF($B$2:$B801,$B801)=1,1,0))</f>
        <v/>
      </c>
      <c r="W801" s="39" t="str">
        <f>IF($V801=1,COUNTIF($V$2:$V801,1),"")</f>
        <v/>
      </c>
      <c r="X801" s="39" t="str">
        <f>IF($A801="","",IF(COUNTIF($A$2:$A801,$A801)=1,1,0))</f>
        <v/>
      </c>
      <c r="Y801" s="39" t="str">
        <f>IF($X801=1,COUNTIF($X$2:$X801,1),"")</f>
        <v/>
      </c>
      <c r="Z801" s="39">
        <f>IF(AND($E801="timed",$N801&gt;Settings!$C$8),1,0)</f>
        <v>0</v>
      </c>
      <c r="AA801" s="39">
        <f t="shared" si="220"/>
        <v>0</v>
      </c>
      <c r="AB801" s="39">
        <f t="shared" si="221"/>
        <v>0</v>
      </c>
      <c r="AC801" s="39" t="str">
        <f t="shared" si="222"/>
        <v/>
      </c>
      <c r="AD801" s="39" t="str">
        <f t="shared" si="223"/>
        <v/>
      </c>
      <c r="AE801" s="39" t="str">
        <f t="shared" si="224"/>
        <v/>
      </c>
      <c r="AF801" s="106" t="str">
        <f t="shared" si="225"/>
        <v/>
      </c>
      <c r="AG801" s="39">
        <f t="shared" si="226"/>
        <v>0</v>
      </c>
      <c r="AH801" s="39" t="str">
        <f t="shared" si="227"/>
        <v/>
      </c>
      <c r="AI801" s="39">
        <f>IF(AND($E801="timed",$N801&gt;=Settings!$C$9),1,0)</f>
        <v>0</v>
      </c>
      <c r="AJ801" s="39" t="str">
        <f>IF(OR($S801="",Settings!$C$16=""),"",IF($S801&lt;=Settings!$C$16,1,2))</f>
        <v/>
      </c>
      <c r="AK801" s="39" t="str">
        <f>IF($C801="","",IFERROR(IF(INDEX(Settings!$C$20:$C$59,MATCH($C801,Settings!$B$20:$B$59,0))="",Settings!$C$10,INDEX(Settings!$C$20:$C$59,MATCH($C801,Settings!$B$20:$B$59,0))),Settings!$C$10))</f>
        <v/>
      </c>
      <c r="AL801" s="108">
        <f t="shared" si="228"/>
        <v>0</v>
      </c>
      <c r="AM801" s="39" t="str">
        <f t="shared" si="229"/>
        <v/>
      </c>
      <c r="AN801" s="39" t="str">
        <f t="shared" si="230"/>
        <v/>
      </c>
      <c r="AO801" s="39" t="str">
        <f t="shared" si="231"/>
        <v/>
      </c>
      <c r="AP801" s="39">
        <f t="shared" si="232"/>
        <v>0</v>
      </c>
      <c r="AQ801" s="39">
        <f t="shared" si="233"/>
        <v>0</v>
      </c>
    </row>
    <row r="802" spans="14:43" x14ac:dyDescent="0.25">
      <c r="N802" s="105">
        <f t="shared" si="216"/>
        <v>0</v>
      </c>
      <c r="O802" s="106" t="str">
        <f>IF($F802="","",IF(ISNUMBER($F802),$F802+Settings!$C$7/24,IFERROR(DATEVALUE(LEFT($F802,10))+TIMEVALUE(MID($F802,12,8))+Settings!$C$7/24,"")))</f>
        <v/>
      </c>
      <c r="P802" s="106" t="str">
        <f>IF($G802="","",IF(ISNUMBER($G802),$G802+Settings!$C$7/24,IFERROR(DATEVALUE(LEFT($G802,10))+TIMEVALUE(MID($G802,12,8))+Settings!$C$7/24,"")))</f>
        <v/>
      </c>
      <c r="Q802" s="39" t="str">
        <f t="shared" si="217"/>
        <v/>
      </c>
      <c r="R802" s="39" t="str">
        <f t="shared" si="218"/>
        <v/>
      </c>
      <c r="S802" s="107" t="str">
        <f t="shared" si="219"/>
        <v/>
      </c>
      <c r="T802" s="39" t="str">
        <f>IF($C802="","",IF(COUNTIF($C$2:$C802,$C802)=1,1,0))</f>
        <v/>
      </c>
      <c r="U802" s="39" t="str">
        <f>IF($T802=1,COUNTIF($T$2:$T802,1),"")</f>
        <v/>
      </c>
      <c r="V802" s="39" t="str">
        <f>IF($B802="","",IF(COUNTIF($B$2:$B802,$B802)=1,1,0))</f>
        <v/>
      </c>
      <c r="W802" s="39" t="str">
        <f>IF($V802=1,COUNTIF($V$2:$V802,1),"")</f>
        <v/>
      </c>
      <c r="X802" s="39" t="str">
        <f>IF($A802="","",IF(COUNTIF($A$2:$A802,$A802)=1,1,0))</f>
        <v/>
      </c>
      <c r="Y802" s="39" t="str">
        <f>IF($X802=1,COUNTIF($X$2:$X802,1),"")</f>
        <v/>
      </c>
      <c r="Z802" s="39">
        <f>IF(AND($E802="timed",$N802&gt;Settings!$C$8),1,0)</f>
        <v>0</v>
      </c>
      <c r="AA802" s="39">
        <f t="shared" si="220"/>
        <v>0</v>
      </c>
      <c r="AB802" s="39">
        <f t="shared" si="221"/>
        <v>0</v>
      </c>
      <c r="AC802" s="39" t="str">
        <f t="shared" si="222"/>
        <v/>
      </c>
      <c r="AD802" s="39" t="str">
        <f t="shared" si="223"/>
        <v/>
      </c>
      <c r="AE802" s="39" t="str">
        <f t="shared" si="224"/>
        <v/>
      </c>
      <c r="AF802" s="106" t="str">
        <f t="shared" si="225"/>
        <v/>
      </c>
      <c r="AG802" s="39">
        <f t="shared" si="226"/>
        <v>0</v>
      </c>
      <c r="AH802" s="39" t="str">
        <f t="shared" si="227"/>
        <v/>
      </c>
      <c r="AI802" s="39">
        <f>IF(AND($E802="timed",$N802&gt;=Settings!$C$9),1,0)</f>
        <v>0</v>
      </c>
      <c r="AJ802" s="39" t="str">
        <f>IF(OR($S802="",Settings!$C$16=""),"",IF($S802&lt;=Settings!$C$16,1,2))</f>
        <v/>
      </c>
      <c r="AK802" s="39" t="str">
        <f>IF($C802="","",IFERROR(IF(INDEX(Settings!$C$20:$C$59,MATCH($C802,Settings!$B$20:$B$59,0))="",Settings!$C$10,INDEX(Settings!$C$20:$C$59,MATCH($C802,Settings!$B$20:$B$59,0))),Settings!$C$10))</f>
        <v/>
      </c>
      <c r="AL802" s="108">
        <f t="shared" si="228"/>
        <v>0</v>
      </c>
      <c r="AM802" s="39" t="str">
        <f t="shared" si="229"/>
        <v/>
      </c>
      <c r="AN802" s="39" t="str">
        <f t="shared" si="230"/>
        <v/>
      </c>
      <c r="AO802" s="39" t="str">
        <f t="shared" si="231"/>
        <v/>
      </c>
      <c r="AP802" s="39">
        <f t="shared" si="232"/>
        <v>0</v>
      </c>
      <c r="AQ802" s="39">
        <f t="shared" si="233"/>
        <v>0</v>
      </c>
    </row>
    <row r="803" spans="14:43" x14ac:dyDescent="0.25">
      <c r="N803" s="105">
        <f t="shared" si="216"/>
        <v>0</v>
      </c>
      <c r="O803" s="106" t="str">
        <f>IF($F803="","",IF(ISNUMBER($F803),$F803+Settings!$C$7/24,IFERROR(DATEVALUE(LEFT($F803,10))+TIMEVALUE(MID($F803,12,8))+Settings!$C$7/24,"")))</f>
        <v/>
      </c>
      <c r="P803" s="106" t="str">
        <f>IF($G803="","",IF(ISNUMBER($G803),$G803+Settings!$C$7/24,IFERROR(DATEVALUE(LEFT($G803,10))+TIMEVALUE(MID($G803,12,8))+Settings!$C$7/24,"")))</f>
        <v/>
      </c>
      <c r="Q803" s="39" t="str">
        <f t="shared" si="217"/>
        <v/>
      </c>
      <c r="R803" s="39" t="str">
        <f t="shared" si="218"/>
        <v/>
      </c>
      <c r="S803" s="107" t="str">
        <f t="shared" si="219"/>
        <v/>
      </c>
      <c r="T803" s="39" t="str">
        <f>IF($C803="","",IF(COUNTIF($C$2:$C803,$C803)=1,1,0))</f>
        <v/>
      </c>
      <c r="U803" s="39" t="str">
        <f>IF($T803=1,COUNTIF($T$2:$T803,1),"")</f>
        <v/>
      </c>
      <c r="V803" s="39" t="str">
        <f>IF($B803="","",IF(COUNTIF($B$2:$B803,$B803)=1,1,0))</f>
        <v/>
      </c>
      <c r="W803" s="39" t="str">
        <f>IF($V803=1,COUNTIF($V$2:$V803,1),"")</f>
        <v/>
      </c>
      <c r="X803" s="39" t="str">
        <f>IF($A803="","",IF(COUNTIF($A$2:$A803,$A803)=1,1,0))</f>
        <v/>
      </c>
      <c r="Y803" s="39" t="str">
        <f>IF($X803=1,COUNTIF($X$2:$X803,1),"")</f>
        <v/>
      </c>
      <c r="Z803" s="39">
        <f>IF(AND($E803="timed",$N803&gt;Settings!$C$8),1,0)</f>
        <v>0</v>
      </c>
      <c r="AA803" s="39">
        <f t="shared" si="220"/>
        <v>0</v>
      </c>
      <c r="AB803" s="39">
        <f t="shared" si="221"/>
        <v>0</v>
      </c>
      <c r="AC803" s="39" t="str">
        <f t="shared" si="222"/>
        <v/>
      </c>
      <c r="AD803" s="39" t="str">
        <f t="shared" si="223"/>
        <v/>
      </c>
      <c r="AE803" s="39" t="str">
        <f t="shared" si="224"/>
        <v/>
      </c>
      <c r="AF803" s="106" t="str">
        <f t="shared" si="225"/>
        <v/>
      </c>
      <c r="AG803" s="39">
        <f t="shared" si="226"/>
        <v>0</v>
      </c>
      <c r="AH803" s="39" t="str">
        <f t="shared" si="227"/>
        <v/>
      </c>
      <c r="AI803" s="39">
        <f>IF(AND($E803="timed",$N803&gt;=Settings!$C$9),1,0)</f>
        <v>0</v>
      </c>
      <c r="AJ803" s="39" t="str">
        <f>IF(OR($S803="",Settings!$C$16=""),"",IF($S803&lt;=Settings!$C$16,1,2))</f>
        <v/>
      </c>
      <c r="AK803" s="39" t="str">
        <f>IF($C803="","",IFERROR(IF(INDEX(Settings!$C$20:$C$59,MATCH($C803,Settings!$B$20:$B$59,0))="",Settings!$C$10,INDEX(Settings!$C$20:$C$59,MATCH($C803,Settings!$B$20:$B$59,0))),Settings!$C$10))</f>
        <v/>
      </c>
      <c r="AL803" s="108">
        <f t="shared" si="228"/>
        <v>0</v>
      </c>
      <c r="AM803" s="39" t="str">
        <f t="shared" si="229"/>
        <v/>
      </c>
      <c r="AN803" s="39" t="str">
        <f t="shared" si="230"/>
        <v/>
      </c>
      <c r="AO803" s="39" t="str">
        <f t="shared" si="231"/>
        <v/>
      </c>
      <c r="AP803" s="39">
        <f t="shared" si="232"/>
        <v>0</v>
      </c>
      <c r="AQ803" s="39">
        <f t="shared" si="233"/>
        <v>0</v>
      </c>
    </row>
    <row r="804" spans="14:43" x14ac:dyDescent="0.25">
      <c r="N804" s="105">
        <f t="shared" si="216"/>
        <v>0</v>
      </c>
      <c r="O804" s="106" t="str">
        <f>IF($F804="","",IF(ISNUMBER($F804),$F804+Settings!$C$7/24,IFERROR(DATEVALUE(LEFT($F804,10))+TIMEVALUE(MID($F804,12,8))+Settings!$C$7/24,"")))</f>
        <v/>
      </c>
      <c r="P804" s="106" t="str">
        <f>IF($G804="","",IF(ISNUMBER($G804),$G804+Settings!$C$7/24,IFERROR(DATEVALUE(LEFT($G804,10))+TIMEVALUE(MID($G804,12,8))+Settings!$C$7/24,"")))</f>
        <v/>
      </c>
      <c r="Q804" s="39" t="str">
        <f t="shared" si="217"/>
        <v/>
      </c>
      <c r="R804" s="39" t="str">
        <f t="shared" si="218"/>
        <v/>
      </c>
      <c r="S804" s="107" t="str">
        <f t="shared" si="219"/>
        <v/>
      </c>
      <c r="T804" s="39" t="str">
        <f>IF($C804="","",IF(COUNTIF($C$2:$C804,$C804)=1,1,0))</f>
        <v/>
      </c>
      <c r="U804" s="39" t="str">
        <f>IF($T804=1,COUNTIF($T$2:$T804,1),"")</f>
        <v/>
      </c>
      <c r="V804" s="39" t="str">
        <f>IF($B804="","",IF(COUNTIF($B$2:$B804,$B804)=1,1,0))</f>
        <v/>
      </c>
      <c r="W804" s="39" t="str">
        <f>IF($V804=1,COUNTIF($V$2:$V804,1),"")</f>
        <v/>
      </c>
      <c r="X804" s="39" t="str">
        <f>IF($A804="","",IF(COUNTIF($A$2:$A804,$A804)=1,1,0))</f>
        <v/>
      </c>
      <c r="Y804" s="39" t="str">
        <f>IF($X804=1,COUNTIF($X$2:$X804,1),"")</f>
        <v/>
      </c>
      <c r="Z804" s="39">
        <f>IF(AND($E804="timed",$N804&gt;Settings!$C$8),1,0)</f>
        <v>0</v>
      </c>
      <c r="AA804" s="39">
        <f t="shared" si="220"/>
        <v>0</v>
      </c>
      <c r="AB804" s="39">
        <f t="shared" si="221"/>
        <v>0</v>
      </c>
      <c r="AC804" s="39" t="str">
        <f t="shared" si="222"/>
        <v/>
      </c>
      <c r="AD804" s="39" t="str">
        <f t="shared" si="223"/>
        <v/>
      </c>
      <c r="AE804" s="39" t="str">
        <f t="shared" si="224"/>
        <v/>
      </c>
      <c r="AF804" s="106" t="str">
        <f t="shared" si="225"/>
        <v/>
      </c>
      <c r="AG804" s="39">
        <f t="shared" si="226"/>
        <v>0</v>
      </c>
      <c r="AH804" s="39" t="str">
        <f t="shared" si="227"/>
        <v/>
      </c>
      <c r="AI804" s="39">
        <f>IF(AND($E804="timed",$N804&gt;=Settings!$C$9),1,0)</f>
        <v>0</v>
      </c>
      <c r="AJ804" s="39" t="str">
        <f>IF(OR($S804="",Settings!$C$16=""),"",IF($S804&lt;=Settings!$C$16,1,2))</f>
        <v/>
      </c>
      <c r="AK804" s="39" t="str">
        <f>IF($C804="","",IFERROR(IF(INDEX(Settings!$C$20:$C$59,MATCH($C804,Settings!$B$20:$B$59,0))="",Settings!$C$10,INDEX(Settings!$C$20:$C$59,MATCH($C804,Settings!$B$20:$B$59,0))),Settings!$C$10))</f>
        <v/>
      </c>
      <c r="AL804" s="108">
        <f t="shared" si="228"/>
        <v>0</v>
      </c>
      <c r="AM804" s="39" t="str">
        <f t="shared" si="229"/>
        <v/>
      </c>
      <c r="AN804" s="39" t="str">
        <f t="shared" si="230"/>
        <v/>
      </c>
      <c r="AO804" s="39" t="str">
        <f t="shared" si="231"/>
        <v/>
      </c>
      <c r="AP804" s="39">
        <f t="shared" si="232"/>
        <v>0</v>
      </c>
      <c r="AQ804" s="39">
        <f t="shared" si="233"/>
        <v>0</v>
      </c>
    </row>
    <row r="805" spans="14:43" x14ac:dyDescent="0.25">
      <c r="N805" s="105">
        <f t="shared" si="216"/>
        <v>0</v>
      </c>
      <c r="O805" s="106" t="str">
        <f>IF($F805="","",IF(ISNUMBER($F805),$F805+Settings!$C$7/24,IFERROR(DATEVALUE(LEFT($F805,10))+TIMEVALUE(MID($F805,12,8))+Settings!$C$7/24,"")))</f>
        <v/>
      </c>
      <c r="P805" s="106" t="str">
        <f>IF($G805="","",IF(ISNUMBER($G805),$G805+Settings!$C$7/24,IFERROR(DATEVALUE(LEFT($G805,10))+TIMEVALUE(MID($G805,12,8))+Settings!$C$7/24,"")))</f>
        <v/>
      </c>
      <c r="Q805" s="39" t="str">
        <f t="shared" si="217"/>
        <v/>
      </c>
      <c r="R805" s="39" t="str">
        <f t="shared" si="218"/>
        <v/>
      </c>
      <c r="S805" s="107" t="str">
        <f t="shared" si="219"/>
        <v/>
      </c>
      <c r="T805" s="39" t="str">
        <f>IF($C805="","",IF(COUNTIF($C$2:$C805,$C805)=1,1,0))</f>
        <v/>
      </c>
      <c r="U805" s="39" t="str">
        <f>IF($T805=1,COUNTIF($T$2:$T805,1),"")</f>
        <v/>
      </c>
      <c r="V805" s="39" t="str">
        <f>IF($B805="","",IF(COUNTIF($B$2:$B805,$B805)=1,1,0))</f>
        <v/>
      </c>
      <c r="W805" s="39" t="str">
        <f>IF($V805=1,COUNTIF($V$2:$V805,1),"")</f>
        <v/>
      </c>
      <c r="X805" s="39" t="str">
        <f>IF($A805="","",IF(COUNTIF($A$2:$A805,$A805)=1,1,0))</f>
        <v/>
      </c>
      <c r="Y805" s="39" t="str">
        <f>IF($X805=1,COUNTIF($X$2:$X805,1),"")</f>
        <v/>
      </c>
      <c r="Z805" s="39">
        <f>IF(AND($E805="timed",$N805&gt;Settings!$C$8),1,0)</f>
        <v>0</v>
      </c>
      <c r="AA805" s="39">
        <f t="shared" si="220"/>
        <v>0</v>
      </c>
      <c r="AB805" s="39">
        <f t="shared" si="221"/>
        <v>0</v>
      </c>
      <c r="AC805" s="39" t="str">
        <f t="shared" si="222"/>
        <v/>
      </c>
      <c r="AD805" s="39" t="str">
        <f t="shared" si="223"/>
        <v/>
      </c>
      <c r="AE805" s="39" t="str">
        <f t="shared" si="224"/>
        <v/>
      </c>
      <c r="AF805" s="106" t="str">
        <f t="shared" si="225"/>
        <v/>
      </c>
      <c r="AG805" s="39">
        <f t="shared" si="226"/>
        <v>0</v>
      </c>
      <c r="AH805" s="39" t="str">
        <f t="shared" si="227"/>
        <v/>
      </c>
      <c r="AI805" s="39">
        <f>IF(AND($E805="timed",$N805&gt;=Settings!$C$9),1,0)</f>
        <v>0</v>
      </c>
      <c r="AJ805" s="39" t="str">
        <f>IF(OR($S805="",Settings!$C$16=""),"",IF($S805&lt;=Settings!$C$16,1,2))</f>
        <v/>
      </c>
      <c r="AK805" s="39" t="str">
        <f>IF($C805="","",IFERROR(IF(INDEX(Settings!$C$20:$C$59,MATCH($C805,Settings!$B$20:$B$59,0))="",Settings!$C$10,INDEX(Settings!$C$20:$C$59,MATCH($C805,Settings!$B$20:$B$59,0))),Settings!$C$10))</f>
        <v/>
      </c>
      <c r="AL805" s="108">
        <f t="shared" si="228"/>
        <v>0</v>
      </c>
      <c r="AM805" s="39" t="str">
        <f t="shared" si="229"/>
        <v/>
      </c>
      <c r="AN805" s="39" t="str">
        <f t="shared" si="230"/>
        <v/>
      </c>
      <c r="AO805" s="39" t="str">
        <f t="shared" si="231"/>
        <v/>
      </c>
      <c r="AP805" s="39">
        <f t="shared" si="232"/>
        <v>0</v>
      </c>
      <c r="AQ805" s="39">
        <f t="shared" si="233"/>
        <v>0</v>
      </c>
    </row>
    <row r="806" spans="14:43" x14ac:dyDescent="0.25">
      <c r="N806" s="105">
        <f t="shared" si="216"/>
        <v>0</v>
      </c>
      <c r="O806" s="106" t="str">
        <f>IF($F806="","",IF(ISNUMBER($F806),$F806+Settings!$C$7/24,IFERROR(DATEVALUE(LEFT($F806,10))+TIMEVALUE(MID($F806,12,8))+Settings!$C$7/24,"")))</f>
        <v/>
      </c>
      <c r="P806" s="106" t="str">
        <f>IF($G806="","",IF(ISNUMBER($G806),$G806+Settings!$C$7/24,IFERROR(DATEVALUE(LEFT($G806,10))+TIMEVALUE(MID($G806,12,8))+Settings!$C$7/24,"")))</f>
        <v/>
      </c>
      <c r="Q806" s="39" t="str">
        <f t="shared" si="217"/>
        <v/>
      </c>
      <c r="R806" s="39" t="str">
        <f t="shared" si="218"/>
        <v/>
      </c>
      <c r="S806" s="107" t="str">
        <f t="shared" si="219"/>
        <v/>
      </c>
      <c r="T806" s="39" t="str">
        <f>IF($C806="","",IF(COUNTIF($C$2:$C806,$C806)=1,1,0))</f>
        <v/>
      </c>
      <c r="U806" s="39" t="str">
        <f>IF($T806=1,COUNTIF($T$2:$T806,1),"")</f>
        <v/>
      </c>
      <c r="V806" s="39" t="str">
        <f>IF($B806="","",IF(COUNTIF($B$2:$B806,$B806)=1,1,0))</f>
        <v/>
      </c>
      <c r="W806" s="39" t="str">
        <f>IF($V806=1,COUNTIF($V$2:$V806,1),"")</f>
        <v/>
      </c>
      <c r="X806" s="39" t="str">
        <f>IF($A806="","",IF(COUNTIF($A$2:$A806,$A806)=1,1,0))</f>
        <v/>
      </c>
      <c r="Y806" s="39" t="str">
        <f>IF($X806=1,COUNTIF($X$2:$X806,1),"")</f>
        <v/>
      </c>
      <c r="Z806" s="39">
        <f>IF(AND($E806="timed",$N806&gt;Settings!$C$8),1,0)</f>
        <v>0</v>
      </c>
      <c r="AA806" s="39">
        <f t="shared" si="220"/>
        <v>0</v>
      </c>
      <c r="AB806" s="39">
        <f t="shared" si="221"/>
        <v>0</v>
      </c>
      <c r="AC806" s="39" t="str">
        <f t="shared" si="222"/>
        <v/>
      </c>
      <c r="AD806" s="39" t="str">
        <f t="shared" si="223"/>
        <v/>
      </c>
      <c r="AE806" s="39" t="str">
        <f t="shared" si="224"/>
        <v/>
      </c>
      <c r="AF806" s="106" t="str">
        <f t="shared" si="225"/>
        <v/>
      </c>
      <c r="AG806" s="39">
        <f t="shared" si="226"/>
        <v>0</v>
      </c>
      <c r="AH806" s="39" t="str">
        <f t="shared" si="227"/>
        <v/>
      </c>
      <c r="AI806" s="39">
        <f>IF(AND($E806="timed",$N806&gt;=Settings!$C$9),1,0)</f>
        <v>0</v>
      </c>
      <c r="AJ806" s="39" t="str">
        <f>IF(OR($S806="",Settings!$C$16=""),"",IF($S806&lt;=Settings!$C$16,1,2))</f>
        <v/>
      </c>
      <c r="AK806" s="39" t="str">
        <f>IF($C806="","",IFERROR(IF(INDEX(Settings!$C$20:$C$59,MATCH($C806,Settings!$B$20:$B$59,0))="",Settings!$C$10,INDEX(Settings!$C$20:$C$59,MATCH($C806,Settings!$B$20:$B$59,0))),Settings!$C$10))</f>
        <v/>
      </c>
      <c r="AL806" s="108">
        <f t="shared" si="228"/>
        <v>0</v>
      </c>
      <c r="AM806" s="39" t="str">
        <f t="shared" si="229"/>
        <v/>
      </c>
      <c r="AN806" s="39" t="str">
        <f t="shared" si="230"/>
        <v/>
      </c>
      <c r="AO806" s="39" t="str">
        <f t="shared" si="231"/>
        <v/>
      </c>
      <c r="AP806" s="39">
        <f t="shared" si="232"/>
        <v>0</v>
      </c>
      <c r="AQ806" s="39">
        <f t="shared" si="233"/>
        <v>0</v>
      </c>
    </row>
    <row r="807" spans="14:43" x14ac:dyDescent="0.25">
      <c r="N807" s="105">
        <f t="shared" si="216"/>
        <v>0</v>
      </c>
      <c r="O807" s="106" t="str">
        <f>IF($F807="","",IF(ISNUMBER($F807),$F807+Settings!$C$7/24,IFERROR(DATEVALUE(LEFT($F807,10))+TIMEVALUE(MID($F807,12,8))+Settings!$C$7/24,"")))</f>
        <v/>
      </c>
      <c r="P807" s="106" t="str">
        <f>IF($G807="","",IF(ISNUMBER($G807),$G807+Settings!$C$7/24,IFERROR(DATEVALUE(LEFT($G807,10))+TIMEVALUE(MID($G807,12,8))+Settings!$C$7/24,"")))</f>
        <v/>
      </c>
      <c r="Q807" s="39" t="str">
        <f t="shared" si="217"/>
        <v/>
      </c>
      <c r="R807" s="39" t="str">
        <f t="shared" si="218"/>
        <v/>
      </c>
      <c r="S807" s="107" t="str">
        <f t="shared" si="219"/>
        <v/>
      </c>
      <c r="T807" s="39" t="str">
        <f>IF($C807="","",IF(COUNTIF($C$2:$C807,$C807)=1,1,0))</f>
        <v/>
      </c>
      <c r="U807" s="39" t="str">
        <f>IF($T807=1,COUNTIF($T$2:$T807,1),"")</f>
        <v/>
      </c>
      <c r="V807" s="39" t="str">
        <f>IF($B807="","",IF(COUNTIF($B$2:$B807,$B807)=1,1,0))</f>
        <v/>
      </c>
      <c r="W807" s="39" t="str">
        <f>IF($V807=1,COUNTIF($V$2:$V807,1),"")</f>
        <v/>
      </c>
      <c r="X807" s="39" t="str">
        <f>IF($A807="","",IF(COUNTIF($A$2:$A807,$A807)=1,1,0))</f>
        <v/>
      </c>
      <c r="Y807" s="39" t="str">
        <f>IF($X807=1,COUNTIF($X$2:$X807,1),"")</f>
        <v/>
      </c>
      <c r="Z807" s="39">
        <f>IF(AND($E807="timed",$N807&gt;Settings!$C$8),1,0)</f>
        <v>0</v>
      </c>
      <c r="AA807" s="39">
        <f t="shared" si="220"/>
        <v>0</v>
      </c>
      <c r="AB807" s="39">
        <f t="shared" si="221"/>
        <v>0</v>
      </c>
      <c r="AC807" s="39" t="str">
        <f t="shared" si="222"/>
        <v/>
      </c>
      <c r="AD807" s="39" t="str">
        <f t="shared" si="223"/>
        <v/>
      </c>
      <c r="AE807" s="39" t="str">
        <f t="shared" si="224"/>
        <v/>
      </c>
      <c r="AF807" s="106" t="str">
        <f t="shared" si="225"/>
        <v/>
      </c>
      <c r="AG807" s="39">
        <f t="shared" si="226"/>
        <v>0</v>
      </c>
      <c r="AH807" s="39" t="str">
        <f t="shared" si="227"/>
        <v/>
      </c>
      <c r="AI807" s="39">
        <f>IF(AND($E807="timed",$N807&gt;=Settings!$C$9),1,0)</f>
        <v>0</v>
      </c>
      <c r="AJ807" s="39" t="str">
        <f>IF(OR($S807="",Settings!$C$16=""),"",IF($S807&lt;=Settings!$C$16,1,2))</f>
        <v/>
      </c>
      <c r="AK807" s="39" t="str">
        <f>IF($C807="","",IFERROR(IF(INDEX(Settings!$C$20:$C$59,MATCH($C807,Settings!$B$20:$B$59,0))="",Settings!$C$10,INDEX(Settings!$C$20:$C$59,MATCH($C807,Settings!$B$20:$B$59,0))),Settings!$C$10))</f>
        <v/>
      </c>
      <c r="AL807" s="108">
        <f t="shared" si="228"/>
        <v>0</v>
      </c>
      <c r="AM807" s="39" t="str">
        <f t="shared" si="229"/>
        <v/>
      </c>
      <c r="AN807" s="39" t="str">
        <f t="shared" si="230"/>
        <v/>
      </c>
      <c r="AO807" s="39" t="str">
        <f t="shared" si="231"/>
        <v/>
      </c>
      <c r="AP807" s="39">
        <f t="shared" si="232"/>
        <v>0</v>
      </c>
      <c r="AQ807" s="39">
        <f t="shared" si="233"/>
        <v>0</v>
      </c>
    </row>
    <row r="808" spans="14:43" x14ac:dyDescent="0.25">
      <c r="N808" s="105">
        <f t="shared" si="216"/>
        <v>0</v>
      </c>
      <c r="O808" s="106" t="str">
        <f>IF($F808="","",IF(ISNUMBER($F808),$F808+Settings!$C$7/24,IFERROR(DATEVALUE(LEFT($F808,10))+TIMEVALUE(MID($F808,12,8))+Settings!$C$7/24,"")))</f>
        <v/>
      </c>
      <c r="P808" s="106" t="str">
        <f>IF($G808="","",IF(ISNUMBER($G808),$G808+Settings!$C$7/24,IFERROR(DATEVALUE(LEFT($G808,10))+TIMEVALUE(MID($G808,12,8))+Settings!$C$7/24,"")))</f>
        <v/>
      </c>
      <c r="Q808" s="39" t="str">
        <f t="shared" si="217"/>
        <v/>
      </c>
      <c r="R808" s="39" t="str">
        <f t="shared" si="218"/>
        <v/>
      </c>
      <c r="S808" s="107" t="str">
        <f t="shared" si="219"/>
        <v/>
      </c>
      <c r="T808" s="39" t="str">
        <f>IF($C808="","",IF(COUNTIF($C$2:$C808,$C808)=1,1,0))</f>
        <v/>
      </c>
      <c r="U808" s="39" t="str">
        <f>IF($T808=1,COUNTIF($T$2:$T808,1),"")</f>
        <v/>
      </c>
      <c r="V808" s="39" t="str">
        <f>IF($B808="","",IF(COUNTIF($B$2:$B808,$B808)=1,1,0))</f>
        <v/>
      </c>
      <c r="W808" s="39" t="str">
        <f>IF($V808=1,COUNTIF($V$2:$V808,1),"")</f>
        <v/>
      </c>
      <c r="X808" s="39" t="str">
        <f>IF($A808="","",IF(COUNTIF($A$2:$A808,$A808)=1,1,0))</f>
        <v/>
      </c>
      <c r="Y808" s="39" t="str">
        <f>IF($X808=1,COUNTIF($X$2:$X808,1),"")</f>
        <v/>
      </c>
      <c r="Z808" s="39">
        <f>IF(AND($E808="timed",$N808&gt;Settings!$C$8),1,0)</f>
        <v>0</v>
      </c>
      <c r="AA808" s="39">
        <f t="shared" si="220"/>
        <v>0</v>
      </c>
      <c r="AB808" s="39">
        <f t="shared" si="221"/>
        <v>0</v>
      </c>
      <c r="AC808" s="39" t="str">
        <f t="shared" si="222"/>
        <v/>
      </c>
      <c r="AD808" s="39" t="str">
        <f t="shared" si="223"/>
        <v/>
      </c>
      <c r="AE808" s="39" t="str">
        <f t="shared" si="224"/>
        <v/>
      </c>
      <c r="AF808" s="106" t="str">
        <f t="shared" si="225"/>
        <v/>
      </c>
      <c r="AG808" s="39">
        <f t="shared" si="226"/>
        <v>0</v>
      </c>
      <c r="AH808" s="39" t="str">
        <f t="shared" si="227"/>
        <v/>
      </c>
      <c r="AI808" s="39">
        <f>IF(AND($E808="timed",$N808&gt;=Settings!$C$9),1,0)</f>
        <v>0</v>
      </c>
      <c r="AJ808" s="39" t="str">
        <f>IF(OR($S808="",Settings!$C$16=""),"",IF($S808&lt;=Settings!$C$16,1,2))</f>
        <v/>
      </c>
      <c r="AK808" s="39" t="str">
        <f>IF($C808="","",IFERROR(IF(INDEX(Settings!$C$20:$C$59,MATCH($C808,Settings!$B$20:$B$59,0))="",Settings!$C$10,INDEX(Settings!$C$20:$C$59,MATCH($C808,Settings!$B$20:$B$59,0))),Settings!$C$10))</f>
        <v/>
      </c>
      <c r="AL808" s="108">
        <f t="shared" si="228"/>
        <v>0</v>
      </c>
      <c r="AM808" s="39" t="str">
        <f t="shared" si="229"/>
        <v/>
      </c>
      <c r="AN808" s="39" t="str">
        <f t="shared" si="230"/>
        <v/>
      </c>
      <c r="AO808" s="39" t="str">
        <f t="shared" si="231"/>
        <v/>
      </c>
      <c r="AP808" s="39">
        <f t="shared" si="232"/>
        <v>0</v>
      </c>
      <c r="AQ808" s="39">
        <f t="shared" si="233"/>
        <v>0</v>
      </c>
    </row>
    <row r="809" spans="14:43" x14ac:dyDescent="0.25">
      <c r="N809" s="105">
        <f t="shared" si="216"/>
        <v>0</v>
      </c>
      <c r="O809" s="106" t="str">
        <f>IF($F809="","",IF(ISNUMBER($F809),$F809+Settings!$C$7/24,IFERROR(DATEVALUE(LEFT($F809,10))+TIMEVALUE(MID($F809,12,8))+Settings!$C$7/24,"")))</f>
        <v/>
      </c>
      <c r="P809" s="106" t="str">
        <f>IF($G809="","",IF(ISNUMBER($G809),$G809+Settings!$C$7/24,IFERROR(DATEVALUE(LEFT($G809,10))+TIMEVALUE(MID($G809,12,8))+Settings!$C$7/24,"")))</f>
        <v/>
      </c>
      <c r="Q809" s="39" t="str">
        <f t="shared" si="217"/>
        <v/>
      </c>
      <c r="R809" s="39" t="str">
        <f t="shared" si="218"/>
        <v/>
      </c>
      <c r="S809" s="107" t="str">
        <f t="shared" si="219"/>
        <v/>
      </c>
      <c r="T809" s="39" t="str">
        <f>IF($C809="","",IF(COUNTIF($C$2:$C809,$C809)=1,1,0))</f>
        <v/>
      </c>
      <c r="U809" s="39" t="str">
        <f>IF($T809=1,COUNTIF($T$2:$T809,1),"")</f>
        <v/>
      </c>
      <c r="V809" s="39" t="str">
        <f>IF($B809="","",IF(COUNTIF($B$2:$B809,$B809)=1,1,0))</f>
        <v/>
      </c>
      <c r="W809" s="39" t="str">
        <f>IF($V809=1,COUNTIF($V$2:$V809,1),"")</f>
        <v/>
      </c>
      <c r="X809" s="39" t="str">
        <f>IF($A809="","",IF(COUNTIF($A$2:$A809,$A809)=1,1,0))</f>
        <v/>
      </c>
      <c r="Y809" s="39" t="str">
        <f>IF($X809=1,COUNTIF($X$2:$X809,1),"")</f>
        <v/>
      </c>
      <c r="Z809" s="39">
        <f>IF(AND($E809="timed",$N809&gt;Settings!$C$8),1,0)</f>
        <v>0</v>
      </c>
      <c r="AA809" s="39">
        <f t="shared" si="220"/>
        <v>0</v>
      </c>
      <c r="AB809" s="39">
        <f t="shared" si="221"/>
        <v>0</v>
      </c>
      <c r="AC809" s="39" t="str">
        <f t="shared" si="222"/>
        <v/>
      </c>
      <c r="AD809" s="39" t="str">
        <f t="shared" si="223"/>
        <v/>
      </c>
      <c r="AE809" s="39" t="str">
        <f t="shared" si="224"/>
        <v/>
      </c>
      <c r="AF809" s="106" t="str">
        <f t="shared" si="225"/>
        <v/>
      </c>
      <c r="AG809" s="39">
        <f t="shared" si="226"/>
        <v>0</v>
      </c>
      <c r="AH809" s="39" t="str">
        <f t="shared" si="227"/>
        <v/>
      </c>
      <c r="AI809" s="39">
        <f>IF(AND($E809="timed",$N809&gt;=Settings!$C$9),1,0)</f>
        <v>0</v>
      </c>
      <c r="AJ809" s="39" t="str">
        <f>IF(OR($S809="",Settings!$C$16=""),"",IF($S809&lt;=Settings!$C$16,1,2))</f>
        <v/>
      </c>
      <c r="AK809" s="39" t="str">
        <f>IF($C809="","",IFERROR(IF(INDEX(Settings!$C$20:$C$59,MATCH($C809,Settings!$B$20:$B$59,0))="",Settings!$C$10,INDEX(Settings!$C$20:$C$59,MATCH($C809,Settings!$B$20:$B$59,0))),Settings!$C$10))</f>
        <v/>
      </c>
      <c r="AL809" s="108">
        <f t="shared" si="228"/>
        <v>0</v>
      </c>
      <c r="AM809" s="39" t="str">
        <f t="shared" si="229"/>
        <v/>
      </c>
      <c r="AN809" s="39" t="str">
        <f t="shared" si="230"/>
        <v/>
      </c>
      <c r="AO809" s="39" t="str">
        <f t="shared" si="231"/>
        <v/>
      </c>
      <c r="AP809" s="39">
        <f t="shared" si="232"/>
        <v>0</v>
      </c>
      <c r="AQ809" s="39">
        <f t="shared" si="233"/>
        <v>0</v>
      </c>
    </row>
    <row r="810" spans="14:43" x14ac:dyDescent="0.25">
      <c r="N810" s="105">
        <f t="shared" si="216"/>
        <v>0</v>
      </c>
      <c r="O810" s="106" t="str">
        <f>IF($F810="","",IF(ISNUMBER($F810),$F810+Settings!$C$7/24,IFERROR(DATEVALUE(LEFT($F810,10))+TIMEVALUE(MID($F810,12,8))+Settings!$C$7/24,"")))</f>
        <v/>
      </c>
      <c r="P810" s="106" t="str">
        <f>IF($G810="","",IF(ISNUMBER($G810),$G810+Settings!$C$7/24,IFERROR(DATEVALUE(LEFT($G810,10))+TIMEVALUE(MID($G810,12,8))+Settings!$C$7/24,"")))</f>
        <v/>
      </c>
      <c r="Q810" s="39" t="str">
        <f t="shared" si="217"/>
        <v/>
      </c>
      <c r="R810" s="39" t="str">
        <f t="shared" si="218"/>
        <v/>
      </c>
      <c r="S810" s="107" t="str">
        <f t="shared" si="219"/>
        <v/>
      </c>
      <c r="T810" s="39" t="str">
        <f>IF($C810="","",IF(COUNTIF($C$2:$C810,$C810)=1,1,0))</f>
        <v/>
      </c>
      <c r="U810" s="39" t="str">
        <f>IF($T810=1,COUNTIF($T$2:$T810,1),"")</f>
        <v/>
      </c>
      <c r="V810" s="39" t="str">
        <f>IF($B810="","",IF(COUNTIF($B$2:$B810,$B810)=1,1,0))</f>
        <v/>
      </c>
      <c r="W810" s="39" t="str">
        <f>IF($V810=1,COUNTIF($V$2:$V810,1),"")</f>
        <v/>
      </c>
      <c r="X810" s="39" t="str">
        <f>IF($A810="","",IF(COUNTIF($A$2:$A810,$A810)=1,1,0))</f>
        <v/>
      </c>
      <c r="Y810" s="39" t="str">
        <f>IF($X810=1,COUNTIF($X$2:$X810,1),"")</f>
        <v/>
      </c>
      <c r="Z810" s="39">
        <f>IF(AND($E810="timed",$N810&gt;Settings!$C$8),1,0)</f>
        <v>0</v>
      </c>
      <c r="AA810" s="39">
        <f t="shared" si="220"/>
        <v>0</v>
      </c>
      <c r="AB810" s="39">
        <f t="shared" si="221"/>
        <v>0</v>
      </c>
      <c r="AC810" s="39" t="str">
        <f t="shared" si="222"/>
        <v/>
      </c>
      <c r="AD810" s="39" t="str">
        <f t="shared" si="223"/>
        <v/>
      </c>
      <c r="AE810" s="39" t="str">
        <f t="shared" si="224"/>
        <v/>
      </c>
      <c r="AF810" s="106" t="str">
        <f t="shared" si="225"/>
        <v/>
      </c>
      <c r="AG810" s="39">
        <f t="shared" si="226"/>
        <v>0</v>
      </c>
      <c r="AH810" s="39" t="str">
        <f t="shared" si="227"/>
        <v/>
      </c>
      <c r="AI810" s="39">
        <f>IF(AND($E810="timed",$N810&gt;=Settings!$C$9),1,0)</f>
        <v>0</v>
      </c>
      <c r="AJ810" s="39" t="str">
        <f>IF(OR($S810="",Settings!$C$16=""),"",IF($S810&lt;=Settings!$C$16,1,2))</f>
        <v/>
      </c>
      <c r="AK810" s="39" t="str">
        <f>IF($C810="","",IFERROR(IF(INDEX(Settings!$C$20:$C$59,MATCH($C810,Settings!$B$20:$B$59,0))="",Settings!$C$10,INDEX(Settings!$C$20:$C$59,MATCH($C810,Settings!$B$20:$B$59,0))),Settings!$C$10))</f>
        <v/>
      </c>
      <c r="AL810" s="108">
        <f t="shared" si="228"/>
        <v>0</v>
      </c>
      <c r="AM810" s="39" t="str">
        <f t="shared" si="229"/>
        <v/>
      </c>
      <c r="AN810" s="39" t="str">
        <f t="shared" si="230"/>
        <v/>
      </c>
      <c r="AO810" s="39" t="str">
        <f t="shared" si="231"/>
        <v/>
      </c>
      <c r="AP810" s="39">
        <f t="shared" si="232"/>
        <v>0</v>
      </c>
      <c r="AQ810" s="39">
        <f t="shared" si="233"/>
        <v>0</v>
      </c>
    </row>
    <row r="811" spans="14:43" x14ac:dyDescent="0.25">
      <c r="N811" s="105">
        <f t="shared" si="216"/>
        <v>0</v>
      </c>
      <c r="O811" s="106" t="str">
        <f>IF($F811="","",IF(ISNUMBER($F811),$F811+Settings!$C$7/24,IFERROR(DATEVALUE(LEFT($F811,10))+TIMEVALUE(MID($F811,12,8))+Settings!$C$7/24,"")))</f>
        <v/>
      </c>
      <c r="P811" s="106" t="str">
        <f>IF($G811="","",IF(ISNUMBER($G811),$G811+Settings!$C$7/24,IFERROR(DATEVALUE(LEFT($G811,10))+TIMEVALUE(MID($G811,12,8))+Settings!$C$7/24,"")))</f>
        <v/>
      </c>
      <c r="Q811" s="39" t="str">
        <f t="shared" si="217"/>
        <v/>
      </c>
      <c r="R811" s="39" t="str">
        <f t="shared" si="218"/>
        <v/>
      </c>
      <c r="S811" s="107" t="str">
        <f t="shared" si="219"/>
        <v/>
      </c>
      <c r="T811" s="39" t="str">
        <f>IF($C811="","",IF(COUNTIF($C$2:$C811,$C811)=1,1,0))</f>
        <v/>
      </c>
      <c r="U811" s="39" t="str">
        <f>IF($T811=1,COUNTIF($T$2:$T811,1),"")</f>
        <v/>
      </c>
      <c r="V811" s="39" t="str">
        <f>IF($B811="","",IF(COUNTIF($B$2:$B811,$B811)=1,1,0))</f>
        <v/>
      </c>
      <c r="W811" s="39" t="str">
        <f>IF($V811=1,COUNTIF($V$2:$V811,1),"")</f>
        <v/>
      </c>
      <c r="X811" s="39" t="str">
        <f>IF($A811="","",IF(COUNTIF($A$2:$A811,$A811)=1,1,0))</f>
        <v/>
      </c>
      <c r="Y811" s="39" t="str">
        <f>IF($X811=1,COUNTIF($X$2:$X811,1),"")</f>
        <v/>
      </c>
      <c r="Z811" s="39">
        <f>IF(AND($E811="timed",$N811&gt;Settings!$C$8),1,0)</f>
        <v>0</v>
      </c>
      <c r="AA811" s="39">
        <f t="shared" si="220"/>
        <v>0</v>
      </c>
      <c r="AB811" s="39">
        <f t="shared" si="221"/>
        <v>0</v>
      </c>
      <c r="AC811" s="39" t="str">
        <f t="shared" si="222"/>
        <v/>
      </c>
      <c r="AD811" s="39" t="str">
        <f t="shared" si="223"/>
        <v/>
      </c>
      <c r="AE811" s="39" t="str">
        <f t="shared" si="224"/>
        <v/>
      </c>
      <c r="AF811" s="106" t="str">
        <f t="shared" si="225"/>
        <v/>
      </c>
      <c r="AG811" s="39">
        <f t="shared" si="226"/>
        <v>0</v>
      </c>
      <c r="AH811" s="39" t="str">
        <f t="shared" si="227"/>
        <v/>
      </c>
      <c r="AI811" s="39">
        <f>IF(AND($E811="timed",$N811&gt;=Settings!$C$9),1,0)</f>
        <v>0</v>
      </c>
      <c r="AJ811" s="39" t="str">
        <f>IF(OR($S811="",Settings!$C$16=""),"",IF($S811&lt;=Settings!$C$16,1,2))</f>
        <v/>
      </c>
      <c r="AK811" s="39" t="str">
        <f>IF($C811="","",IFERROR(IF(INDEX(Settings!$C$20:$C$59,MATCH($C811,Settings!$B$20:$B$59,0))="",Settings!$C$10,INDEX(Settings!$C$20:$C$59,MATCH($C811,Settings!$B$20:$B$59,0))),Settings!$C$10))</f>
        <v/>
      </c>
      <c r="AL811" s="108">
        <f t="shared" si="228"/>
        <v>0</v>
      </c>
      <c r="AM811" s="39" t="str">
        <f t="shared" si="229"/>
        <v/>
      </c>
      <c r="AN811" s="39" t="str">
        <f t="shared" si="230"/>
        <v/>
      </c>
      <c r="AO811" s="39" t="str">
        <f t="shared" si="231"/>
        <v/>
      </c>
      <c r="AP811" s="39">
        <f t="shared" si="232"/>
        <v>0</v>
      </c>
      <c r="AQ811" s="39">
        <f t="shared" si="233"/>
        <v>0</v>
      </c>
    </row>
    <row r="812" spans="14:43" x14ac:dyDescent="0.25">
      <c r="N812" s="105">
        <f t="shared" si="216"/>
        <v>0</v>
      </c>
      <c r="O812" s="106" t="str">
        <f>IF($F812="","",IF(ISNUMBER($F812),$F812+Settings!$C$7/24,IFERROR(DATEVALUE(LEFT($F812,10))+TIMEVALUE(MID($F812,12,8))+Settings!$C$7/24,"")))</f>
        <v/>
      </c>
      <c r="P812" s="106" t="str">
        <f>IF($G812="","",IF(ISNUMBER($G812),$G812+Settings!$C$7/24,IFERROR(DATEVALUE(LEFT($G812,10))+TIMEVALUE(MID($G812,12,8))+Settings!$C$7/24,"")))</f>
        <v/>
      </c>
      <c r="Q812" s="39" t="str">
        <f t="shared" si="217"/>
        <v/>
      </c>
      <c r="R812" s="39" t="str">
        <f t="shared" si="218"/>
        <v/>
      </c>
      <c r="S812" s="107" t="str">
        <f t="shared" si="219"/>
        <v/>
      </c>
      <c r="T812" s="39" t="str">
        <f>IF($C812="","",IF(COUNTIF($C$2:$C812,$C812)=1,1,0))</f>
        <v/>
      </c>
      <c r="U812" s="39" t="str">
        <f>IF($T812=1,COUNTIF($T$2:$T812,1),"")</f>
        <v/>
      </c>
      <c r="V812" s="39" t="str">
        <f>IF($B812="","",IF(COUNTIF($B$2:$B812,$B812)=1,1,0))</f>
        <v/>
      </c>
      <c r="W812" s="39" t="str">
        <f>IF($V812=1,COUNTIF($V$2:$V812,1),"")</f>
        <v/>
      </c>
      <c r="X812" s="39" t="str">
        <f>IF($A812="","",IF(COUNTIF($A$2:$A812,$A812)=1,1,0))</f>
        <v/>
      </c>
      <c r="Y812" s="39" t="str">
        <f>IF($X812=1,COUNTIF($X$2:$X812,1),"")</f>
        <v/>
      </c>
      <c r="Z812" s="39">
        <f>IF(AND($E812="timed",$N812&gt;Settings!$C$8),1,0)</f>
        <v>0</v>
      </c>
      <c r="AA812" s="39">
        <f t="shared" si="220"/>
        <v>0</v>
      </c>
      <c r="AB812" s="39">
        <f t="shared" si="221"/>
        <v>0</v>
      </c>
      <c r="AC812" s="39" t="str">
        <f t="shared" si="222"/>
        <v/>
      </c>
      <c r="AD812" s="39" t="str">
        <f t="shared" si="223"/>
        <v/>
      </c>
      <c r="AE812" s="39" t="str">
        <f t="shared" si="224"/>
        <v/>
      </c>
      <c r="AF812" s="106" t="str">
        <f t="shared" si="225"/>
        <v/>
      </c>
      <c r="AG812" s="39">
        <f t="shared" si="226"/>
        <v>0</v>
      </c>
      <c r="AH812" s="39" t="str">
        <f t="shared" si="227"/>
        <v/>
      </c>
      <c r="AI812" s="39">
        <f>IF(AND($E812="timed",$N812&gt;=Settings!$C$9),1,0)</f>
        <v>0</v>
      </c>
      <c r="AJ812" s="39" t="str">
        <f>IF(OR($S812="",Settings!$C$16=""),"",IF($S812&lt;=Settings!$C$16,1,2))</f>
        <v/>
      </c>
      <c r="AK812" s="39" t="str">
        <f>IF($C812="","",IFERROR(IF(INDEX(Settings!$C$20:$C$59,MATCH($C812,Settings!$B$20:$B$59,0))="",Settings!$C$10,INDEX(Settings!$C$20:$C$59,MATCH($C812,Settings!$B$20:$B$59,0))),Settings!$C$10))</f>
        <v/>
      </c>
      <c r="AL812" s="108">
        <f t="shared" si="228"/>
        <v>0</v>
      </c>
      <c r="AM812" s="39" t="str">
        <f t="shared" si="229"/>
        <v/>
      </c>
      <c r="AN812" s="39" t="str">
        <f t="shared" si="230"/>
        <v/>
      </c>
      <c r="AO812" s="39" t="str">
        <f t="shared" si="231"/>
        <v/>
      </c>
      <c r="AP812" s="39">
        <f t="shared" si="232"/>
        <v>0</v>
      </c>
      <c r="AQ812" s="39">
        <f t="shared" si="233"/>
        <v>0</v>
      </c>
    </row>
    <row r="813" spans="14:43" x14ac:dyDescent="0.25">
      <c r="N813" s="105">
        <f t="shared" si="216"/>
        <v>0</v>
      </c>
      <c r="O813" s="106" t="str">
        <f>IF($F813="","",IF(ISNUMBER($F813),$F813+Settings!$C$7/24,IFERROR(DATEVALUE(LEFT($F813,10))+TIMEVALUE(MID($F813,12,8))+Settings!$C$7/24,"")))</f>
        <v/>
      </c>
      <c r="P813" s="106" t="str">
        <f>IF($G813="","",IF(ISNUMBER($G813),$G813+Settings!$C$7/24,IFERROR(DATEVALUE(LEFT($G813,10))+TIMEVALUE(MID($G813,12,8))+Settings!$C$7/24,"")))</f>
        <v/>
      </c>
      <c r="Q813" s="39" t="str">
        <f t="shared" si="217"/>
        <v/>
      </c>
      <c r="R813" s="39" t="str">
        <f t="shared" si="218"/>
        <v/>
      </c>
      <c r="S813" s="107" t="str">
        <f t="shared" si="219"/>
        <v/>
      </c>
      <c r="T813" s="39" t="str">
        <f>IF($C813="","",IF(COUNTIF($C$2:$C813,$C813)=1,1,0))</f>
        <v/>
      </c>
      <c r="U813" s="39" t="str">
        <f>IF($T813=1,COUNTIF($T$2:$T813,1),"")</f>
        <v/>
      </c>
      <c r="V813" s="39" t="str">
        <f>IF($B813="","",IF(COUNTIF($B$2:$B813,$B813)=1,1,0))</f>
        <v/>
      </c>
      <c r="W813" s="39" t="str">
        <f>IF($V813=1,COUNTIF($V$2:$V813,1),"")</f>
        <v/>
      </c>
      <c r="X813" s="39" t="str">
        <f>IF($A813="","",IF(COUNTIF($A$2:$A813,$A813)=1,1,0))</f>
        <v/>
      </c>
      <c r="Y813" s="39" t="str">
        <f>IF($X813=1,COUNTIF($X$2:$X813,1),"")</f>
        <v/>
      </c>
      <c r="Z813" s="39">
        <f>IF(AND($E813="timed",$N813&gt;Settings!$C$8),1,0)</f>
        <v>0</v>
      </c>
      <c r="AA813" s="39">
        <f t="shared" si="220"/>
        <v>0</v>
      </c>
      <c r="AB813" s="39">
        <f t="shared" si="221"/>
        <v>0</v>
      </c>
      <c r="AC813" s="39" t="str">
        <f t="shared" si="222"/>
        <v/>
      </c>
      <c r="AD813" s="39" t="str">
        <f t="shared" si="223"/>
        <v/>
      </c>
      <c r="AE813" s="39" t="str">
        <f t="shared" si="224"/>
        <v/>
      </c>
      <c r="AF813" s="106" t="str">
        <f t="shared" si="225"/>
        <v/>
      </c>
      <c r="AG813" s="39">
        <f t="shared" si="226"/>
        <v>0</v>
      </c>
      <c r="AH813" s="39" t="str">
        <f t="shared" si="227"/>
        <v/>
      </c>
      <c r="AI813" s="39">
        <f>IF(AND($E813="timed",$N813&gt;=Settings!$C$9),1,0)</f>
        <v>0</v>
      </c>
      <c r="AJ813" s="39" t="str">
        <f>IF(OR($S813="",Settings!$C$16=""),"",IF($S813&lt;=Settings!$C$16,1,2))</f>
        <v/>
      </c>
      <c r="AK813" s="39" t="str">
        <f>IF($C813="","",IFERROR(IF(INDEX(Settings!$C$20:$C$59,MATCH($C813,Settings!$B$20:$B$59,0))="",Settings!$C$10,INDEX(Settings!$C$20:$C$59,MATCH($C813,Settings!$B$20:$B$59,0))),Settings!$C$10))</f>
        <v/>
      </c>
      <c r="AL813" s="108">
        <f t="shared" si="228"/>
        <v>0</v>
      </c>
      <c r="AM813" s="39" t="str">
        <f t="shared" si="229"/>
        <v/>
      </c>
      <c r="AN813" s="39" t="str">
        <f t="shared" si="230"/>
        <v/>
      </c>
      <c r="AO813" s="39" t="str">
        <f t="shared" si="231"/>
        <v/>
      </c>
      <c r="AP813" s="39">
        <f t="shared" si="232"/>
        <v>0</v>
      </c>
      <c r="AQ813" s="39">
        <f t="shared" si="233"/>
        <v>0</v>
      </c>
    </row>
    <row r="814" spans="14:43" x14ac:dyDescent="0.25">
      <c r="N814" s="105">
        <f t="shared" si="216"/>
        <v>0</v>
      </c>
      <c r="O814" s="106" t="str">
        <f>IF($F814="","",IF(ISNUMBER($F814),$F814+Settings!$C$7/24,IFERROR(DATEVALUE(LEFT($F814,10))+TIMEVALUE(MID($F814,12,8))+Settings!$C$7/24,"")))</f>
        <v/>
      </c>
      <c r="P814" s="106" t="str">
        <f>IF($G814="","",IF(ISNUMBER($G814),$G814+Settings!$C$7/24,IFERROR(DATEVALUE(LEFT($G814,10))+TIMEVALUE(MID($G814,12,8))+Settings!$C$7/24,"")))</f>
        <v/>
      </c>
      <c r="Q814" s="39" t="str">
        <f t="shared" si="217"/>
        <v/>
      </c>
      <c r="R814" s="39" t="str">
        <f t="shared" si="218"/>
        <v/>
      </c>
      <c r="S814" s="107" t="str">
        <f t="shared" si="219"/>
        <v/>
      </c>
      <c r="T814" s="39" t="str">
        <f>IF($C814="","",IF(COUNTIF($C$2:$C814,$C814)=1,1,0))</f>
        <v/>
      </c>
      <c r="U814" s="39" t="str">
        <f>IF($T814=1,COUNTIF($T$2:$T814,1),"")</f>
        <v/>
      </c>
      <c r="V814" s="39" t="str">
        <f>IF($B814="","",IF(COUNTIF($B$2:$B814,$B814)=1,1,0))</f>
        <v/>
      </c>
      <c r="W814" s="39" t="str">
        <f>IF($V814=1,COUNTIF($V$2:$V814,1),"")</f>
        <v/>
      </c>
      <c r="X814" s="39" t="str">
        <f>IF($A814="","",IF(COUNTIF($A$2:$A814,$A814)=1,1,0))</f>
        <v/>
      </c>
      <c r="Y814" s="39" t="str">
        <f>IF($X814=1,COUNTIF($X$2:$X814,1),"")</f>
        <v/>
      </c>
      <c r="Z814" s="39">
        <f>IF(AND($E814="timed",$N814&gt;Settings!$C$8),1,0)</f>
        <v>0</v>
      </c>
      <c r="AA814" s="39">
        <f t="shared" si="220"/>
        <v>0</v>
      </c>
      <c r="AB814" s="39">
        <f t="shared" si="221"/>
        <v>0</v>
      </c>
      <c r="AC814" s="39" t="str">
        <f t="shared" si="222"/>
        <v/>
      </c>
      <c r="AD814" s="39" t="str">
        <f t="shared" si="223"/>
        <v/>
      </c>
      <c r="AE814" s="39" t="str">
        <f t="shared" si="224"/>
        <v/>
      </c>
      <c r="AF814" s="106" t="str">
        <f t="shared" si="225"/>
        <v/>
      </c>
      <c r="AG814" s="39">
        <f t="shared" si="226"/>
        <v>0</v>
      </c>
      <c r="AH814" s="39" t="str">
        <f t="shared" si="227"/>
        <v/>
      </c>
      <c r="AI814" s="39">
        <f>IF(AND($E814="timed",$N814&gt;=Settings!$C$9),1,0)</f>
        <v>0</v>
      </c>
      <c r="AJ814" s="39" t="str">
        <f>IF(OR($S814="",Settings!$C$16=""),"",IF($S814&lt;=Settings!$C$16,1,2))</f>
        <v/>
      </c>
      <c r="AK814" s="39" t="str">
        <f>IF($C814="","",IFERROR(IF(INDEX(Settings!$C$20:$C$59,MATCH($C814,Settings!$B$20:$B$59,0))="",Settings!$C$10,INDEX(Settings!$C$20:$C$59,MATCH($C814,Settings!$B$20:$B$59,0))),Settings!$C$10))</f>
        <v/>
      </c>
      <c r="AL814" s="108">
        <f t="shared" si="228"/>
        <v>0</v>
      </c>
      <c r="AM814" s="39" t="str">
        <f t="shared" si="229"/>
        <v/>
      </c>
      <c r="AN814" s="39" t="str">
        <f t="shared" si="230"/>
        <v/>
      </c>
      <c r="AO814" s="39" t="str">
        <f t="shared" si="231"/>
        <v/>
      </c>
      <c r="AP814" s="39">
        <f t="shared" si="232"/>
        <v>0</v>
      </c>
      <c r="AQ814" s="39">
        <f t="shared" si="233"/>
        <v>0</v>
      </c>
    </row>
    <row r="815" spans="14:43" x14ac:dyDescent="0.25">
      <c r="N815" s="105">
        <f t="shared" si="216"/>
        <v>0</v>
      </c>
      <c r="O815" s="106" t="str">
        <f>IF($F815="","",IF(ISNUMBER($F815),$F815+Settings!$C$7/24,IFERROR(DATEVALUE(LEFT($F815,10))+TIMEVALUE(MID($F815,12,8))+Settings!$C$7/24,"")))</f>
        <v/>
      </c>
      <c r="P815" s="106" t="str">
        <f>IF($G815="","",IF(ISNUMBER($G815),$G815+Settings!$C$7/24,IFERROR(DATEVALUE(LEFT($G815,10))+TIMEVALUE(MID($G815,12,8))+Settings!$C$7/24,"")))</f>
        <v/>
      </c>
      <c r="Q815" s="39" t="str">
        <f t="shared" si="217"/>
        <v/>
      </c>
      <c r="R815" s="39" t="str">
        <f t="shared" si="218"/>
        <v/>
      </c>
      <c r="S815" s="107" t="str">
        <f t="shared" si="219"/>
        <v/>
      </c>
      <c r="T815" s="39" t="str">
        <f>IF($C815="","",IF(COUNTIF($C$2:$C815,$C815)=1,1,0))</f>
        <v/>
      </c>
      <c r="U815" s="39" t="str">
        <f>IF($T815=1,COUNTIF($T$2:$T815,1),"")</f>
        <v/>
      </c>
      <c r="V815" s="39" t="str">
        <f>IF($B815="","",IF(COUNTIF($B$2:$B815,$B815)=1,1,0))</f>
        <v/>
      </c>
      <c r="W815" s="39" t="str">
        <f>IF($V815=1,COUNTIF($V$2:$V815,1),"")</f>
        <v/>
      </c>
      <c r="X815" s="39" t="str">
        <f>IF($A815="","",IF(COUNTIF($A$2:$A815,$A815)=1,1,0))</f>
        <v/>
      </c>
      <c r="Y815" s="39" t="str">
        <f>IF($X815=1,COUNTIF($X$2:$X815,1),"")</f>
        <v/>
      </c>
      <c r="Z815" s="39">
        <f>IF(AND($E815="timed",$N815&gt;Settings!$C$8),1,0)</f>
        <v>0</v>
      </c>
      <c r="AA815" s="39">
        <f t="shared" si="220"/>
        <v>0</v>
      </c>
      <c r="AB815" s="39">
        <f t="shared" si="221"/>
        <v>0</v>
      </c>
      <c r="AC815" s="39" t="str">
        <f t="shared" si="222"/>
        <v/>
      </c>
      <c r="AD815" s="39" t="str">
        <f t="shared" si="223"/>
        <v/>
      </c>
      <c r="AE815" s="39" t="str">
        <f t="shared" si="224"/>
        <v/>
      </c>
      <c r="AF815" s="106" t="str">
        <f t="shared" si="225"/>
        <v/>
      </c>
      <c r="AG815" s="39">
        <f t="shared" si="226"/>
        <v>0</v>
      </c>
      <c r="AH815" s="39" t="str">
        <f t="shared" si="227"/>
        <v/>
      </c>
      <c r="AI815" s="39">
        <f>IF(AND($E815="timed",$N815&gt;=Settings!$C$9),1,0)</f>
        <v>0</v>
      </c>
      <c r="AJ815" s="39" t="str">
        <f>IF(OR($S815="",Settings!$C$16=""),"",IF($S815&lt;=Settings!$C$16,1,2))</f>
        <v/>
      </c>
      <c r="AK815" s="39" t="str">
        <f>IF($C815="","",IFERROR(IF(INDEX(Settings!$C$20:$C$59,MATCH($C815,Settings!$B$20:$B$59,0))="",Settings!$C$10,INDEX(Settings!$C$20:$C$59,MATCH($C815,Settings!$B$20:$B$59,0))),Settings!$C$10))</f>
        <v/>
      </c>
      <c r="AL815" s="108">
        <f t="shared" si="228"/>
        <v>0</v>
      </c>
      <c r="AM815" s="39" t="str">
        <f t="shared" si="229"/>
        <v/>
      </c>
      <c r="AN815" s="39" t="str">
        <f t="shared" si="230"/>
        <v/>
      </c>
      <c r="AO815" s="39" t="str">
        <f t="shared" si="231"/>
        <v/>
      </c>
      <c r="AP815" s="39">
        <f t="shared" si="232"/>
        <v>0</v>
      </c>
      <c r="AQ815" s="39">
        <f t="shared" si="233"/>
        <v>0</v>
      </c>
    </row>
    <row r="816" spans="14:43" x14ac:dyDescent="0.25">
      <c r="N816" s="105">
        <f t="shared" si="216"/>
        <v>0</v>
      </c>
      <c r="O816" s="106" t="str">
        <f>IF($F816="","",IF(ISNUMBER($F816),$F816+Settings!$C$7/24,IFERROR(DATEVALUE(LEFT($F816,10))+TIMEVALUE(MID($F816,12,8))+Settings!$C$7/24,"")))</f>
        <v/>
      </c>
      <c r="P816" s="106" t="str">
        <f>IF($G816="","",IF(ISNUMBER($G816),$G816+Settings!$C$7/24,IFERROR(DATEVALUE(LEFT($G816,10))+TIMEVALUE(MID($G816,12,8))+Settings!$C$7/24,"")))</f>
        <v/>
      </c>
      <c r="Q816" s="39" t="str">
        <f t="shared" si="217"/>
        <v/>
      </c>
      <c r="R816" s="39" t="str">
        <f t="shared" si="218"/>
        <v/>
      </c>
      <c r="S816" s="107" t="str">
        <f t="shared" si="219"/>
        <v/>
      </c>
      <c r="T816" s="39" t="str">
        <f>IF($C816="","",IF(COUNTIF($C$2:$C816,$C816)=1,1,0))</f>
        <v/>
      </c>
      <c r="U816" s="39" t="str">
        <f>IF($T816=1,COUNTIF($T$2:$T816,1),"")</f>
        <v/>
      </c>
      <c r="V816" s="39" t="str">
        <f>IF($B816="","",IF(COUNTIF($B$2:$B816,$B816)=1,1,0))</f>
        <v/>
      </c>
      <c r="W816" s="39" t="str">
        <f>IF($V816=1,COUNTIF($V$2:$V816,1),"")</f>
        <v/>
      </c>
      <c r="X816" s="39" t="str">
        <f>IF($A816="","",IF(COUNTIF($A$2:$A816,$A816)=1,1,0))</f>
        <v/>
      </c>
      <c r="Y816" s="39" t="str">
        <f>IF($X816=1,COUNTIF($X$2:$X816,1),"")</f>
        <v/>
      </c>
      <c r="Z816" s="39">
        <f>IF(AND($E816="timed",$N816&gt;Settings!$C$8),1,0)</f>
        <v>0</v>
      </c>
      <c r="AA816" s="39">
        <f t="shared" si="220"/>
        <v>0</v>
      </c>
      <c r="AB816" s="39">
        <f t="shared" si="221"/>
        <v>0</v>
      </c>
      <c r="AC816" s="39" t="str">
        <f t="shared" si="222"/>
        <v/>
      </c>
      <c r="AD816" s="39" t="str">
        <f t="shared" si="223"/>
        <v/>
      </c>
      <c r="AE816" s="39" t="str">
        <f t="shared" si="224"/>
        <v/>
      </c>
      <c r="AF816" s="106" t="str">
        <f t="shared" si="225"/>
        <v/>
      </c>
      <c r="AG816" s="39">
        <f t="shared" si="226"/>
        <v>0</v>
      </c>
      <c r="AH816" s="39" t="str">
        <f t="shared" si="227"/>
        <v/>
      </c>
      <c r="AI816" s="39">
        <f>IF(AND($E816="timed",$N816&gt;=Settings!$C$9),1,0)</f>
        <v>0</v>
      </c>
      <c r="AJ816" s="39" t="str">
        <f>IF(OR($S816="",Settings!$C$16=""),"",IF($S816&lt;=Settings!$C$16,1,2))</f>
        <v/>
      </c>
      <c r="AK816" s="39" t="str">
        <f>IF($C816="","",IFERROR(IF(INDEX(Settings!$C$20:$C$59,MATCH($C816,Settings!$B$20:$B$59,0))="",Settings!$C$10,INDEX(Settings!$C$20:$C$59,MATCH($C816,Settings!$B$20:$B$59,0))),Settings!$C$10))</f>
        <v/>
      </c>
      <c r="AL816" s="108">
        <f t="shared" si="228"/>
        <v>0</v>
      </c>
      <c r="AM816" s="39" t="str">
        <f t="shared" si="229"/>
        <v/>
      </c>
      <c r="AN816" s="39" t="str">
        <f t="shared" si="230"/>
        <v/>
      </c>
      <c r="AO816" s="39" t="str">
        <f t="shared" si="231"/>
        <v/>
      </c>
      <c r="AP816" s="39">
        <f t="shared" si="232"/>
        <v>0</v>
      </c>
      <c r="AQ816" s="39">
        <f t="shared" si="233"/>
        <v>0</v>
      </c>
    </row>
    <row r="817" spans="14:43" x14ac:dyDescent="0.25">
      <c r="N817" s="105">
        <f t="shared" si="216"/>
        <v>0</v>
      </c>
      <c r="O817" s="106" t="str">
        <f>IF($F817="","",IF(ISNUMBER($F817),$F817+Settings!$C$7/24,IFERROR(DATEVALUE(LEFT($F817,10))+TIMEVALUE(MID($F817,12,8))+Settings!$C$7/24,"")))</f>
        <v/>
      </c>
      <c r="P817" s="106" t="str">
        <f>IF($G817="","",IF(ISNUMBER($G817),$G817+Settings!$C$7/24,IFERROR(DATEVALUE(LEFT($G817,10))+TIMEVALUE(MID($G817,12,8))+Settings!$C$7/24,"")))</f>
        <v/>
      </c>
      <c r="Q817" s="39" t="str">
        <f t="shared" si="217"/>
        <v/>
      </c>
      <c r="R817" s="39" t="str">
        <f t="shared" si="218"/>
        <v/>
      </c>
      <c r="S817" s="107" t="str">
        <f t="shared" si="219"/>
        <v/>
      </c>
      <c r="T817" s="39" t="str">
        <f>IF($C817="","",IF(COUNTIF($C$2:$C817,$C817)=1,1,0))</f>
        <v/>
      </c>
      <c r="U817" s="39" t="str">
        <f>IF($T817=1,COUNTIF($T$2:$T817,1),"")</f>
        <v/>
      </c>
      <c r="V817" s="39" t="str">
        <f>IF($B817="","",IF(COUNTIF($B$2:$B817,$B817)=1,1,0))</f>
        <v/>
      </c>
      <c r="W817" s="39" t="str">
        <f>IF($V817=1,COUNTIF($V$2:$V817,1),"")</f>
        <v/>
      </c>
      <c r="X817" s="39" t="str">
        <f>IF($A817="","",IF(COUNTIF($A$2:$A817,$A817)=1,1,0))</f>
        <v/>
      </c>
      <c r="Y817" s="39" t="str">
        <f>IF($X817=1,COUNTIF($X$2:$X817,1),"")</f>
        <v/>
      </c>
      <c r="Z817" s="39">
        <f>IF(AND($E817="timed",$N817&gt;Settings!$C$8),1,0)</f>
        <v>0</v>
      </c>
      <c r="AA817" s="39">
        <f t="shared" si="220"/>
        <v>0</v>
      </c>
      <c r="AB817" s="39">
        <f t="shared" si="221"/>
        <v>0</v>
      </c>
      <c r="AC817" s="39" t="str">
        <f t="shared" si="222"/>
        <v/>
      </c>
      <c r="AD817" s="39" t="str">
        <f t="shared" si="223"/>
        <v/>
      </c>
      <c r="AE817" s="39" t="str">
        <f t="shared" si="224"/>
        <v/>
      </c>
      <c r="AF817" s="106" t="str">
        <f t="shared" si="225"/>
        <v/>
      </c>
      <c r="AG817" s="39">
        <f t="shared" si="226"/>
        <v>0</v>
      </c>
      <c r="AH817" s="39" t="str">
        <f t="shared" si="227"/>
        <v/>
      </c>
      <c r="AI817" s="39">
        <f>IF(AND($E817="timed",$N817&gt;=Settings!$C$9),1,0)</f>
        <v>0</v>
      </c>
      <c r="AJ817" s="39" t="str">
        <f>IF(OR($S817="",Settings!$C$16=""),"",IF($S817&lt;=Settings!$C$16,1,2))</f>
        <v/>
      </c>
      <c r="AK817" s="39" t="str">
        <f>IF($C817="","",IFERROR(IF(INDEX(Settings!$C$20:$C$59,MATCH($C817,Settings!$B$20:$B$59,0))="",Settings!$C$10,INDEX(Settings!$C$20:$C$59,MATCH($C817,Settings!$B$20:$B$59,0))),Settings!$C$10))</f>
        <v/>
      </c>
      <c r="AL817" s="108">
        <f t="shared" si="228"/>
        <v>0</v>
      </c>
      <c r="AM817" s="39" t="str">
        <f t="shared" si="229"/>
        <v/>
      </c>
      <c r="AN817" s="39" t="str">
        <f t="shared" si="230"/>
        <v/>
      </c>
      <c r="AO817" s="39" t="str">
        <f t="shared" si="231"/>
        <v/>
      </c>
      <c r="AP817" s="39">
        <f t="shared" si="232"/>
        <v>0</v>
      </c>
      <c r="AQ817" s="39">
        <f t="shared" si="233"/>
        <v>0</v>
      </c>
    </row>
    <row r="818" spans="14:43" x14ac:dyDescent="0.25">
      <c r="N818" s="105">
        <f t="shared" si="216"/>
        <v>0</v>
      </c>
      <c r="O818" s="106" t="str">
        <f>IF($F818="","",IF(ISNUMBER($F818),$F818+Settings!$C$7/24,IFERROR(DATEVALUE(LEFT($F818,10))+TIMEVALUE(MID($F818,12,8))+Settings!$C$7/24,"")))</f>
        <v/>
      </c>
      <c r="P818" s="106" t="str">
        <f>IF($G818="","",IF(ISNUMBER($G818),$G818+Settings!$C$7/24,IFERROR(DATEVALUE(LEFT($G818,10))+TIMEVALUE(MID($G818,12,8))+Settings!$C$7/24,"")))</f>
        <v/>
      </c>
      <c r="Q818" s="39" t="str">
        <f t="shared" si="217"/>
        <v/>
      </c>
      <c r="R818" s="39" t="str">
        <f t="shared" si="218"/>
        <v/>
      </c>
      <c r="S818" s="107" t="str">
        <f t="shared" si="219"/>
        <v/>
      </c>
      <c r="T818" s="39" t="str">
        <f>IF($C818="","",IF(COUNTIF($C$2:$C818,$C818)=1,1,0))</f>
        <v/>
      </c>
      <c r="U818" s="39" t="str">
        <f>IF($T818=1,COUNTIF($T$2:$T818,1),"")</f>
        <v/>
      </c>
      <c r="V818" s="39" t="str">
        <f>IF($B818="","",IF(COUNTIF($B$2:$B818,$B818)=1,1,0))</f>
        <v/>
      </c>
      <c r="W818" s="39" t="str">
        <f>IF($V818=1,COUNTIF($V$2:$V818,1),"")</f>
        <v/>
      </c>
      <c r="X818" s="39" t="str">
        <f>IF($A818="","",IF(COUNTIF($A$2:$A818,$A818)=1,1,0))</f>
        <v/>
      </c>
      <c r="Y818" s="39" t="str">
        <f>IF($X818=1,COUNTIF($X$2:$X818,1),"")</f>
        <v/>
      </c>
      <c r="Z818" s="39">
        <f>IF(AND($E818="timed",$N818&gt;Settings!$C$8),1,0)</f>
        <v>0</v>
      </c>
      <c r="AA818" s="39">
        <f t="shared" si="220"/>
        <v>0</v>
      </c>
      <c r="AB818" s="39">
        <f t="shared" si="221"/>
        <v>0</v>
      </c>
      <c r="AC818" s="39" t="str">
        <f t="shared" si="222"/>
        <v/>
      </c>
      <c r="AD818" s="39" t="str">
        <f t="shared" si="223"/>
        <v/>
      </c>
      <c r="AE818" s="39" t="str">
        <f t="shared" si="224"/>
        <v/>
      </c>
      <c r="AF818" s="106" t="str">
        <f t="shared" si="225"/>
        <v/>
      </c>
      <c r="AG818" s="39">
        <f t="shared" si="226"/>
        <v>0</v>
      </c>
      <c r="AH818" s="39" t="str">
        <f t="shared" si="227"/>
        <v/>
      </c>
      <c r="AI818" s="39">
        <f>IF(AND($E818="timed",$N818&gt;=Settings!$C$9),1,0)</f>
        <v>0</v>
      </c>
      <c r="AJ818" s="39" t="str">
        <f>IF(OR($S818="",Settings!$C$16=""),"",IF($S818&lt;=Settings!$C$16,1,2))</f>
        <v/>
      </c>
      <c r="AK818" s="39" t="str">
        <f>IF($C818="","",IFERROR(IF(INDEX(Settings!$C$20:$C$59,MATCH($C818,Settings!$B$20:$B$59,0))="",Settings!$C$10,INDEX(Settings!$C$20:$C$59,MATCH($C818,Settings!$B$20:$B$59,0))),Settings!$C$10))</f>
        <v/>
      </c>
      <c r="AL818" s="108">
        <f t="shared" si="228"/>
        <v>0</v>
      </c>
      <c r="AM818" s="39" t="str">
        <f t="shared" si="229"/>
        <v/>
      </c>
      <c r="AN818" s="39" t="str">
        <f t="shared" si="230"/>
        <v/>
      </c>
      <c r="AO818" s="39" t="str">
        <f t="shared" si="231"/>
        <v/>
      </c>
      <c r="AP818" s="39">
        <f t="shared" si="232"/>
        <v>0</v>
      </c>
      <c r="AQ818" s="39">
        <f t="shared" si="233"/>
        <v>0</v>
      </c>
    </row>
    <row r="819" spans="14:43" x14ac:dyDescent="0.25">
      <c r="N819" s="105">
        <f t="shared" si="216"/>
        <v>0</v>
      </c>
      <c r="O819" s="106" t="str">
        <f>IF($F819="","",IF(ISNUMBER($F819),$F819+Settings!$C$7/24,IFERROR(DATEVALUE(LEFT($F819,10))+TIMEVALUE(MID($F819,12,8))+Settings!$C$7/24,"")))</f>
        <v/>
      </c>
      <c r="P819" s="106" t="str">
        <f>IF($G819="","",IF(ISNUMBER($G819),$G819+Settings!$C$7/24,IFERROR(DATEVALUE(LEFT($G819,10))+TIMEVALUE(MID($G819,12,8))+Settings!$C$7/24,"")))</f>
        <v/>
      </c>
      <c r="Q819" s="39" t="str">
        <f t="shared" si="217"/>
        <v/>
      </c>
      <c r="R819" s="39" t="str">
        <f t="shared" si="218"/>
        <v/>
      </c>
      <c r="S819" s="107" t="str">
        <f t="shared" si="219"/>
        <v/>
      </c>
      <c r="T819" s="39" t="str">
        <f>IF($C819="","",IF(COUNTIF($C$2:$C819,$C819)=1,1,0))</f>
        <v/>
      </c>
      <c r="U819" s="39" t="str">
        <f>IF($T819=1,COUNTIF($T$2:$T819,1),"")</f>
        <v/>
      </c>
      <c r="V819" s="39" t="str">
        <f>IF($B819="","",IF(COUNTIF($B$2:$B819,$B819)=1,1,0))</f>
        <v/>
      </c>
      <c r="W819" s="39" t="str">
        <f>IF($V819=1,COUNTIF($V$2:$V819,1),"")</f>
        <v/>
      </c>
      <c r="X819" s="39" t="str">
        <f>IF($A819="","",IF(COUNTIF($A$2:$A819,$A819)=1,1,0))</f>
        <v/>
      </c>
      <c r="Y819" s="39" t="str">
        <f>IF($X819=1,COUNTIF($X$2:$X819,1),"")</f>
        <v/>
      </c>
      <c r="Z819" s="39">
        <f>IF(AND($E819="timed",$N819&gt;Settings!$C$8),1,0)</f>
        <v>0</v>
      </c>
      <c r="AA819" s="39">
        <f t="shared" si="220"/>
        <v>0</v>
      </c>
      <c r="AB819" s="39">
        <f t="shared" si="221"/>
        <v>0</v>
      </c>
      <c r="AC819" s="39" t="str">
        <f t="shared" si="222"/>
        <v/>
      </c>
      <c r="AD819" s="39" t="str">
        <f t="shared" si="223"/>
        <v/>
      </c>
      <c r="AE819" s="39" t="str">
        <f t="shared" si="224"/>
        <v/>
      </c>
      <c r="AF819" s="106" t="str">
        <f t="shared" si="225"/>
        <v/>
      </c>
      <c r="AG819" s="39">
        <f t="shared" si="226"/>
        <v>0</v>
      </c>
      <c r="AH819" s="39" t="str">
        <f t="shared" si="227"/>
        <v/>
      </c>
      <c r="AI819" s="39">
        <f>IF(AND($E819="timed",$N819&gt;=Settings!$C$9),1,0)</f>
        <v>0</v>
      </c>
      <c r="AJ819" s="39" t="str">
        <f>IF(OR($S819="",Settings!$C$16=""),"",IF($S819&lt;=Settings!$C$16,1,2))</f>
        <v/>
      </c>
      <c r="AK819" s="39" t="str">
        <f>IF($C819="","",IFERROR(IF(INDEX(Settings!$C$20:$C$59,MATCH($C819,Settings!$B$20:$B$59,0))="",Settings!$C$10,INDEX(Settings!$C$20:$C$59,MATCH($C819,Settings!$B$20:$B$59,0))),Settings!$C$10))</f>
        <v/>
      </c>
      <c r="AL819" s="108">
        <f t="shared" si="228"/>
        <v>0</v>
      </c>
      <c r="AM819" s="39" t="str">
        <f t="shared" si="229"/>
        <v/>
      </c>
      <c r="AN819" s="39" t="str">
        <f t="shared" si="230"/>
        <v/>
      </c>
      <c r="AO819" s="39" t="str">
        <f t="shared" si="231"/>
        <v/>
      </c>
      <c r="AP819" s="39">
        <f t="shared" si="232"/>
        <v>0</v>
      </c>
      <c r="AQ819" s="39">
        <f t="shared" si="233"/>
        <v>0</v>
      </c>
    </row>
    <row r="820" spans="14:43" x14ac:dyDescent="0.25">
      <c r="N820" s="105">
        <f t="shared" si="216"/>
        <v>0</v>
      </c>
      <c r="O820" s="106" t="str">
        <f>IF($F820="","",IF(ISNUMBER($F820),$F820+Settings!$C$7/24,IFERROR(DATEVALUE(LEFT($F820,10))+TIMEVALUE(MID($F820,12,8))+Settings!$C$7/24,"")))</f>
        <v/>
      </c>
      <c r="P820" s="106" t="str">
        <f>IF($G820="","",IF(ISNUMBER($G820),$G820+Settings!$C$7/24,IFERROR(DATEVALUE(LEFT($G820,10))+TIMEVALUE(MID($G820,12,8))+Settings!$C$7/24,"")))</f>
        <v/>
      </c>
      <c r="Q820" s="39" t="str">
        <f t="shared" si="217"/>
        <v/>
      </c>
      <c r="R820" s="39" t="str">
        <f t="shared" si="218"/>
        <v/>
      </c>
      <c r="S820" s="107" t="str">
        <f t="shared" si="219"/>
        <v/>
      </c>
      <c r="T820" s="39" t="str">
        <f>IF($C820="","",IF(COUNTIF($C$2:$C820,$C820)=1,1,0))</f>
        <v/>
      </c>
      <c r="U820" s="39" t="str">
        <f>IF($T820=1,COUNTIF($T$2:$T820,1),"")</f>
        <v/>
      </c>
      <c r="V820" s="39" t="str">
        <f>IF($B820="","",IF(COUNTIF($B$2:$B820,$B820)=1,1,0))</f>
        <v/>
      </c>
      <c r="W820" s="39" t="str">
        <f>IF($V820=1,COUNTIF($V$2:$V820,1),"")</f>
        <v/>
      </c>
      <c r="X820" s="39" t="str">
        <f>IF($A820="","",IF(COUNTIF($A$2:$A820,$A820)=1,1,0))</f>
        <v/>
      </c>
      <c r="Y820" s="39" t="str">
        <f>IF($X820=1,COUNTIF($X$2:$X820,1),"")</f>
        <v/>
      </c>
      <c r="Z820" s="39">
        <f>IF(AND($E820="timed",$N820&gt;Settings!$C$8),1,0)</f>
        <v>0</v>
      </c>
      <c r="AA820" s="39">
        <f t="shared" si="220"/>
        <v>0</v>
      </c>
      <c r="AB820" s="39">
        <f t="shared" si="221"/>
        <v>0</v>
      </c>
      <c r="AC820" s="39" t="str">
        <f t="shared" si="222"/>
        <v/>
      </c>
      <c r="AD820" s="39" t="str">
        <f t="shared" si="223"/>
        <v/>
      </c>
      <c r="AE820" s="39" t="str">
        <f t="shared" si="224"/>
        <v/>
      </c>
      <c r="AF820" s="106" t="str">
        <f t="shared" si="225"/>
        <v/>
      </c>
      <c r="AG820" s="39">
        <f t="shared" si="226"/>
        <v>0</v>
      </c>
      <c r="AH820" s="39" t="str">
        <f t="shared" si="227"/>
        <v/>
      </c>
      <c r="AI820" s="39">
        <f>IF(AND($E820="timed",$N820&gt;=Settings!$C$9),1,0)</f>
        <v>0</v>
      </c>
      <c r="AJ820" s="39" t="str">
        <f>IF(OR($S820="",Settings!$C$16=""),"",IF($S820&lt;=Settings!$C$16,1,2))</f>
        <v/>
      </c>
      <c r="AK820" s="39" t="str">
        <f>IF($C820="","",IFERROR(IF(INDEX(Settings!$C$20:$C$59,MATCH($C820,Settings!$B$20:$B$59,0))="",Settings!$C$10,INDEX(Settings!$C$20:$C$59,MATCH($C820,Settings!$B$20:$B$59,0))),Settings!$C$10))</f>
        <v/>
      </c>
      <c r="AL820" s="108">
        <f t="shared" si="228"/>
        <v>0</v>
      </c>
      <c r="AM820" s="39" t="str">
        <f t="shared" si="229"/>
        <v/>
      </c>
      <c r="AN820" s="39" t="str">
        <f t="shared" si="230"/>
        <v/>
      </c>
      <c r="AO820" s="39" t="str">
        <f t="shared" si="231"/>
        <v/>
      </c>
      <c r="AP820" s="39">
        <f t="shared" si="232"/>
        <v>0</v>
      </c>
      <c r="AQ820" s="39">
        <f t="shared" si="233"/>
        <v>0</v>
      </c>
    </row>
    <row r="821" spans="14:43" x14ac:dyDescent="0.25">
      <c r="N821" s="105">
        <f t="shared" si="216"/>
        <v>0</v>
      </c>
      <c r="O821" s="106" t="str">
        <f>IF($F821="","",IF(ISNUMBER($F821),$F821+Settings!$C$7/24,IFERROR(DATEVALUE(LEFT($F821,10))+TIMEVALUE(MID($F821,12,8))+Settings!$C$7/24,"")))</f>
        <v/>
      </c>
      <c r="P821" s="106" t="str">
        <f>IF($G821="","",IF(ISNUMBER($G821),$G821+Settings!$C$7/24,IFERROR(DATEVALUE(LEFT($G821,10))+TIMEVALUE(MID($G821,12,8))+Settings!$C$7/24,"")))</f>
        <v/>
      </c>
      <c r="Q821" s="39" t="str">
        <f t="shared" si="217"/>
        <v/>
      </c>
      <c r="R821" s="39" t="str">
        <f t="shared" si="218"/>
        <v/>
      </c>
      <c r="S821" s="107" t="str">
        <f t="shared" si="219"/>
        <v/>
      </c>
      <c r="T821" s="39" t="str">
        <f>IF($C821="","",IF(COUNTIF($C$2:$C821,$C821)=1,1,0))</f>
        <v/>
      </c>
      <c r="U821" s="39" t="str">
        <f>IF($T821=1,COUNTIF($T$2:$T821,1),"")</f>
        <v/>
      </c>
      <c r="V821" s="39" t="str">
        <f>IF($B821="","",IF(COUNTIF($B$2:$B821,$B821)=1,1,0))</f>
        <v/>
      </c>
      <c r="W821" s="39" t="str">
        <f>IF($V821=1,COUNTIF($V$2:$V821,1),"")</f>
        <v/>
      </c>
      <c r="X821" s="39" t="str">
        <f>IF($A821="","",IF(COUNTIF($A$2:$A821,$A821)=1,1,0))</f>
        <v/>
      </c>
      <c r="Y821" s="39" t="str">
        <f>IF($X821=1,COUNTIF($X$2:$X821,1),"")</f>
        <v/>
      </c>
      <c r="Z821" s="39">
        <f>IF(AND($E821="timed",$N821&gt;Settings!$C$8),1,0)</f>
        <v>0</v>
      </c>
      <c r="AA821" s="39">
        <f t="shared" si="220"/>
        <v>0</v>
      </c>
      <c r="AB821" s="39">
        <f t="shared" si="221"/>
        <v>0</v>
      </c>
      <c r="AC821" s="39" t="str">
        <f t="shared" si="222"/>
        <v/>
      </c>
      <c r="AD821" s="39" t="str">
        <f t="shared" si="223"/>
        <v/>
      </c>
      <c r="AE821" s="39" t="str">
        <f t="shared" si="224"/>
        <v/>
      </c>
      <c r="AF821" s="106" t="str">
        <f t="shared" si="225"/>
        <v/>
      </c>
      <c r="AG821" s="39">
        <f t="shared" si="226"/>
        <v>0</v>
      </c>
      <c r="AH821" s="39" t="str">
        <f t="shared" si="227"/>
        <v/>
      </c>
      <c r="AI821" s="39">
        <f>IF(AND($E821="timed",$N821&gt;=Settings!$C$9),1,0)</f>
        <v>0</v>
      </c>
      <c r="AJ821" s="39" t="str">
        <f>IF(OR($S821="",Settings!$C$16=""),"",IF($S821&lt;=Settings!$C$16,1,2))</f>
        <v/>
      </c>
      <c r="AK821" s="39" t="str">
        <f>IF($C821="","",IFERROR(IF(INDEX(Settings!$C$20:$C$59,MATCH($C821,Settings!$B$20:$B$59,0))="",Settings!$C$10,INDEX(Settings!$C$20:$C$59,MATCH($C821,Settings!$B$20:$B$59,0))),Settings!$C$10))</f>
        <v/>
      </c>
      <c r="AL821" s="108">
        <f t="shared" si="228"/>
        <v>0</v>
      </c>
      <c r="AM821" s="39" t="str">
        <f t="shared" si="229"/>
        <v/>
      </c>
      <c r="AN821" s="39" t="str">
        <f t="shared" si="230"/>
        <v/>
      </c>
      <c r="AO821" s="39" t="str">
        <f t="shared" si="231"/>
        <v/>
      </c>
      <c r="AP821" s="39">
        <f t="shared" si="232"/>
        <v>0</v>
      </c>
      <c r="AQ821" s="39">
        <f t="shared" si="233"/>
        <v>0</v>
      </c>
    </row>
    <row r="822" spans="14:43" x14ac:dyDescent="0.25">
      <c r="N822" s="105">
        <f t="shared" si="216"/>
        <v>0</v>
      </c>
      <c r="O822" s="106" t="str">
        <f>IF($F822="","",IF(ISNUMBER($F822),$F822+Settings!$C$7/24,IFERROR(DATEVALUE(LEFT($F822,10))+TIMEVALUE(MID($F822,12,8))+Settings!$C$7/24,"")))</f>
        <v/>
      </c>
      <c r="P822" s="106" t="str">
        <f>IF($G822="","",IF(ISNUMBER($G822),$G822+Settings!$C$7/24,IFERROR(DATEVALUE(LEFT($G822,10))+TIMEVALUE(MID($G822,12,8))+Settings!$C$7/24,"")))</f>
        <v/>
      </c>
      <c r="Q822" s="39" t="str">
        <f t="shared" si="217"/>
        <v/>
      </c>
      <c r="R822" s="39" t="str">
        <f t="shared" si="218"/>
        <v/>
      </c>
      <c r="S822" s="107" t="str">
        <f t="shared" si="219"/>
        <v/>
      </c>
      <c r="T822" s="39" t="str">
        <f>IF($C822="","",IF(COUNTIF($C$2:$C822,$C822)=1,1,0))</f>
        <v/>
      </c>
      <c r="U822" s="39" t="str">
        <f>IF($T822=1,COUNTIF($T$2:$T822,1),"")</f>
        <v/>
      </c>
      <c r="V822" s="39" t="str">
        <f>IF($B822="","",IF(COUNTIF($B$2:$B822,$B822)=1,1,0))</f>
        <v/>
      </c>
      <c r="W822" s="39" t="str">
        <f>IF($V822=1,COUNTIF($V$2:$V822,1),"")</f>
        <v/>
      </c>
      <c r="X822" s="39" t="str">
        <f>IF($A822="","",IF(COUNTIF($A$2:$A822,$A822)=1,1,0))</f>
        <v/>
      </c>
      <c r="Y822" s="39" t="str">
        <f>IF($X822=1,COUNTIF($X$2:$X822,1),"")</f>
        <v/>
      </c>
      <c r="Z822" s="39">
        <f>IF(AND($E822="timed",$N822&gt;Settings!$C$8),1,0)</f>
        <v>0</v>
      </c>
      <c r="AA822" s="39">
        <f t="shared" si="220"/>
        <v>0</v>
      </c>
      <c r="AB822" s="39">
        <f t="shared" si="221"/>
        <v>0</v>
      </c>
      <c r="AC822" s="39" t="str">
        <f t="shared" si="222"/>
        <v/>
      </c>
      <c r="AD822" s="39" t="str">
        <f t="shared" si="223"/>
        <v/>
      </c>
      <c r="AE822" s="39" t="str">
        <f t="shared" si="224"/>
        <v/>
      </c>
      <c r="AF822" s="106" t="str">
        <f t="shared" si="225"/>
        <v/>
      </c>
      <c r="AG822" s="39">
        <f t="shared" si="226"/>
        <v>0</v>
      </c>
      <c r="AH822" s="39" t="str">
        <f t="shared" si="227"/>
        <v/>
      </c>
      <c r="AI822" s="39">
        <f>IF(AND($E822="timed",$N822&gt;=Settings!$C$9),1,0)</f>
        <v>0</v>
      </c>
      <c r="AJ822" s="39" t="str">
        <f>IF(OR($S822="",Settings!$C$16=""),"",IF($S822&lt;=Settings!$C$16,1,2))</f>
        <v/>
      </c>
      <c r="AK822" s="39" t="str">
        <f>IF($C822="","",IFERROR(IF(INDEX(Settings!$C$20:$C$59,MATCH($C822,Settings!$B$20:$B$59,0))="",Settings!$C$10,INDEX(Settings!$C$20:$C$59,MATCH($C822,Settings!$B$20:$B$59,0))),Settings!$C$10))</f>
        <v/>
      </c>
      <c r="AL822" s="108">
        <f t="shared" si="228"/>
        <v>0</v>
      </c>
      <c r="AM822" s="39" t="str">
        <f t="shared" si="229"/>
        <v/>
      </c>
      <c r="AN822" s="39" t="str">
        <f t="shared" si="230"/>
        <v/>
      </c>
      <c r="AO822" s="39" t="str">
        <f t="shared" si="231"/>
        <v/>
      </c>
      <c r="AP822" s="39">
        <f t="shared" si="232"/>
        <v>0</v>
      </c>
      <c r="AQ822" s="39">
        <f t="shared" si="233"/>
        <v>0</v>
      </c>
    </row>
    <row r="823" spans="14:43" x14ac:dyDescent="0.25">
      <c r="N823" s="105">
        <f t="shared" si="216"/>
        <v>0</v>
      </c>
      <c r="O823" s="106" t="str">
        <f>IF($F823="","",IF(ISNUMBER($F823),$F823+Settings!$C$7/24,IFERROR(DATEVALUE(LEFT($F823,10))+TIMEVALUE(MID($F823,12,8))+Settings!$C$7/24,"")))</f>
        <v/>
      </c>
      <c r="P823" s="106" t="str">
        <f>IF($G823="","",IF(ISNUMBER($G823),$G823+Settings!$C$7/24,IFERROR(DATEVALUE(LEFT($G823,10))+TIMEVALUE(MID($G823,12,8))+Settings!$C$7/24,"")))</f>
        <v/>
      </c>
      <c r="Q823" s="39" t="str">
        <f t="shared" si="217"/>
        <v/>
      </c>
      <c r="R823" s="39" t="str">
        <f t="shared" si="218"/>
        <v/>
      </c>
      <c r="S823" s="107" t="str">
        <f t="shared" si="219"/>
        <v/>
      </c>
      <c r="T823" s="39" t="str">
        <f>IF($C823="","",IF(COUNTIF($C$2:$C823,$C823)=1,1,0))</f>
        <v/>
      </c>
      <c r="U823" s="39" t="str">
        <f>IF($T823=1,COUNTIF($T$2:$T823,1),"")</f>
        <v/>
      </c>
      <c r="V823" s="39" t="str">
        <f>IF($B823="","",IF(COUNTIF($B$2:$B823,$B823)=1,1,0))</f>
        <v/>
      </c>
      <c r="W823" s="39" t="str">
        <f>IF($V823=1,COUNTIF($V$2:$V823,1),"")</f>
        <v/>
      </c>
      <c r="X823" s="39" t="str">
        <f>IF($A823="","",IF(COUNTIF($A$2:$A823,$A823)=1,1,0))</f>
        <v/>
      </c>
      <c r="Y823" s="39" t="str">
        <f>IF($X823=1,COUNTIF($X$2:$X823,1),"")</f>
        <v/>
      </c>
      <c r="Z823" s="39">
        <f>IF(AND($E823="timed",$N823&gt;Settings!$C$8),1,0)</f>
        <v>0</v>
      </c>
      <c r="AA823" s="39">
        <f t="shared" si="220"/>
        <v>0</v>
      </c>
      <c r="AB823" s="39">
        <f t="shared" si="221"/>
        <v>0</v>
      </c>
      <c r="AC823" s="39" t="str">
        <f t="shared" si="222"/>
        <v/>
      </c>
      <c r="AD823" s="39" t="str">
        <f t="shared" si="223"/>
        <v/>
      </c>
      <c r="AE823" s="39" t="str">
        <f t="shared" si="224"/>
        <v/>
      </c>
      <c r="AF823" s="106" t="str">
        <f t="shared" si="225"/>
        <v/>
      </c>
      <c r="AG823" s="39">
        <f t="shared" si="226"/>
        <v>0</v>
      </c>
      <c r="AH823" s="39" t="str">
        <f t="shared" si="227"/>
        <v/>
      </c>
      <c r="AI823" s="39">
        <f>IF(AND($E823="timed",$N823&gt;=Settings!$C$9),1,0)</f>
        <v>0</v>
      </c>
      <c r="AJ823" s="39" t="str">
        <f>IF(OR($S823="",Settings!$C$16=""),"",IF($S823&lt;=Settings!$C$16,1,2))</f>
        <v/>
      </c>
      <c r="AK823" s="39" t="str">
        <f>IF($C823="","",IFERROR(IF(INDEX(Settings!$C$20:$C$59,MATCH($C823,Settings!$B$20:$B$59,0))="",Settings!$C$10,INDEX(Settings!$C$20:$C$59,MATCH($C823,Settings!$B$20:$B$59,0))),Settings!$C$10))</f>
        <v/>
      </c>
      <c r="AL823" s="108">
        <f t="shared" si="228"/>
        <v>0</v>
      </c>
      <c r="AM823" s="39" t="str">
        <f t="shared" si="229"/>
        <v/>
      </c>
      <c r="AN823" s="39" t="str">
        <f t="shared" si="230"/>
        <v/>
      </c>
      <c r="AO823" s="39" t="str">
        <f t="shared" si="231"/>
        <v/>
      </c>
      <c r="AP823" s="39">
        <f t="shared" si="232"/>
        <v>0</v>
      </c>
      <c r="AQ823" s="39">
        <f t="shared" si="233"/>
        <v>0</v>
      </c>
    </row>
    <row r="824" spans="14:43" x14ac:dyDescent="0.25">
      <c r="N824" s="105">
        <f t="shared" si="216"/>
        <v>0</v>
      </c>
      <c r="O824" s="106" t="str">
        <f>IF($F824="","",IF(ISNUMBER($F824),$F824+Settings!$C$7/24,IFERROR(DATEVALUE(LEFT($F824,10))+TIMEVALUE(MID($F824,12,8))+Settings!$C$7/24,"")))</f>
        <v/>
      </c>
      <c r="P824" s="106" t="str">
        <f>IF($G824="","",IF(ISNUMBER($G824),$G824+Settings!$C$7/24,IFERROR(DATEVALUE(LEFT($G824,10))+TIMEVALUE(MID($G824,12,8))+Settings!$C$7/24,"")))</f>
        <v/>
      </c>
      <c r="Q824" s="39" t="str">
        <f t="shared" si="217"/>
        <v/>
      </c>
      <c r="R824" s="39" t="str">
        <f t="shared" si="218"/>
        <v/>
      </c>
      <c r="S824" s="107" t="str">
        <f t="shared" si="219"/>
        <v/>
      </c>
      <c r="T824" s="39" t="str">
        <f>IF($C824="","",IF(COUNTIF($C$2:$C824,$C824)=1,1,0))</f>
        <v/>
      </c>
      <c r="U824" s="39" t="str">
        <f>IF($T824=1,COUNTIF($T$2:$T824,1),"")</f>
        <v/>
      </c>
      <c r="V824" s="39" t="str">
        <f>IF($B824="","",IF(COUNTIF($B$2:$B824,$B824)=1,1,0))</f>
        <v/>
      </c>
      <c r="W824" s="39" t="str">
        <f>IF($V824=1,COUNTIF($V$2:$V824,1),"")</f>
        <v/>
      </c>
      <c r="X824" s="39" t="str">
        <f>IF($A824="","",IF(COUNTIF($A$2:$A824,$A824)=1,1,0))</f>
        <v/>
      </c>
      <c r="Y824" s="39" t="str">
        <f>IF($X824=1,COUNTIF($X$2:$X824,1),"")</f>
        <v/>
      </c>
      <c r="Z824" s="39">
        <f>IF(AND($E824="timed",$N824&gt;Settings!$C$8),1,0)</f>
        <v>0</v>
      </c>
      <c r="AA824" s="39">
        <f t="shared" si="220"/>
        <v>0</v>
      </c>
      <c r="AB824" s="39">
        <f t="shared" si="221"/>
        <v>0</v>
      </c>
      <c r="AC824" s="39" t="str">
        <f t="shared" si="222"/>
        <v/>
      </c>
      <c r="AD824" s="39" t="str">
        <f t="shared" si="223"/>
        <v/>
      </c>
      <c r="AE824" s="39" t="str">
        <f t="shared" si="224"/>
        <v/>
      </c>
      <c r="AF824" s="106" t="str">
        <f t="shared" si="225"/>
        <v/>
      </c>
      <c r="AG824" s="39">
        <f t="shared" si="226"/>
        <v>0</v>
      </c>
      <c r="AH824" s="39" t="str">
        <f t="shared" si="227"/>
        <v/>
      </c>
      <c r="AI824" s="39">
        <f>IF(AND($E824="timed",$N824&gt;=Settings!$C$9),1,0)</f>
        <v>0</v>
      </c>
      <c r="AJ824" s="39" t="str">
        <f>IF(OR($S824="",Settings!$C$16=""),"",IF($S824&lt;=Settings!$C$16,1,2))</f>
        <v/>
      </c>
      <c r="AK824" s="39" t="str">
        <f>IF($C824="","",IFERROR(IF(INDEX(Settings!$C$20:$C$59,MATCH($C824,Settings!$B$20:$B$59,0))="",Settings!$C$10,INDEX(Settings!$C$20:$C$59,MATCH($C824,Settings!$B$20:$B$59,0))),Settings!$C$10))</f>
        <v/>
      </c>
      <c r="AL824" s="108">
        <f t="shared" si="228"/>
        <v>0</v>
      </c>
      <c r="AM824" s="39" t="str">
        <f t="shared" si="229"/>
        <v/>
      </c>
      <c r="AN824" s="39" t="str">
        <f t="shared" si="230"/>
        <v/>
      </c>
      <c r="AO824" s="39" t="str">
        <f t="shared" si="231"/>
        <v/>
      </c>
      <c r="AP824" s="39">
        <f t="shared" si="232"/>
        <v>0</v>
      </c>
      <c r="AQ824" s="39">
        <f t="shared" si="233"/>
        <v>0</v>
      </c>
    </row>
    <row r="825" spans="14:43" x14ac:dyDescent="0.25">
      <c r="N825" s="105">
        <f t="shared" si="216"/>
        <v>0</v>
      </c>
      <c r="O825" s="106" t="str">
        <f>IF($F825="","",IF(ISNUMBER($F825),$F825+Settings!$C$7/24,IFERROR(DATEVALUE(LEFT($F825,10))+TIMEVALUE(MID($F825,12,8))+Settings!$C$7/24,"")))</f>
        <v/>
      </c>
      <c r="P825" s="106" t="str">
        <f>IF($G825="","",IF(ISNUMBER($G825),$G825+Settings!$C$7/24,IFERROR(DATEVALUE(LEFT($G825,10))+TIMEVALUE(MID($G825,12,8))+Settings!$C$7/24,"")))</f>
        <v/>
      </c>
      <c r="Q825" s="39" t="str">
        <f t="shared" si="217"/>
        <v/>
      </c>
      <c r="R825" s="39" t="str">
        <f t="shared" si="218"/>
        <v/>
      </c>
      <c r="S825" s="107" t="str">
        <f t="shared" si="219"/>
        <v/>
      </c>
      <c r="T825" s="39" t="str">
        <f>IF($C825="","",IF(COUNTIF($C$2:$C825,$C825)=1,1,0))</f>
        <v/>
      </c>
      <c r="U825" s="39" t="str">
        <f>IF($T825=1,COUNTIF($T$2:$T825,1),"")</f>
        <v/>
      </c>
      <c r="V825" s="39" t="str">
        <f>IF($B825="","",IF(COUNTIF($B$2:$B825,$B825)=1,1,0))</f>
        <v/>
      </c>
      <c r="W825" s="39" t="str">
        <f>IF($V825=1,COUNTIF($V$2:$V825,1),"")</f>
        <v/>
      </c>
      <c r="X825" s="39" t="str">
        <f>IF($A825="","",IF(COUNTIF($A$2:$A825,$A825)=1,1,0))</f>
        <v/>
      </c>
      <c r="Y825" s="39" t="str">
        <f>IF($X825=1,COUNTIF($X$2:$X825,1),"")</f>
        <v/>
      </c>
      <c r="Z825" s="39">
        <f>IF(AND($E825="timed",$N825&gt;Settings!$C$8),1,0)</f>
        <v>0</v>
      </c>
      <c r="AA825" s="39">
        <f t="shared" si="220"/>
        <v>0</v>
      </c>
      <c r="AB825" s="39">
        <f t="shared" si="221"/>
        <v>0</v>
      </c>
      <c r="AC825" s="39" t="str">
        <f t="shared" si="222"/>
        <v/>
      </c>
      <c r="AD825" s="39" t="str">
        <f t="shared" si="223"/>
        <v/>
      </c>
      <c r="AE825" s="39" t="str">
        <f t="shared" si="224"/>
        <v/>
      </c>
      <c r="AF825" s="106" t="str">
        <f t="shared" si="225"/>
        <v/>
      </c>
      <c r="AG825" s="39">
        <f t="shared" si="226"/>
        <v>0</v>
      </c>
      <c r="AH825" s="39" t="str">
        <f t="shared" si="227"/>
        <v/>
      </c>
      <c r="AI825" s="39">
        <f>IF(AND($E825="timed",$N825&gt;=Settings!$C$9),1,0)</f>
        <v>0</v>
      </c>
      <c r="AJ825" s="39" t="str">
        <f>IF(OR($S825="",Settings!$C$16=""),"",IF($S825&lt;=Settings!$C$16,1,2))</f>
        <v/>
      </c>
      <c r="AK825" s="39" t="str">
        <f>IF($C825="","",IFERROR(IF(INDEX(Settings!$C$20:$C$59,MATCH($C825,Settings!$B$20:$B$59,0))="",Settings!$C$10,INDEX(Settings!$C$20:$C$59,MATCH($C825,Settings!$B$20:$B$59,0))),Settings!$C$10))</f>
        <v/>
      </c>
      <c r="AL825" s="108">
        <f t="shared" si="228"/>
        <v>0</v>
      </c>
      <c r="AM825" s="39" t="str">
        <f t="shared" si="229"/>
        <v/>
      </c>
      <c r="AN825" s="39" t="str">
        <f t="shared" si="230"/>
        <v/>
      </c>
      <c r="AO825" s="39" t="str">
        <f t="shared" si="231"/>
        <v/>
      </c>
      <c r="AP825" s="39">
        <f t="shared" si="232"/>
        <v>0</v>
      </c>
      <c r="AQ825" s="39">
        <f t="shared" si="233"/>
        <v>0</v>
      </c>
    </row>
    <row r="826" spans="14:43" x14ac:dyDescent="0.25">
      <c r="N826" s="105">
        <f t="shared" si="216"/>
        <v>0</v>
      </c>
      <c r="O826" s="106" t="str">
        <f>IF($F826="","",IF(ISNUMBER($F826),$F826+Settings!$C$7/24,IFERROR(DATEVALUE(LEFT($F826,10))+TIMEVALUE(MID($F826,12,8))+Settings!$C$7/24,"")))</f>
        <v/>
      </c>
      <c r="P826" s="106" t="str">
        <f>IF($G826="","",IF(ISNUMBER($G826),$G826+Settings!$C$7/24,IFERROR(DATEVALUE(LEFT($G826,10))+TIMEVALUE(MID($G826,12,8))+Settings!$C$7/24,"")))</f>
        <v/>
      </c>
      <c r="Q826" s="39" t="str">
        <f t="shared" si="217"/>
        <v/>
      </c>
      <c r="R826" s="39" t="str">
        <f t="shared" si="218"/>
        <v/>
      </c>
      <c r="S826" s="107" t="str">
        <f t="shared" si="219"/>
        <v/>
      </c>
      <c r="T826" s="39" t="str">
        <f>IF($C826="","",IF(COUNTIF($C$2:$C826,$C826)=1,1,0))</f>
        <v/>
      </c>
      <c r="U826" s="39" t="str">
        <f>IF($T826=1,COUNTIF($T$2:$T826,1),"")</f>
        <v/>
      </c>
      <c r="V826" s="39" t="str">
        <f>IF($B826="","",IF(COUNTIF($B$2:$B826,$B826)=1,1,0))</f>
        <v/>
      </c>
      <c r="W826" s="39" t="str">
        <f>IF($V826=1,COUNTIF($V$2:$V826,1),"")</f>
        <v/>
      </c>
      <c r="X826" s="39" t="str">
        <f>IF($A826="","",IF(COUNTIF($A$2:$A826,$A826)=1,1,0))</f>
        <v/>
      </c>
      <c r="Y826" s="39" t="str">
        <f>IF($X826=1,COUNTIF($X$2:$X826,1),"")</f>
        <v/>
      </c>
      <c r="Z826" s="39">
        <f>IF(AND($E826="timed",$N826&gt;Settings!$C$8),1,0)</f>
        <v>0</v>
      </c>
      <c r="AA826" s="39">
        <f t="shared" si="220"/>
        <v>0</v>
      </c>
      <c r="AB826" s="39">
        <f t="shared" si="221"/>
        <v>0</v>
      </c>
      <c r="AC826" s="39" t="str">
        <f t="shared" si="222"/>
        <v/>
      </c>
      <c r="AD826" s="39" t="str">
        <f t="shared" si="223"/>
        <v/>
      </c>
      <c r="AE826" s="39" t="str">
        <f t="shared" si="224"/>
        <v/>
      </c>
      <c r="AF826" s="106" t="str">
        <f t="shared" si="225"/>
        <v/>
      </c>
      <c r="AG826" s="39">
        <f t="shared" si="226"/>
        <v>0</v>
      </c>
      <c r="AH826" s="39" t="str">
        <f t="shared" si="227"/>
        <v/>
      </c>
      <c r="AI826" s="39">
        <f>IF(AND($E826="timed",$N826&gt;=Settings!$C$9),1,0)</f>
        <v>0</v>
      </c>
      <c r="AJ826" s="39" t="str">
        <f>IF(OR($S826="",Settings!$C$16=""),"",IF($S826&lt;=Settings!$C$16,1,2))</f>
        <v/>
      </c>
      <c r="AK826" s="39" t="str">
        <f>IF($C826="","",IFERROR(IF(INDEX(Settings!$C$20:$C$59,MATCH($C826,Settings!$B$20:$B$59,0))="",Settings!$C$10,INDEX(Settings!$C$20:$C$59,MATCH($C826,Settings!$B$20:$B$59,0))),Settings!$C$10))</f>
        <v/>
      </c>
      <c r="AL826" s="108">
        <f t="shared" si="228"/>
        <v>0</v>
      </c>
      <c r="AM826" s="39" t="str">
        <f t="shared" si="229"/>
        <v/>
      </c>
      <c r="AN826" s="39" t="str">
        <f t="shared" si="230"/>
        <v/>
      </c>
      <c r="AO826" s="39" t="str">
        <f t="shared" si="231"/>
        <v/>
      </c>
      <c r="AP826" s="39">
        <f t="shared" si="232"/>
        <v>0</v>
      </c>
      <c r="AQ826" s="39">
        <f t="shared" si="233"/>
        <v>0</v>
      </c>
    </row>
    <row r="827" spans="14:43" x14ac:dyDescent="0.25">
      <c r="N827" s="105">
        <f t="shared" si="216"/>
        <v>0</v>
      </c>
      <c r="O827" s="106" t="str">
        <f>IF($F827="","",IF(ISNUMBER($F827),$F827+Settings!$C$7/24,IFERROR(DATEVALUE(LEFT($F827,10))+TIMEVALUE(MID($F827,12,8))+Settings!$C$7/24,"")))</f>
        <v/>
      </c>
      <c r="P827" s="106" t="str">
        <f>IF($G827="","",IF(ISNUMBER($G827),$G827+Settings!$C$7/24,IFERROR(DATEVALUE(LEFT($G827,10))+TIMEVALUE(MID($G827,12,8))+Settings!$C$7/24,"")))</f>
        <v/>
      </c>
      <c r="Q827" s="39" t="str">
        <f t="shared" si="217"/>
        <v/>
      </c>
      <c r="R827" s="39" t="str">
        <f t="shared" si="218"/>
        <v/>
      </c>
      <c r="S827" s="107" t="str">
        <f t="shared" si="219"/>
        <v/>
      </c>
      <c r="T827" s="39" t="str">
        <f>IF($C827="","",IF(COUNTIF($C$2:$C827,$C827)=1,1,0))</f>
        <v/>
      </c>
      <c r="U827" s="39" t="str">
        <f>IF($T827=1,COUNTIF($T$2:$T827,1),"")</f>
        <v/>
      </c>
      <c r="V827" s="39" t="str">
        <f>IF($B827="","",IF(COUNTIF($B$2:$B827,$B827)=1,1,0))</f>
        <v/>
      </c>
      <c r="W827" s="39" t="str">
        <f>IF($V827=1,COUNTIF($V$2:$V827,1),"")</f>
        <v/>
      </c>
      <c r="X827" s="39" t="str">
        <f>IF($A827="","",IF(COUNTIF($A$2:$A827,$A827)=1,1,0))</f>
        <v/>
      </c>
      <c r="Y827" s="39" t="str">
        <f>IF($X827=1,COUNTIF($X$2:$X827,1),"")</f>
        <v/>
      </c>
      <c r="Z827" s="39">
        <f>IF(AND($E827="timed",$N827&gt;Settings!$C$8),1,0)</f>
        <v>0</v>
      </c>
      <c r="AA827" s="39">
        <f t="shared" si="220"/>
        <v>0</v>
      </c>
      <c r="AB827" s="39">
        <f t="shared" si="221"/>
        <v>0</v>
      </c>
      <c r="AC827" s="39" t="str">
        <f t="shared" si="222"/>
        <v/>
      </c>
      <c r="AD827" s="39" t="str">
        <f t="shared" si="223"/>
        <v/>
      </c>
      <c r="AE827" s="39" t="str">
        <f t="shared" si="224"/>
        <v/>
      </c>
      <c r="AF827" s="106" t="str">
        <f t="shared" si="225"/>
        <v/>
      </c>
      <c r="AG827" s="39">
        <f t="shared" si="226"/>
        <v>0</v>
      </c>
      <c r="AH827" s="39" t="str">
        <f t="shared" si="227"/>
        <v/>
      </c>
      <c r="AI827" s="39">
        <f>IF(AND($E827="timed",$N827&gt;=Settings!$C$9),1,0)</f>
        <v>0</v>
      </c>
      <c r="AJ827" s="39" t="str">
        <f>IF(OR($S827="",Settings!$C$16=""),"",IF($S827&lt;=Settings!$C$16,1,2))</f>
        <v/>
      </c>
      <c r="AK827" s="39" t="str">
        <f>IF($C827="","",IFERROR(IF(INDEX(Settings!$C$20:$C$59,MATCH($C827,Settings!$B$20:$B$59,0))="",Settings!$C$10,INDEX(Settings!$C$20:$C$59,MATCH($C827,Settings!$B$20:$B$59,0))),Settings!$C$10))</f>
        <v/>
      </c>
      <c r="AL827" s="108">
        <f t="shared" si="228"/>
        <v>0</v>
      </c>
      <c r="AM827" s="39" t="str">
        <f t="shared" si="229"/>
        <v/>
      </c>
      <c r="AN827" s="39" t="str">
        <f t="shared" si="230"/>
        <v/>
      </c>
      <c r="AO827" s="39" t="str">
        <f t="shared" si="231"/>
        <v/>
      </c>
      <c r="AP827" s="39">
        <f t="shared" si="232"/>
        <v>0</v>
      </c>
      <c r="AQ827" s="39">
        <f t="shared" si="233"/>
        <v>0</v>
      </c>
    </row>
    <row r="828" spans="14:43" x14ac:dyDescent="0.25">
      <c r="N828" s="105">
        <f t="shared" si="216"/>
        <v>0</v>
      </c>
      <c r="O828" s="106" t="str">
        <f>IF($F828="","",IF(ISNUMBER($F828),$F828+Settings!$C$7/24,IFERROR(DATEVALUE(LEFT($F828,10))+TIMEVALUE(MID($F828,12,8))+Settings!$C$7/24,"")))</f>
        <v/>
      </c>
      <c r="P828" s="106" t="str">
        <f>IF($G828="","",IF(ISNUMBER($G828),$G828+Settings!$C$7/24,IFERROR(DATEVALUE(LEFT($G828,10))+TIMEVALUE(MID($G828,12,8))+Settings!$C$7/24,"")))</f>
        <v/>
      </c>
      <c r="Q828" s="39" t="str">
        <f t="shared" si="217"/>
        <v/>
      </c>
      <c r="R828" s="39" t="str">
        <f t="shared" si="218"/>
        <v/>
      </c>
      <c r="S828" s="107" t="str">
        <f t="shared" si="219"/>
        <v/>
      </c>
      <c r="T828" s="39" t="str">
        <f>IF($C828="","",IF(COUNTIF($C$2:$C828,$C828)=1,1,0))</f>
        <v/>
      </c>
      <c r="U828" s="39" t="str">
        <f>IF($T828=1,COUNTIF($T$2:$T828,1),"")</f>
        <v/>
      </c>
      <c r="V828" s="39" t="str">
        <f>IF($B828="","",IF(COUNTIF($B$2:$B828,$B828)=1,1,0))</f>
        <v/>
      </c>
      <c r="W828" s="39" t="str">
        <f>IF($V828=1,COUNTIF($V$2:$V828,1),"")</f>
        <v/>
      </c>
      <c r="X828" s="39" t="str">
        <f>IF($A828="","",IF(COUNTIF($A$2:$A828,$A828)=1,1,0))</f>
        <v/>
      </c>
      <c r="Y828" s="39" t="str">
        <f>IF($X828=1,COUNTIF($X$2:$X828,1),"")</f>
        <v/>
      </c>
      <c r="Z828" s="39">
        <f>IF(AND($E828="timed",$N828&gt;Settings!$C$8),1,0)</f>
        <v>0</v>
      </c>
      <c r="AA828" s="39">
        <f t="shared" si="220"/>
        <v>0</v>
      </c>
      <c r="AB828" s="39">
        <f t="shared" si="221"/>
        <v>0</v>
      </c>
      <c r="AC828" s="39" t="str">
        <f t="shared" si="222"/>
        <v/>
      </c>
      <c r="AD828" s="39" t="str">
        <f t="shared" si="223"/>
        <v/>
      </c>
      <c r="AE828" s="39" t="str">
        <f t="shared" si="224"/>
        <v/>
      </c>
      <c r="AF828" s="106" t="str">
        <f t="shared" si="225"/>
        <v/>
      </c>
      <c r="AG828" s="39">
        <f t="shared" si="226"/>
        <v>0</v>
      </c>
      <c r="AH828" s="39" t="str">
        <f t="shared" si="227"/>
        <v/>
      </c>
      <c r="AI828" s="39">
        <f>IF(AND($E828="timed",$N828&gt;=Settings!$C$9),1,0)</f>
        <v>0</v>
      </c>
      <c r="AJ828" s="39" t="str">
        <f>IF(OR($S828="",Settings!$C$16=""),"",IF($S828&lt;=Settings!$C$16,1,2))</f>
        <v/>
      </c>
      <c r="AK828" s="39" t="str">
        <f>IF($C828="","",IFERROR(IF(INDEX(Settings!$C$20:$C$59,MATCH($C828,Settings!$B$20:$B$59,0))="",Settings!$C$10,INDEX(Settings!$C$20:$C$59,MATCH($C828,Settings!$B$20:$B$59,0))),Settings!$C$10))</f>
        <v/>
      </c>
      <c r="AL828" s="108">
        <f t="shared" si="228"/>
        <v>0</v>
      </c>
      <c r="AM828" s="39" t="str">
        <f t="shared" si="229"/>
        <v/>
      </c>
      <c r="AN828" s="39" t="str">
        <f t="shared" si="230"/>
        <v/>
      </c>
      <c r="AO828" s="39" t="str">
        <f t="shared" si="231"/>
        <v/>
      </c>
      <c r="AP828" s="39">
        <f t="shared" si="232"/>
        <v>0</v>
      </c>
      <c r="AQ828" s="39">
        <f t="shared" si="233"/>
        <v>0</v>
      </c>
    </row>
    <row r="829" spans="14:43" x14ac:dyDescent="0.25">
      <c r="N829" s="105">
        <f t="shared" si="216"/>
        <v>0</v>
      </c>
      <c r="O829" s="106" t="str">
        <f>IF($F829="","",IF(ISNUMBER($F829),$F829+Settings!$C$7/24,IFERROR(DATEVALUE(LEFT($F829,10))+TIMEVALUE(MID($F829,12,8))+Settings!$C$7/24,"")))</f>
        <v/>
      </c>
      <c r="P829" s="106" t="str">
        <f>IF($G829="","",IF(ISNUMBER($G829),$G829+Settings!$C$7/24,IFERROR(DATEVALUE(LEFT($G829,10))+TIMEVALUE(MID($G829,12,8))+Settings!$C$7/24,"")))</f>
        <v/>
      </c>
      <c r="Q829" s="39" t="str">
        <f t="shared" si="217"/>
        <v/>
      </c>
      <c r="R829" s="39" t="str">
        <f t="shared" si="218"/>
        <v/>
      </c>
      <c r="S829" s="107" t="str">
        <f t="shared" si="219"/>
        <v/>
      </c>
      <c r="T829" s="39" t="str">
        <f>IF($C829="","",IF(COUNTIF($C$2:$C829,$C829)=1,1,0))</f>
        <v/>
      </c>
      <c r="U829" s="39" t="str">
        <f>IF($T829=1,COUNTIF($T$2:$T829,1),"")</f>
        <v/>
      </c>
      <c r="V829" s="39" t="str">
        <f>IF($B829="","",IF(COUNTIF($B$2:$B829,$B829)=1,1,0))</f>
        <v/>
      </c>
      <c r="W829" s="39" t="str">
        <f>IF($V829=1,COUNTIF($V$2:$V829,1),"")</f>
        <v/>
      </c>
      <c r="X829" s="39" t="str">
        <f>IF($A829="","",IF(COUNTIF($A$2:$A829,$A829)=1,1,0))</f>
        <v/>
      </c>
      <c r="Y829" s="39" t="str">
        <f>IF($X829=1,COUNTIF($X$2:$X829,1),"")</f>
        <v/>
      </c>
      <c r="Z829" s="39">
        <f>IF(AND($E829="timed",$N829&gt;Settings!$C$8),1,0)</f>
        <v>0</v>
      </c>
      <c r="AA829" s="39">
        <f t="shared" si="220"/>
        <v>0</v>
      </c>
      <c r="AB829" s="39">
        <f t="shared" si="221"/>
        <v>0</v>
      </c>
      <c r="AC829" s="39" t="str">
        <f t="shared" si="222"/>
        <v/>
      </c>
      <c r="AD829" s="39" t="str">
        <f t="shared" si="223"/>
        <v/>
      </c>
      <c r="AE829" s="39" t="str">
        <f t="shared" si="224"/>
        <v/>
      </c>
      <c r="AF829" s="106" t="str">
        <f t="shared" si="225"/>
        <v/>
      </c>
      <c r="AG829" s="39">
        <f t="shared" si="226"/>
        <v>0</v>
      </c>
      <c r="AH829" s="39" t="str">
        <f t="shared" si="227"/>
        <v/>
      </c>
      <c r="AI829" s="39">
        <f>IF(AND($E829="timed",$N829&gt;=Settings!$C$9),1,0)</f>
        <v>0</v>
      </c>
      <c r="AJ829" s="39" t="str">
        <f>IF(OR($S829="",Settings!$C$16=""),"",IF($S829&lt;=Settings!$C$16,1,2))</f>
        <v/>
      </c>
      <c r="AK829" s="39" t="str">
        <f>IF($C829="","",IFERROR(IF(INDEX(Settings!$C$20:$C$59,MATCH($C829,Settings!$B$20:$B$59,0))="",Settings!$C$10,INDEX(Settings!$C$20:$C$59,MATCH($C829,Settings!$B$20:$B$59,0))),Settings!$C$10))</f>
        <v/>
      </c>
      <c r="AL829" s="108">
        <f t="shared" si="228"/>
        <v>0</v>
      </c>
      <c r="AM829" s="39" t="str">
        <f t="shared" si="229"/>
        <v/>
      </c>
      <c r="AN829" s="39" t="str">
        <f t="shared" si="230"/>
        <v/>
      </c>
      <c r="AO829" s="39" t="str">
        <f t="shared" si="231"/>
        <v/>
      </c>
      <c r="AP829" s="39">
        <f t="shared" si="232"/>
        <v>0</v>
      </c>
      <c r="AQ829" s="39">
        <f t="shared" si="233"/>
        <v>0</v>
      </c>
    </row>
    <row r="830" spans="14:43" x14ac:dyDescent="0.25">
      <c r="N830" s="105">
        <f t="shared" si="216"/>
        <v>0</v>
      </c>
      <c r="O830" s="106" t="str">
        <f>IF($F830="","",IF(ISNUMBER($F830),$F830+Settings!$C$7/24,IFERROR(DATEVALUE(LEFT($F830,10))+TIMEVALUE(MID($F830,12,8))+Settings!$C$7/24,"")))</f>
        <v/>
      </c>
      <c r="P830" s="106" t="str">
        <f>IF($G830="","",IF(ISNUMBER($G830),$G830+Settings!$C$7/24,IFERROR(DATEVALUE(LEFT($G830,10))+TIMEVALUE(MID($G830,12,8))+Settings!$C$7/24,"")))</f>
        <v/>
      </c>
      <c r="Q830" s="39" t="str">
        <f t="shared" si="217"/>
        <v/>
      </c>
      <c r="R830" s="39" t="str">
        <f t="shared" si="218"/>
        <v/>
      </c>
      <c r="S830" s="107" t="str">
        <f t="shared" si="219"/>
        <v/>
      </c>
      <c r="T830" s="39" t="str">
        <f>IF($C830="","",IF(COUNTIF($C$2:$C830,$C830)=1,1,0))</f>
        <v/>
      </c>
      <c r="U830" s="39" t="str">
        <f>IF($T830=1,COUNTIF($T$2:$T830,1),"")</f>
        <v/>
      </c>
      <c r="V830" s="39" t="str">
        <f>IF($B830="","",IF(COUNTIF($B$2:$B830,$B830)=1,1,0))</f>
        <v/>
      </c>
      <c r="W830" s="39" t="str">
        <f>IF($V830=1,COUNTIF($V$2:$V830,1),"")</f>
        <v/>
      </c>
      <c r="X830" s="39" t="str">
        <f>IF($A830="","",IF(COUNTIF($A$2:$A830,$A830)=1,1,0))</f>
        <v/>
      </c>
      <c r="Y830" s="39" t="str">
        <f>IF($X830=1,COUNTIF($X$2:$X830,1),"")</f>
        <v/>
      </c>
      <c r="Z830" s="39">
        <f>IF(AND($E830="timed",$N830&gt;Settings!$C$8),1,0)</f>
        <v>0</v>
      </c>
      <c r="AA830" s="39">
        <f t="shared" si="220"/>
        <v>0</v>
      </c>
      <c r="AB830" s="39">
        <f t="shared" si="221"/>
        <v>0</v>
      </c>
      <c r="AC830" s="39" t="str">
        <f t="shared" si="222"/>
        <v/>
      </c>
      <c r="AD830" s="39" t="str">
        <f t="shared" si="223"/>
        <v/>
      </c>
      <c r="AE830" s="39" t="str">
        <f t="shared" si="224"/>
        <v/>
      </c>
      <c r="AF830" s="106" t="str">
        <f t="shared" si="225"/>
        <v/>
      </c>
      <c r="AG830" s="39">
        <f t="shared" si="226"/>
        <v>0</v>
      </c>
      <c r="AH830" s="39" t="str">
        <f t="shared" si="227"/>
        <v/>
      </c>
      <c r="AI830" s="39">
        <f>IF(AND($E830="timed",$N830&gt;=Settings!$C$9),1,0)</f>
        <v>0</v>
      </c>
      <c r="AJ830" s="39" t="str">
        <f>IF(OR($S830="",Settings!$C$16=""),"",IF($S830&lt;=Settings!$C$16,1,2))</f>
        <v/>
      </c>
      <c r="AK830" s="39" t="str">
        <f>IF($C830="","",IFERROR(IF(INDEX(Settings!$C$20:$C$59,MATCH($C830,Settings!$B$20:$B$59,0))="",Settings!$C$10,INDEX(Settings!$C$20:$C$59,MATCH($C830,Settings!$B$20:$B$59,0))),Settings!$C$10))</f>
        <v/>
      </c>
      <c r="AL830" s="108">
        <f t="shared" si="228"/>
        <v>0</v>
      </c>
      <c r="AM830" s="39" t="str">
        <f t="shared" si="229"/>
        <v/>
      </c>
      <c r="AN830" s="39" t="str">
        <f t="shared" si="230"/>
        <v/>
      </c>
      <c r="AO830" s="39" t="str">
        <f t="shared" si="231"/>
        <v/>
      </c>
      <c r="AP830" s="39">
        <f t="shared" si="232"/>
        <v>0</v>
      </c>
      <c r="AQ830" s="39">
        <f t="shared" si="233"/>
        <v>0</v>
      </c>
    </row>
    <row r="831" spans="14:43" x14ac:dyDescent="0.25">
      <c r="N831" s="105">
        <f t="shared" si="216"/>
        <v>0</v>
      </c>
      <c r="O831" s="106" t="str">
        <f>IF($F831="","",IF(ISNUMBER($F831),$F831+Settings!$C$7/24,IFERROR(DATEVALUE(LEFT($F831,10))+TIMEVALUE(MID($F831,12,8))+Settings!$C$7/24,"")))</f>
        <v/>
      </c>
      <c r="P831" s="106" t="str">
        <f>IF($G831="","",IF(ISNUMBER($G831),$G831+Settings!$C$7/24,IFERROR(DATEVALUE(LEFT($G831,10))+TIMEVALUE(MID($G831,12,8))+Settings!$C$7/24,"")))</f>
        <v/>
      </c>
      <c r="Q831" s="39" t="str">
        <f t="shared" si="217"/>
        <v/>
      </c>
      <c r="R831" s="39" t="str">
        <f t="shared" si="218"/>
        <v/>
      </c>
      <c r="S831" s="107" t="str">
        <f t="shared" si="219"/>
        <v/>
      </c>
      <c r="T831" s="39" t="str">
        <f>IF($C831="","",IF(COUNTIF($C$2:$C831,$C831)=1,1,0))</f>
        <v/>
      </c>
      <c r="U831" s="39" t="str">
        <f>IF($T831=1,COUNTIF($T$2:$T831,1),"")</f>
        <v/>
      </c>
      <c r="V831" s="39" t="str">
        <f>IF($B831="","",IF(COUNTIF($B$2:$B831,$B831)=1,1,0))</f>
        <v/>
      </c>
      <c r="W831" s="39" t="str">
        <f>IF($V831=1,COUNTIF($V$2:$V831,1),"")</f>
        <v/>
      </c>
      <c r="X831" s="39" t="str">
        <f>IF($A831="","",IF(COUNTIF($A$2:$A831,$A831)=1,1,0))</f>
        <v/>
      </c>
      <c r="Y831" s="39" t="str">
        <f>IF($X831=1,COUNTIF($X$2:$X831,1),"")</f>
        <v/>
      </c>
      <c r="Z831" s="39">
        <f>IF(AND($E831="timed",$N831&gt;Settings!$C$8),1,0)</f>
        <v>0</v>
      </c>
      <c r="AA831" s="39">
        <f t="shared" si="220"/>
        <v>0</v>
      </c>
      <c r="AB831" s="39">
        <f t="shared" si="221"/>
        <v>0</v>
      </c>
      <c r="AC831" s="39" t="str">
        <f t="shared" si="222"/>
        <v/>
      </c>
      <c r="AD831" s="39" t="str">
        <f t="shared" si="223"/>
        <v/>
      </c>
      <c r="AE831" s="39" t="str">
        <f t="shared" si="224"/>
        <v/>
      </c>
      <c r="AF831" s="106" t="str">
        <f t="shared" si="225"/>
        <v/>
      </c>
      <c r="AG831" s="39">
        <f t="shared" si="226"/>
        <v>0</v>
      </c>
      <c r="AH831" s="39" t="str">
        <f t="shared" si="227"/>
        <v/>
      </c>
      <c r="AI831" s="39">
        <f>IF(AND($E831="timed",$N831&gt;=Settings!$C$9),1,0)</f>
        <v>0</v>
      </c>
      <c r="AJ831" s="39" t="str">
        <f>IF(OR($S831="",Settings!$C$16=""),"",IF($S831&lt;=Settings!$C$16,1,2))</f>
        <v/>
      </c>
      <c r="AK831" s="39" t="str">
        <f>IF($C831="","",IFERROR(IF(INDEX(Settings!$C$20:$C$59,MATCH($C831,Settings!$B$20:$B$59,0))="",Settings!$C$10,INDEX(Settings!$C$20:$C$59,MATCH($C831,Settings!$B$20:$B$59,0))),Settings!$C$10))</f>
        <v/>
      </c>
      <c r="AL831" s="108">
        <f t="shared" si="228"/>
        <v>0</v>
      </c>
      <c r="AM831" s="39" t="str">
        <f t="shared" si="229"/>
        <v/>
      </c>
      <c r="AN831" s="39" t="str">
        <f t="shared" si="230"/>
        <v/>
      </c>
      <c r="AO831" s="39" t="str">
        <f t="shared" si="231"/>
        <v/>
      </c>
      <c r="AP831" s="39">
        <f t="shared" si="232"/>
        <v>0</v>
      </c>
      <c r="AQ831" s="39">
        <f t="shared" si="233"/>
        <v>0</v>
      </c>
    </row>
    <row r="832" spans="14:43" x14ac:dyDescent="0.25">
      <c r="N832" s="105">
        <f t="shared" si="216"/>
        <v>0</v>
      </c>
      <c r="O832" s="106" t="str">
        <f>IF($F832="","",IF(ISNUMBER($F832),$F832+Settings!$C$7/24,IFERROR(DATEVALUE(LEFT($F832,10))+TIMEVALUE(MID($F832,12,8))+Settings!$C$7/24,"")))</f>
        <v/>
      </c>
      <c r="P832" s="106" t="str">
        <f>IF($G832="","",IF(ISNUMBER($G832),$G832+Settings!$C$7/24,IFERROR(DATEVALUE(LEFT($G832,10))+TIMEVALUE(MID($G832,12,8))+Settings!$C$7/24,"")))</f>
        <v/>
      </c>
      <c r="Q832" s="39" t="str">
        <f t="shared" si="217"/>
        <v/>
      </c>
      <c r="R832" s="39" t="str">
        <f t="shared" si="218"/>
        <v/>
      </c>
      <c r="S832" s="107" t="str">
        <f t="shared" si="219"/>
        <v/>
      </c>
      <c r="T832" s="39" t="str">
        <f>IF($C832="","",IF(COUNTIF($C$2:$C832,$C832)=1,1,0))</f>
        <v/>
      </c>
      <c r="U832" s="39" t="str">
        <f>IF($T832=1,COUNTIF($T$2:$T832,1),"")</f>
        <v/>
      </c>
      <c r="V832" s="39" t="str">
        <f>IF($B832="","",IF(COUNTIF($B$2:$B832,$B832)=1,1,0))</f>
        <v/>
      </c>
      <c r="W832" s="39" t="str">
        <f>IF($V832=1,COUNTIF($V$2:$V832,1),"")</f>
        <v/>
      </c>
      <c r="X832" s="39" t="str">
        <f>IF($A832="","",IF(COUNTIF($A$2:$A832,$A832)=1,1,0))</f>
        <v/>
      </c>
      <c r="Y832" s="39" t="str">
        <f>IF($X832=1,COUNTIF($X$2:$X832,1),"")</f>
        <v/>
      </c>
      <c r="Z832" s="39">
        <f>IF(AND($E832="timed",$N832&gt;Settings!$C$8),1,0)</f>
        <v>0</v>
      </c>
      <c r="AA832" s="39">
        <f t="shared" si="220"/>
        <v>0</v>
      </c>
      <c r="AB832" s="39">
        <f t="shared" si="221"/>
        <v>0</v>
      </c>
      <c r="AC832" s="39" t="str">
        <f t="shared" si="222"/>
        <v/>
      </c>
      <c r="AD832" s="39" t="str">
        <f t="shared" si="223"/>
        <v/>
      </c>
      <c r="AE832" s="39" t="str">
        <f t="shared" si="224"/>
        <v/>
      </c>
      <c r="AF832" s="106" t="str">
        <f t="shared" si="225"/>
        <v/>
      </c>
      <c r="AG832" s="39">
        <f t="shared" si="226"/>
        <v>0</v>
      </c>
      <c r="AH832" s="39" t="str">
        <f t="shared" si="227"/>
        <v/>
      </c>
      <c r="AI832" s="39">
        <f>IF(AND($E832="timed",$N832&gt;=Settings!$C$9),1,0)</f>
        <v>0</v>
      </c>
      <c r="AJ832" s="39" t="str">
        <f>IF(OR($S832="",Settings!$C$16=""),"",IF($S832&lt;=Settings!$C$16,1,2))</f>
        <v/>
      </c>
      <c r="AK832" s="39" t="str">
        <f>IF($C832="","",IFERROR(IF(INDEX(Settings!$C$20:$C$59,MATCH($C832,Settings!$B$20:$B$59,0))="",Settings!$C$10,INDEX(Settings!$C$20:$C$59,MATCH($C832,Settings!$B$20:$B$59,0))),Settings!$C$10))</f>
        <v/>
      </c>
      <c r="AL832" s="108">
        <f t="shared" si="228"/>
        <v>0</v>
      </c>
      <c r="AM832" s="39" t="str">
        <f t="shared" si="229"/>
        <v/>
      </c>
      <c r="AN832" s="39" t="str">
        <f t="shared" si="230"/>
        <v/>
      </c>
      <c r="AO832" s="39" t="str">
        <f t="shared" si="231"/>
        <v/>
      </c>
      <c r="AP832" s="39">
        <f t="shared" si="232"/>
        <v>0</v>
      </c>
      <c r="AQ832" s="39">
        <f t="shared" si="233"/>
        <v>0</v>
      </c>
    </row>
    <row r="833" spans="14:43" x14ac:dyDescent="0.25">
      <c r="N833" s="105">
        <f t="shared" si="216"/>
        <v>0</v>
      </c>
      <c r="O833" s="106" t="str">
        <f>IF($F833="","",IF(ISNUMBER($F833),$F833+Settings!$C$7/24,IFERROR(DATEVALUE(LEFT($F833,10))+TIMEVALUE(MID($F833,12,8))+Settings!$C$7/24,"")))</f>
        <v/>
      </c>
      <c r="P833" s="106" t="str">
        <f>IF($G833="","",IF(ISNUMBER($G833),$G833+Settings!$C$7/24,IFERROR(DATEVALUE(LEFT($G833,10))+TIMEVALUE(MID($G833,12,8))+Settings!$C$7/24,"")))</f>
        <v/>
      </c>
      <c r="Q833" s="39" t="str">
        <f t="shared" si="217"/>
        <v/>
      </c>
      <c r="R833" s="39" t="str">
        <f t="shared" si="218"/>
        <v/>
      </c>
      <c r="S833" s="107" t="str">
        <f t="shared" si="219"/>
        <v/>
      </c>
      <c r="T833" s="39" t="str">
        <f>IF($C833="","",IF(COUNTIF($C$2:$C833,$C833)=1,1,0))</f>
        <v/>
      </c>
      <c r="U833" s="39" t="str">
        <f>IF($T833=1,COUNTIF($T$2:$T833,1),"")</f>
        <v/>
      </c>
      <c r="V833" s="39" t="str">
        <f>IF($B833="","",IF(COUNTIF($B$2:$B833,$B833)=1,1,0))</f>
        <v/>
      </c>
      <c r="W833" s="39" t="str">
        <f>IF($V833=1,COUNTIF($V$2:$V833,1),"")</f>
        <v/>
      </c>
      <c r="X833" s="39" t="str">
        <f>IF($A833="","",IF(COUNTIF($A$2:$A833,$A833)=1,1,0))</f>
        <v/>
      </c>
      <c r="Y833" s="39" t="str">
        <f>IF($X833=1,COUNTIF($X$2:$X833,1),"")</f>
        <v/>
      </c>
      <c r="Z833" s="39">
        <f>IF(AND($E833="timed",$N833&gt;Settings!$C$8),1,0)</f>
        <v>0</v>
      </c>
      <c r="AA833" s="39">
        <f t="shared" si="220"/>
        <v>0</v>
      </c>
      <c r="AB833" s="39">
        <f t="shared" si="221"/>
        <v>0</v>
      </c>
      <c r="AC833" s="39" t="str">
        <f t="shared" si="222"/>
        <v/>
      </c>
      <c r="AD833" s="39" t="str">
        <f t="shared" si="223"/>
        <v/>
      </c>
      <c r="AE833" s="39" t="str">
        <f t="shared" si="224"/>
        <v/>
      </c>
      <c r="AF833" s="106" t="str">
        <f t="shared" si="225"/>
        <v/>
      </c>
      <c r="AG833" s="39">
        <f t="shared" si="226"/>
        <v>0</v>
      </c>
      <c r="AH833" s="39" t="str">
        <f t="shared" si="227"/>
        <v/>
      </c>
      <c r="AI833" s="39">
        <f>IF(AND($E833="timed",$N833&gt;=Settings!$C$9),1,0)</f>
        <v>0</v>
      </c>
      <c r="AJ833" s="39" t="str">
        <f>IF(OR($S833="",Settings!$C$16=""),"",IF($S833&lt;=Settings!$C$16,1,2))</f>
        <v/>
      </c>
      <c r="AK833" s="39" t="str">
        <f>IF($C833="","",IFERROR(IF(INDEX(Settings!$C$20:$C$59,MATCH($C833,Settings!$B$20:$B$59,0))="",Settings!$C$10,INDEX(Settings!$C$20:$C$59,MATCH($C833,Settings!$B$20:$B$59,0))),Settings!$C$10))</f>
        <v/>
      </c>
      <c r="AL833" s="108">
        <f t="shared" si="228"/>
        <v>0</v>
      </c>
      <c r="AM833" s="39" t="str">
        <f t="shared" si="229"/>
        <v/>
      </c>
      <c r="AN833" s="39" t="str">
        <f t="shared" si="230"/>
        <v/>
      </c>
      <c r="AO833" s="39" t="str">
        <f t="shared" si="231"/>
        <v/>
      </c>
      <c r="AP833" s="39">
        <f t="shared" si="232"/>
        <v>0</v>
      </c>
      <c r="AQ833" s="39">
        <f t="shared" si="233"/>
        <v>0</v>
      </c>
    </row>
    <row r="834" spans="14:43" x14ac:dyDescent="0.25">
      <c r="N834" s="105">
        <f t="shared" ref="N834:N897" si="234">IF($E834&lt;&gt;"timed",0,IF(ISNUMBER($H834),$H834,IFERROR(VALUE($H834),0)))</f>
        <v>0</v>
      </c>
      <c r="O834" s="106" t="str">
        <f>IF($F834="","",IF(ISNUMBER($F834),$F834+Settings!$C$7/24,IFERROR(DATEVALUE(LEFT($F834,10))+TIMEVALUE(MID($F834,12,8))+Settings!$C$7/24,"")))</f>
        <v/>
      </c>
      <c r="P834" s="106" t="str">
        <f>IF($G834="","",IF(ISNUMBER($G834),$G834+Settings!$C$7/24,IFERROR(DATEVALUE(LEFT($G834,10))+TIMEVALUE(MID($G834,12,8))+Settings!$C$7/24,"")))</f>
        <v/>
      </c>
      <c r="Q834" s="39" t="str">
        <f t="shared" ref="Q834:Q897" si="235">IF($O834="","",HOUR($O834))</f>
        <v/>
      </c>
      <c r="R834" s="39" t="str">
        <f t="shared" ref="R834:R897" si="236">IF($O834="","",WEEKDAY($O834,2))</f>
        <v/>
      </c>
      <c r="S834" s="107" t="str">
        <f t="shared" ref="S834:S897" si="237">IF($A834="","",IF(ISNUMBER($A834),INT($A834),IFERROR(DATEVALUE($A834),"")))</f>
        <v/>
      </c>
      <c r="T834" s="39" t="str">
        <f>IF($C834="","",IF(COUNTIF($C$2:$C834,$C834)=1,1,0))</f>
        <v/>
      </c>
      <c r="U834" s="39" t="str">
        <f>IF($T834=1,COUNTIF($T$2:$T834,1),"")</f>
        <v/>
      </c>
      <c r="V834" s="39" t="str">
        <f>IF($B834="","",IF(COUNTIF($B$2:$B834,$B834)=1,1,0))</f>
        <v/>
      </c>
      <c r="W834" s="39" t="str">
        <f>IF($V834=1,COUNTIF($V$2:$V834,1),"")</f>
        <v/>
      </c>
      <c r="X834" s="39" t="str">
        <f>IF($A834="","",IF(COUNTIF($A$2:$A834,$A834)=1,1,0))</f>
        <v/>
      </c>
      <c r="Y834" s="39" t="str">
        <f>IF($X834=1,COUNTIF($X$2:$X834,1),"")</f>
        <v/>
      </c>
      <c r="Z834" s="39">
        <f>IF(AND($E834="timed",$N834&gt;Settings!$C$8),1,0)</f>
        <v>0</v>
      </c>
      <c r="AA834" s="39">
        <f t="shared" ref="AA834:AA897" si="238">IF(AND($E834="timed",$G834=""),1,0)</f>
        <v>0</v>
      </c>
      <c r="AB834" s="39">
        <f t="shared" ref="AB834:AB897" si="239">IF($E834&lt;&gt;"timed",0,IF(ISNUMBER($I834),$I834,IFERROR(VALUE($I834),0)))</f>
        <v>0</v>
      </c>
      <c r="AC834" s="39" t="str">
        <f t="shared" ref="AC834:AC897" si="240">IF(OR($E834&lt;&gt;"timed",$O834=""),"",ROUND($O834*86400,0)*10000+ROW())</f>
        <v/>
      </c>
      <c r="AD834" s="39" t="str">
        <f t="shared" ref="AD834:AD897" si="241">IF($AC834="","",COUNTIF($AC$2:$AC$1201,"&lt;"&amp;$AC834)+1)</f>
        <v/>
      </c>
      <c r="AE834" s="39" t="str">
        <f t="shared" ref="AE834:AE897" si="242">IF($AD834="","",IFERROR(IF(INDEX($S$2:$S$1201,MATCH($AD834-1,$AD$2:$AD$1201,0))=$S834,INDEX($C$2:$C$1201,MATCH($AD834-1,$AD$2:$AD$1201,0)),""),""))</f>
        <v/>
      </c>
      <c r="AF834" s="106" t="str">
        <f t="shared" ref="AF834:AF897" si="243">IF($AD834="","",IFERROR(IF(INDEX($S$2:$S$1201,MATCH($AD834-1,$AD$2:$AD$1201,0))=$S834,INDEX($P$2:$P$1201,MATCH($AD834-1,$AD$2:$AD$1201,0)),""),""))</f>
        <v/>
      </c>
      <c r="AG834" s="39">
        <f t="shared" ref="AG834:AG897" si="244">IF(OR($E834&lt;&gt;"timed",$AE834=""),0,IF($AE834=$C834,0,1))</f>
        <v>0</v>
      </c>
      <c r="AH834" s="39" t="str">
        <f t="shared" ref="AH834:AH897" si="245">IF(OR($AF834="",$O834=""),"",MAX(0,ROUND(($O834-$AF834)*1440,0)))</f>
        <v/>
      </c>
      <c r="AI834" s="39">
        <f>IF(AND($E834="timed",$N834&gt;=Settings!$C$9),1,0)</f>
        <v>0</v>
      </c>
      <c r="AJ834" s="39" t="str">
        <f>IF(OR($S834="",Settings!$C$16=""),"",IF($S834&lt;=Settings!$C$16,1,2))</f>
        <v/>
      </c>
      <c r="AK834" s="39" t="str">
        <f>IF($C834="","",IFERROR(IF(INDEX(Settings!$C$20:$C$59,MATCH($C834,Settings!$B$20:$B$59,0))="",Settings!$C$10,INDEX(Settings!$C$20:$C$59,MATCH($C834,Settings!$B$20:$B$59,0))),Settings!$C$10))</f>
        <v/>
      </c>
      <c r="AL834" s="108">
        <f t="shared" ref="AL834:AL897" si="246">IF(OR($N834=0,$AK834=""),0,ROUND($N834/60*$AK834,2))</f>
        <v>0</v>
      </c>
      <c r="AM834" s="39" t="str">
        <f t="shared" ref="AM834:AM897" si="247">IF($AD834="","",IFERROR(INDEX($S$2:$S$1201,MATCH($AD834-1,$AD$2:$AD$1201,0)),""))</f>
        <v/>
      </c>
      <c r="AN834" s="39" t="str">
        <f t="shared" ref="AN834:AN897" si="248">IF($Z834=1,$N834+ROW()/1000000,"")</f>
        <v/>
      </c>
      <c r="AO834" s="39" t="str">
        <f t="shared" ref="AO834:AO897" si="249">IF(OR($E834&lt;&gt;"timed",$P834=""),"",ROUND($P834*86400,0)*10000+ROW())</f>
        <v/>
      </c>
      <c r="AP834" s="39">
        <f t="shared" ref="AP834:AP897" si="250">IF($AC834="",0,IF(COUNTIFS($S$2:$S$1201,$S834,$AC$2:$AC$1201,"&lt;"&amp;$AC834)=0,1,0))</f>
        <v>0</v>
      </c>
      <c r="AQ834" s="39">
        <f t="shared" ref="AQ834:AQ897" si="251">IF($AO834="",0,IF(COUNTIFS($S$2:$S$1201,$S834,$AO$2:$AO$1201,"&gt;"&amp;$AO834)=0,1,0))</f>
        <v>0</v>
      </c>
    </row>
    <row r="835" spans="14:43" x14ac:dyDescent="0.25">
      <c r="N835" s="105">
        <f t="shared" si="234"/>
        <v>0</v>
      </c>
      <c r="O835" s="106" t="str">
        <f>IF($F835="","",IF(ISNUMBER($F835),$F835+Settings!$C$7/24,IFERROR(DATEVALUE(LEFT($F835,10))+TIMEVALUE(MID($F835,12,8))+Settings!$C$7/24,"")))</f>
        <v/>
      </c>
      <c r="P835" s="106" t="str">
        <f>IF($G835="","",IF(ISNUMBER($G835),$G835+Settings!$C$7/24,IFERROR(DATEVALUE(LEFT($G835,10))+TIMEVALUE(MID($G835,12,8))+Settings!$C$7/24,"")))</f>
        <v/>
      </c>
      <c r="Q835" s="39" t="str">
        <f t="shared" si="235"/>
        <v/>
      </c>
      <c r="R835" s="39" t="str">
        <f t="shared" si="236"/>
        <v/>
      </c>
      <c r="S835" s="107" t="str">
        <f t="shared" si="237"/>
        <v/>
      </c>
      <c r="T835" s="39" t="str">
        <f>IF($C835="","",IF(COUNTIF($C$2:$C835,$C835)=1,1,0))</f>
        <v/>
      </c>
      <c r="U835" s="39" t="str">
        <f>IF($T835=1,COUNTIF($T$2:$T835,1),"")</f>
        <v/>
      </c>
      <c r="V835" s="39" t="str">
        <f>IF($B835="","",IF(COUNTIF($B$2:$B835,$B835)=1,1,0))</f>
        <v/>
      </c>
      <c r="W835" s="39" t="str">
        <f>IF($V835=1,COUNTIF($V$2:$V835,1),"")</f>
        <v/>
      </c>
      <c r="X835" s="39" t="str">
        <f>IF($A835="","",IF(COUNTIF($A$2:$A835,$A835)=1,1,0))</f>
        <v/>
      </c>
      <c r="Y835" s="39" t="str">
        <f>IF($X835=1,COUNTIF($X$2:$X835,1),"")</f>
        <v/>
      </c>
      <c r="Z835" s="39">
        <f>IF(AND($E835="timed",$N835&gt;Settings!$C$8),1,0)</f>
        <v>0</v>
      </c>
      <c r="AA835" s="39">
        <f t="shared" si="238"/>
        <v>0</v>
      </c>
      <c r="AB835" s="39">
        <f t="shared" si="239"/>
        <v>0</v>
      </c>
      <c r="AC835" s="39" t="str">
        <f t="shared" si="240"/>
        <v/>
      </c>
      <c r="AD835" s="39" t="str">
        <f t="shared" si="241"/>
        <v/>
      </c>
      <c r="AE835" s="39" t="str">
        <f t="shared" si="242"/>
        <v/>
      </c>
      <c r="AF835" s="106" t="str">
        <f t="shared" si="243"/>
        <v/>
      </c>
      <c r="AG835" s="39">
        <f t="shared" si="244"/>
        <v>0</v>
      </c>
      <c r="AH835" s="39" t="str">
        <f t="shared" si="245"/>
        <v/>
      </c>
      <c r="AI835" s="39">
        <f>IF(AND($E835="timed",$N835&gt;=Settings!$C$9),1,0)</f>
        <v>0</v>
      </c>
      <c r="AJ835" s="39" t="str">
        <f>IF(OR($S835="",Settings!$C$16=""),"",IF($S835&lt;=Settings!$C$16,1,2))</f>
        <v/>
      </c>
      <c r="AK835" s="39" t="str">
        <f>IF($C835="","",IFERROR(IF(INDEX(Settings!$C$20:$C$59,MATCH($C835,Settings!$B$20:$B$59,0))="",Settings!$C$10,INDEX(Settings!$C$20:$C$59,MATCH($C835,Settings!$B$20:$B$59,0))),Settings!$C$10))</f>
        <v/>
      </c>
      <c r="AL835" s="108">
        <f t="shared" si="246"/>
        <v>0</v>
      </c>
      <c r="AM835" s="39" t="str">
        <f t="shared" si="247"/>
        <v/>
      </c>
      <c r="AN835" s="39" t="str">
        <f t="shared" si="248"/>
        <v/>
      </c>
      <c r="AO835" s="39" t="str">
        <f t="shared" si="249"/>
        <v/>
      </c>
      <c r="AP835" s="39">
        <f t="shared" si="250"/>
        <v>0</v>
      </c>
      <c r="AQ835" s="39">
        <f t="shared" si="251"/>
        <v>0</v>
      </c>
    </row>
    <row r="836" spans="14:43" x14ac:dyDescent="0.25">
      <c r="N836" s="105">
        <f t="shared" si="234"/>
        <v>0</v>
      </c>
      <c r="O836" s="106" t="str">
        <f>IF($F836="","",IF(ISNUMBER($F836),$F836+Settings!$C$7/24,IFERROR(DATEVALUE(LEFT($F836,10))+TIMEVALUE(MID($F836,12,8))+Settings!$C$7/24,"")))</f>
        <v/>
      </c>
      <c r="P836" s="106" t="str">
        <f>IF($G836="","",IF(ISNUMBER($G836),$G836+Settings!$C$7/24,IFERROR(DATEVALUE(LEFT($G836,10))+TIMEVALUE(MID($G836,12,8))+Settings!$C$7/24,"")))</f>
        <v/>
      </c>
      <c r="Q836" s="39" t="str">
        <f t="shared" si="235"/>
        <v/>
      </c>
      <c r="R836" s="39" t="str">
        <f t="shared" si="236"/>
        <v/>
      </c>
      <c r="S836" s="107" t="str">
        <f t="shared" si="237"/>
        <v/>
      </c>
      <c r="T836" s="39" t="str">
        <f>IF($C836="","",IF(COUNTIF($C$2:$C836,$C836)=1,1,0))</f>
        <v/>
      </c>
      <c r="U836" s="39" t="str">
        <f>IF($T836=1,COUNTIF($T$2:$T836,1),"")</f>
        <v/>
      </c>
      <c r="V836" s="39" t="str">
        <f>IF($B836="","",IF(COUNTIF($B$2:$B836,$B836)=1,1,0))</f>
        <v/>
      </c>
      <c r="W836" s="39" t="str">
        <f>IF($V836=1,COUNTIF($V$2:$V836,1),"")</f>
        <v/>
      </c>
      <c r="X836" s="39" t="str">
        <f>IF($A836="","",IF(COUNTIF($A$2:$A836,$A836)=1,1,0))</f>
        <v/>
      </c>
      <c r="Y836" s="39" t="str">
        <f>IF($X836=1,COUNTIF($X$2:$X836,1),"")</f>
        <v/>
      </c>
      <c r="Z836" s="39">
        <f>IF(AND($E836="timed",$N836&gt;Settings!$C$8),1,0)</f>
        <v>0</v>
      </c>
      <c r="AA836" s="39">
        <f t="shared" si="238"/>
        <v>0</v>
      </c>
      <c r="AB836" s="39">
        <f t="shared" si="239"/>
        <v>0</v>
      </c>
      <c r="AC836" s="39" t="str">
        <f t="shared" si="240"/>
        <v/>
      </c>
      <c r="AD836" s="39" t="str">
        <f t="shared" si="241"/>
        <v/>
      </c>
      <c r="AE836" s="39" t="str">
        <f t="shared" si="242"/>
        <v/>
      </c>
      <c r="AF836" s="106" t="str">
        <f t="shared" si="243"/>
        <v/>
      </c>
      <c r="AG836" s="39">
        <f t="shared" si="244"/>
        <v>0</v>
      </c>
      <c r="AH836" s="39" t="str">
        <f t="shared" si="245"/>
        <v/>
      </c>
      <c r="AI836" s="39">
        <f>IF(AND($E836="timed",$N836&gt;=Settings!$C$9),1,0)</f>
        <v>0</v>
      </c>
      <c r="AJ836" s="39" t="str">
        <f>IF(OR($S836="",Settings!$C$16=""),"",IF($S836&lt;=Settings!$C$16,1,2))</f>
        <v/>
      </c>
      <c r="AK836" s="39" t="str">
        <f>IF($C836="","",IFERROR(IF(INDEX(Settings!$C$20:$C$59,MATCH($C836,Settings!$B$20:$B$59,0))="",Settings!$C$10,INDEX(Settings!$C$20:$C$59,MATCH($C836,Settings!$B$20:$B$59,0))),Settings!$C$10))</f>
        <v/>
      </c>
      <c r="AL836" s="108">
        <f t="shared" si="246"/>
        <v>0</v>
      </c>
      <c r="AM836" s="39" t="str">
        <f t="shared" si="247"/>
        <v/>
      </c>
      <c r="AN836" s="39" t="str">
        <f t="shared" si="248"/>
        <v/>
      </c>
      <c r="AO836" s="39" t="str">
        <f t="shared" si="249"/>
        <v/>
      </c>
      <c r="AP836" s="39">
        <f t="shared" si="250"/>
        <v>0</v>
      </c>
      <c r="AQ836" s="39">
        <f t="shared" si="251"/>
        <v>0</v>
      </c>
    </row>
    <row r="837" spans="14:43" x14ac:dyDescent="0.25">
      <c r="N837" s="105">
        <f t="shared" si="234"/>
        <v>0</v>
      </c>
      <c r="O837" s="106" t="str">
        <f>IF($F837="","",IF(ISNUMBER($F837),$F837+Settings!$C$7/24,IFERROR(DATEVALUE(LEFT($F837,10))+TIMEVALUE(MID($F837,12,8))+Settings!$C$7/24,"")))</f>
        <v/>
      </c>
      <c r="P837" s="106" t="str">
        <f>IF($G837="","",IF(ISNUMBER($G837),$G837+Settings!$C$7/24,IFERROR(DATEVALUE(LEFT($G837,10))+TIMEVALUE(MID($G837,12,8))+Settings!$C$7/24,"")))</f>
        <v/>
      </c>
      <c r="Q837" s="39" t="str">
        <f t="shared" si="235"/>
        <v/>
      </c>
      <c r="R837" s="39" t="str">
        <f t="shared" si="236"/>
        <v/>
      </c>
      <c r="S837" s="107" t="str">
        <f t="shared" si="237"/>
        <v/>
      </c>
      <c r="T837" s="39" t="str">
        <f>IF($C837="","",IF(COUNTIF($C$2:$C837,$C837)=1,1,0))</f>
        <v/>
      </c>
      <c r="U837" s="39" t="str">
        <f>IF($T837=1,COUNTIF($T$2:$T837,1),"")</f>
        <v/>
      </c>
      <c r="V837" s="39" t="str">
        <f>IF($B837="","",IF(COUNTIF($B$2:$B837,$B837)=1,1,0))</f>
        <v/>
      </c>
      <c r="W837" s="39" t="str">
        <f>IF($V837=1,COUNTIF($V$2:$V837,1),"")</f>
        <v/>
      </c>
      <c r="X837" s="39" t="str">
        <f>IF($A837="","",IF(COUNTIF($A$2:$A837,$A837)=1,1,0))</f>
        <v/>
      </c>
      <c r="Y837" s="39" t="str">
        <f>IF($X837=1,COUNTIF($X$2:$X837,1),"")</f>
        <v/>
      </c>
      <c r="Z837" s="39">
        <f>IF(AND($E837="timed",$N837&gt;Settings!$C$8),1,0)</f>
        <v>0</v>
      </c>
      <c r="AA837" s="39">
        <f t="shared" si="238"/>
        <v>0</v>
      </c>
      <c r="AB837" s="39">
        <f t="shared" si="239"/>
        <v>0</v>
      </c>
      <c r="AC837" s="39" t="str">
        <f t="shared" si="240"/>
        <v/>
      </c>
      <c r="AD837" s="39" t="str">
        <f t="shared" si="241"/>
        <v/>
      </c>
      <c r="AE837" s="39" t="str">
        <f t="shared" si="242"/>
        <v/>
      </c>
      <c r="AF837" s="106" t="str">
        <f t="shared" si="243"/>
        <v/>
      </c>
      <c r="AG837" s="39">
        <f t="shared" si="244"/>
        <v>0</v>
      </c>
      <c r="AH837" s="39" t="str">
        <f t="shared" si="245"/>
        <v/>
      </c>
      <c r="AI837" s="39">
        <f>IF(AND($E837="timed",$N837&gt;=Settings!$C$9),1,0)</f>
        <v>0</v>
      </c>
      <c r="AJ837" s="39" t="str">
        <f>IF(OR($S837="",Settings!$C$16=""),"",IF($S837&lt;=Settings!$C$16,1,2))</f>
        <v/>
      </c>
      <c r="AK837" s="39" t="str">
        <f>IF($C837="","",IFERROR(IF(INDEX(Settings!$C$20:$C$59,MATCH($C837,Settings!$B$20:$B$59,0))="",Settings!$C$10,INDEX(Settings!$C$20:$C$59,MATCH($C837,Settings!$B$20:$B$59,0))),Settings!$C$10))</f>
        <v/>
      </c>
      <c r="AL837" s="108">
        <f t="shared" si="246"/>
        <v>0</v>
      </c>
      <c r="AM837" s="39" t="str">
        <f t="shared" si="247"/>
        <v/>
      </c>
      <c r="AN837" s="39" t="str">
        <f t="shared" si="248"/>
        <v/>
      </c>
      <c r="AO837" s="39" t="str">
        <f t="shared" si="249"/>
        <v/>
      </c>
      <c r="AP837" s="39">
        <f t="shared" si="250"/>
        <v>0</v>
      </c>
      <c r="AQ837" s="39">
        <f t="shared" si="251"/>
        <v>0</v>
      </c>
    </row>
    <row r="838" spans="14:43" x14ac:dyDescent="0.25">
      <c r="N838" s="105">
        <f t="shared" si="234"/>
        <v>0</v>
      </c>
      <c r="O838" s="106" t="str">
        <f>IF($F838="","",IF(ISNUMBER($F838),$F838+Settings!$C$7/24,IFERROR(DATEVALUE(LEFT($F838,10))+TIMEVALUE(MID($F838,12,8))+Settings!$C$7/24,"")))</f>
        <v/>
      </c>
      <c r="P838" s="106" t="str">
        <f>IF($G838="","",IF(ISNUMBER($G838),$G838+Settings!$C$7/24,IFERROR(DATEVALUE(LEFT($G838,10))+TIMEVALUE(MID($G838,12,8))+Settings!$C$7/24,"")))</f>
        <v/>
      </c>
      <c r="Q838" s="39" t="str">
        <f t="shared" si="235"/>
        <v/>
      </c>
      <c r="R838" s="39" t="str">
        <f t="shared" si="236"/>
        <v/>
      </c>
      <c r="S838" s="107" t="str">
        <f t="shared" si="237"/>
        <v/>
      </c>
      <c r="T838" s="39" t="str">
        <f>IF($C838="","",IF(COUNTIF($C$2:$C838,$C838)=1,1,0))</f>
        <v/>
      </c>
      <c r="U838" s="39" t="str">
        <f>IF($T838=1,COUNTIF($T$2:$T838,1),"")</f>
        <v/>
      </c>
      <c r="V838" s="39" t="str">
        <f>IF($B838="","",IF(COUNTIF($B$2:$B838,$B838)=1,1,0))</f>
        <v/>
      </c>
      <c r="W838" s="39" t="str">
        <f>IF($V838=1,COUNTIF($V$2:$V838,1),"")</f>
        <v/>
      </c>
      <c r="X838" s="39" t="str">
        <f>IF($A838="","",IF(COUNTIF($A$2:$A838,$A838)=1,1,0))</f>
        <v/>
      </c>
      <c r="Y838" s="39" t="str">
        <f>IF($X838=1,COUNTIF($X$2:$X838,1),"")</f>
        <v/>
      </c>
      <c r="Z838" s="39">
        <f>IF(AND($E838="timed",$N838&gt;Settings!$C$8),1,0)</f>
        <v>0</v>
      </c>
      <c r="AA838" s="39">
        <f t="shared" si="238"/>
        <v>0</v>
      </c>
      <c r="AB838" s="39">
        <f t="shared" si="239"/>
        <v>0</v>
      </c>
      <c r="AC838" s="39" t="str">
        <f t="shared" si="240"/>
        <v/>
      </c>
      <c r="AD838" s="39" t="str">
        <f t="shared" si="241"/>
        <v/>
      </c>
      <c r="AE838" s="39" t="str">
        <f t="shared" si="242"/>
        <v/>
      </c>
      <c r="AF838" s="106" t="str">
        <f t="shared" si="243"/>
        <v/>
      </c>
      <c r="AG838" s="39">
        <f t="shared" si="244"/>
        <v>0</v>
      </c>
      <c r="AH838" s="39" t="str">
        <f t="shared" si="245"/>
        <v/>
      </c>
      <c r="AI838" s="39">
        <f>IF(AND($E838="timed",$N838&gt;=Settings!$C$9),1,0)</f>
        <v>0</v>
      </c>
      <c r="AJ838" s="39" t="str">
        <f>IF(OR($S838="",Settings!$C$16=""),"",IF($S838&lt;=Settings!$C$16,1,2))</f>
        <v/>
      </c>
      <c r="AK838" s="39" t="str">
        <f>IF($C838="","",IFERROR(IF(INDEX(Settings!$C$20:$C$59,MATCH($C838,Settings!$B$20:$B$59,0))="",Settings!$C$10,INDEX(Settings!$C$20:$C$59,MATCH($C838,Settings!$B$20:$B$59,0))),Settings!$C$10))</f>
        <v/>
      </c>
      <c r="AL838" s="108">
        <f t="shared" si="246"/>
        <v>0</v>
      </c>
      <c r="AM838" s="39" t="str">
        <f t="shared" si="247"/>
        <v/>
      </c>
      <c r="AN838" s="39" t="str">
        <f t="shared" si="248"/>
        <v/>
      </c>
      <c r="AO838" s="39" t="str">
        <f t="shared" si="249"/>
        <v/>
      </c>
      <c r="AP838" s="39">
        <f t="shared" si="250"/>
        <v>0</v>
      </c>
      <c r="AQ838" s="39">
        <f t="shared" si="251"/>
        <v>0</v>
      </c>
    </row>
    <row r="839" spans="14:43" x14ac:dyDescent="0.25">
      <c r="N839" s="105">
        <f t="shared" si="234"/>
        <v>0</v>
      </c>
      <c r="O839" s="106" t="str">
        <f>IF($F839="","",IF(ISNUMBER($F839),$F839+Settings!$C$7/24,IFERROR(DATEVALUE(LEFT($F839,10))+TIMEVALUE(MID($F839,12,8))+Settings!$C$7/24,"")))</f>
        <v/>
      </c>
      <c r="P839" s="106" t="str">
        <f>IF($G839="","",IF(ISNUMBER($G839),$G839+Settings!$C$7/24,IFERROR(DATEVALUE(LEFT($G839,10))+TIMEVALUE(MID($G839,12,8))+Settings!$C$7/24,"")))</f>
        <v/>
      </c>
      <c r="Q839" s="39" t="str">
        <f t="shared" si="235"/>
        <v/>
      </c>
      <c r="R839" s="39" t="str">
        <f t="shared" si="236"/>
        <v/>
      </c>
      <c r="S839" s="107" t="str">
        <f t="shared" si="237"/>
        <v/>
      </c>
      <c r="T839" s="39" t="str">
        <f>IF($C839="","",IF(COUNTIF($C$2:$C839,$C839)=1,1,0))</f>
        <v/>
      </c>
      <c r="U839" s="39" t="str">
        <f>IF($T839=1,COUNTIF($T$2:$T839,1),"")</f>
        <v/>
      </c>
      <c r="V839" s="39" t="str">
        <f>IF($B839="","",IF(COUNTIF($B$2:$B839,$B839)=1,1,0))</f>
        <v/>
      </c>
      <c r="W839" s="39" t="str">
        <f>IF($V839=1,COUNTIF($V$2:$V839,1),"")</f>
        <v/>
      </c>
      <c r="X839" s="39" t="str">
        <f>IF($A839="","",IF(COUNTIF($A$2:$A839,$A839)=1,1,0))</f>
        <v/>
      </c>
      <c r="Y839" s="39" t="str">
        <f>IF($X839=1,COUNTIF($X$2:$X839,1),"")</f>
        <v/>
      </c>
      <c r="Z839" s="39">
        <f>IF(AND($E839="timed",$N839&gt;Settings!$C$8),1,0)</f>
        <v>0</v>
      </c>
      <c r="AA839" s="39">
        <f t="shared" si="238"/>
        <v>0</v>
      </c>
      <c r="AB839" s="39">
        <f t="shared" si="239"/>
        <v>0</v>
      </c>
      <c r="AC839" s="39" t="str">
        <f t="shared" si="240"/>
        <v/>
      </c>
      <c r="AD839" s="39" t="str">
        <f t="shared" si="241"/>
        <v/>
      </c>
      <c r="AE839" s="39" t="str">
        <f t="shared" si="242"/>
        <v/>
      </c>
      <c r="AF839" s="106" t="str">
        <f t="shared" si="243"/>
        <v/>
      </c>
      <c r="AG839" s="39">
        <f t="shared" si="244"/>
        <v>0</v>
      </c>
      <c r="AH839" s="39" t="str">
        <f t="shared" si="245"/>
        <v/>
      </c>
      <c r="AI839" s="39">
        <f>IF(AND($E839="timed",$N839&gt;=Settings!$C$9),1,0)</f>
        <v>0</v>
      </c>
      <c r="AJ839" s="39" t="str">
        <f>IF(OR($S839="",Settings!$C$16=""),"",IF($S839&lt;=Settings!$C$16,1,2))</f>
        <v/>
      </c>
      <c r="AK839" s="39" t="str">
        <f>IF($C839="","",IFERROR(IF(INDEX(Settings!$C$20:$C$59,MATCH($C839,Settings!$B$20:$B$59,0))="",Settings!$C$10,INDEX(Settings!$C$20:$C$59,MATCH($C839,Settings!$B$20:$B$59,0))),Settings!$C$10))</f>
        <v/>
      </c>
      <c r="AL839" s="108">
        <f t="shared" si="246"/>
        <v>0</v>
      </c>
      <c r="AM839" s="39" t="str">
        <f t="shared" si="247"/>
        <v/>
      </c>
      <c r="AN839" s="39" t="str">
        <f t="shared" si="248"/>
        <v/>
      </c>
      <c r="AO839" s="39" t="str">
        <f t="shared" si="249"/>
        <v/>
      </c>
      <c r="AP839" s="39">
        <f t="shared" si="250"/>
        <v>0</v>
      </c>
      <c r="AQ839" s="39">
        <f t="shared" si="251"/>
        <v>0</v>
      </c>
    </row>
    <row r="840" spans="14:43" x14ac:dyDescent="0.25">
      <c r="N840" s="105">
        <f t="shared" si="234"/>
        <v>0</v>
      </c>
      <c r="O840" s="106" t="str">
        <f>IF($F840="","",IF(ISNUMBER($F840),$F840+Settings!$C$7/24,IFERROR(DATEVALUE(LEFT($F840,10))+TIMEVALUE(MID($F840,12,8))+Settings!$C$7/24,"")))</f>
        <v/>
      </c>
      <c r="P840" s="106" t="str">
        <f>IF($G840="","",IF(ISNUMBER($G840),$G840+Settings!$C$7/24,IFERROR(DATEVALUE(LEFT($G840,10))+TIMEVALUE(MID($G840,12,8))+Settings!$C$7/24,"")))</f>
        <v/>
      </c>
      <c r="Q840" s="39" t="str">
        <f t="shared" si="235"/>
        <v/>
      </c>
      <c r="R840" s="39" t="str">
        <f t="shared" si="236"/>
        <v/>
      </c>
      <c r="S840" s="107" t="str">
        <f t="shared" si="237"/>
        <v/>
      </c>
      <c r="T840" s="39" t="str">
        <f>IF($C840="","",IF(COUNTIF($C$2:$C840,$C840)=1,1,0))</f>
        <v/>
      </c>
      <c r="U840" s="39" t="str">
        <f>IF($T840=1,COUNTIF($T$2:$T840,1),"")</f>
        <v/>
      </c>
      <c r="V840" s="39" t="str">
        <f>IF($B840="","",IF(COUNTIF($B$2:$B840,$B840)=1,1,0))</f>
        <v/>
      </c>
      <c r="W840" s="39" t="str">
        <f>IF($V840=1,COUNTIF($V$2:$V840,1),"")</f>
        <v/>
      </c>
      <c r="X840" s="39" t="str">
        <f>IF($A840="","",IF(COUNTIF($A$2:$A840,$A840)=1,1,0))</f>
        <v/>
      </c>
      <c r="Y840" s="39" t="str">
        <f>IF($X840=1,COUNTIF($X$2:$X840,1),"")</f>
        <v/>
      </c>
      <c r="Z840" s="39">
        <f>IF(AND($E840="timed",$N840&gt;Settings!$C$8),1,0)</f>
        <v>0</v>
      </c>
      <c r="AA840" s="39">
        <f t="shared" si="238"/>
        <v>0</v>
      </c>
      <c r="AB840" s="39">
        <f t="shared" si="239"/>
        <v>0</v>
      </c>
      <c r="AC840" s="39" t="str">
        <f t="shared" si="240"/>
        <v/>
      </c>
      <c r="AD840" s="39" t="str">
        <f t="shared" si="241"/>
        <v/>
      </c>
      <c r="AE840" s="39" t="str">
        <f t="shared" si="242"/>
        <v/>
      </c>
      <c r="AF840" s="106" t="str">
        <f t="shared" si="243"/>
        <v/>
      </c>
      <c r="AG840" s="39">
        <f t="shared" si="244"/>
        <v>0</v>
      </c>
      <c r="AH840" s="39" t="str">
        <f t="shared" si="245"/>
        <v/>
      </c>
      <c r="AI840" s="39">
        <f>IF(AND($E840="timed",$N840&gt;=Settings!$C$9),1,0)</f>
        <v>0</v>
      </c>
      <c r="AJ840" s="39" t="str">
        <f>IF(OR($S840="",Settings!$C$16=""),"",IF($S840&lt;=Settings!$C$16,1,2))</f>
        <v/>
      </c>
      <c r="AK840" s="39" t="str">
        <f>IF($C840="","",IFERROR(IF(INDEX(Settings!$C$20:$C$59,MATCH($C840,Settings!$B$20:$B$59,0))="",Settings!$C$10,INDEX(Settings!$C$20:$C$59,MATCH($C840,Settings!$B$20:$B$59,0))),Settings!$C$10))</f>
        <v/>
      </c>
      <c r="AL840" s="108">
        <f t="shared" si="246"/>
        <v>0</v>
      </c>
      <c r="AM840" s="39" t="str">
        <f t="shared" si="247"/>
        <v/>
      </c>
      <c r="AN840" s="39" t="str">
        <f t="shared" si="248"/>
        <v/>
      </c>
      <c r="AO840" s="39" t="str">
        <f t="shared" si="249"/>
        <v/>
      </c>
      <c r="AP840" s="39">
        <f t="shared" si="250"/>
        <v>0</v>
      </c>
      <c r="AQ840" s="39">
        <f t="shared" si="251"/>
        <v>0</v>
      </c>
    </row>
    <row r="841" spans="14:43" x14ac:dyDescent="0.25">
      <c r="N841" s="105">
        <f t="shared" si="234"/>
        <v>0</v>
      </c>
      <c r="O841" s="106" t="str">
        <f>IF($F841="","",IF(ISNUMBER($F841),$F841+Settings!$C$7/24,IFERROR(DATEVALUE(LEFT($F841,10))+TIMEVALUE(MID($F841,12,8))+Settings!$C$7/24,"")))</f>
        <v/>
      </c>
      <c r="P841" s="106" t="str">
        <f>IF($G841="","",IF(ISNUMBER($G841),$G841+Settings!$C$7/24,IFERROR(DATEVALUE(LEFT($G841,10))+TIMEVALUE(MID($G841,12,8))+Settings!$C$7/24,"")))</f>
        <v/>
      </c>
      <c r="Q841" s="39" t="str">
        <f t="shared" si="235"/>
        <v/>
      </c>
      <c r="R841" s="39" t="str">
        <f t="shared" si="236"/>
        <v/>
      </c>
      <c r="S841" s="107" t="str">
        <f t="shared" si="237"/>
        <v/>
      </c>
      <c r="T841" s="39" t="str">
        <f>IF($C841="","",IF(COUNTIF($C$2:$C841,$C841)=1,1,0))</f>
        <v/>
      </c>
      <c r="U841" s="39" t="str">
        <f>IF($T841=1,COUNTIF($T$2:$T841,1),"")</f>
        <v/>
      </c>
      <c r="V841" s="39" t="str">
        <f>IF($B841="","",IF(COUNTIF($B$2:$B841,$B841)=1,1,0))</f>
        <v/>
      </c>
      <c r="W841" s="39" t="str">
        <f>IF($V841=1,COUNTIF($V$2:$V841,1),"")</f>
        <v/>
      </c>
      <c r="X841" s="39" t="str">
        <f>IF($A841="","",IF(COUNTIF($A$2:$A841,$A841)=1,1,0))</f>
        <v/>
      </c>
      <c r="Y841" s="39" t="str">
        <f>IF($X841=1,COUNTIF($X$2:$X841,1),"")</f>
        <v/>
      </c>
      <c r="Z841" s="39">
        <f>IF(AND($E841="timed",$N841&gt;Settings!$C$8),1,0)</f>
        <v>0</v>
      </c>
      <c r="AA841" s="39">
        <f t="shared" si="238"/>
        <v>0</v>
      </c>
      <c r="AB841" s="39">
        <f t="shared" si="239"/>
        <v>0</v>
      </c>
      <c r="AC841" s="39" t="str">
        <f t="shared" si="240"/>
        <v/>
      </c>
      <c r="AD841" s="39" t="str">
        <f t="shared" si="241"/>
        <v/>
      </c>
      <c r="AE841" s="39" t="str">
        <f t="shared" si="242"/>
        <v/>
      </c>
      <c r="AF841" s="106" t="str">
        <f t="shared" si="243"/>
        <v/>
      </c>
      <c r="AG841" s="39">
        <f t="shared" si="244"/>
        <v>0</v>
      </c>
      <c r="AH841" s="39" t="str">
        <f t="shared" si="245"/>
        <v/>
      </c>
      <c r="AI841" s="39">
        <f>IF(AND($E841="timed",$N841&gt;=Settings!$C$9),1,0)</f>
        <v>0</v>
      </c>
      <c r="AJ841" s="39" t="str">
        <f>IF(OR($S841="",Settings!$C$16=""),"",IF($S841&lt;=Settings!$C$16,1,2))</f>
        <v/>
      </c>
      <c r="AK841" s="39" t="str">
        <f>IF($C841="","",IFERROR(IF(INDEX(Settings!$C$20:$C$59,MATCH($C841,Settings!$B$20:$B$59,0))="",Settings!$C$10,INDEX(Settings!$C$20:$C$59,MATCH($C841,Settings!$B$20:$B$59,0))),Settings!$C$10))</f>
        <v/>
      </c>
      <c r="AL841" s="108">
        <f t="shared" si="246"/>
        <v>0</v>
      </c>
      <c r="AM841" s="39" t="str">
        <f t="shared" si="247"/>
        <v/>
      </c>
      <c r="AN841" s="39" t="str">
        <f t="shared" si="248"/>
        <v/>
      </c>
      <c r="AO841" s="39" t="str">
        <f t="shared" si="249"/>
        <v/>
      </c>
      <c r="AP841" s="39">
        <f t="shared" si="250"/>
        <v>0</v>
      </c>
      <c r="AQ841" s="39">
        <f t="shared" si="251"/>
        <v>0</v>
      </c>
    </row>
    <row r="842" spans="14:43" x14ac:dyDescent="0.25">
      <c r="N842" s="105">
        <f t="shared" si="234"/>
        <v>0</v>
      </c>
      <c r="O842" s="106" t="str">
        <f>IF($F842="","",IF(ISNUMBER($F842),$F842+Settings!$C$7/24,IFERROR(DATEVALUE(LEFT($F842,10))+TIMEVALUE(MID($F842,12,8))+Settings!$C$7/24,"")))</f>
        <v/>
      </c>
      <c r="P842" s="106" t="str">
        <f>IF($G842="","",IF(ISNUMBER($G842),$G842+Settings!$C$7/24,IFERROR(DATEVALUE(LEFT($G842,10))+TIMEVALUE(MID($G842,12,8))+Settings!$C$7/24,"")))</f>
        <v/>
      </c>
      <c r="Q842" s="39" t="str">
        <f t="shared" si="235"/>
        <v/>
      </c>
      <c r="R842" s="39" t="str">
        <f t="shared" si="236"/>
        <v/>
      </c>
      <c r="S842" s="107" t="str">
        <f t="shared" si="237"/>
        <v/>
      </c>
      <c r="T842" s="39" t="str">
        <f>IF($C842="","",IF(COUNTIF($C$2:$C842,$C842)=1,1,0))</f>
        <v/>
      </c>
      <c r="U842" s="39" t="str">
        <f>IF($T842=1,COUNTIF($T$2:$T842,1),"")</f>
        <v/>
      </c>
      <c r="V842" s="39" t="str">
        <f>IF($B842="","",IF(COUNTIF($B$2:$B842,$B842)=1,1,0))</f>
        <v/>
      </c>
      <c r="W842" s="39" t="str">
        <f>IF($V842=1,COUNTIF($V$2:$V842,1),"")</f>
        <v/>
      </c>
      <c r="X842" s="39" t="str">
        <f>IF($A842="","",IF(COUNTIF($A$2:$A842,$A842)=1,1,0))</f>
        <v/>
      </c>
      <c r="Y842" s="39" t="str">
        <f>IF($X842=1,COUNTIF($X$2:$X842,1),"")</f>
        <v/>
      </c>
      <c r="Z842" s="39">
        <f>IF(AND($E842="timed",$N842&gt;Settings!$C$8),1,0)</f>
        <v>0</v>
      </c>
      <c r="AA842" s="39">
        <f t="shared" si="238"/>
        <v>0</v>
      </c>
      <c r="AB842" s="39">
        <f t="shared" si="239"/>
        <v>0</v>
      </c>
      <c r="AC842" s="39" t="str">
        <f t="shared" si="240"/>
        <v/>
      </c>
      <c r="AD842" s="39" t="str">
        <f t="shared" si="241"/>
        <v/>
      </c>
      <c r="AE842" s="39" t="str">
        <f t="shared" si="242"/>
        <v/>
      </c>
      <c r="AF842" s="106" t="str">
        <f t="shared" si="243"/>
        <v/>
      </c>
      <c r="AG842" s="39">
        <f t="shared" si="244"/>
        <v>0</v>
      </c>
      <c r="AH842" s="39" t="str">
        <f t="shared" si="245"/>
        <v/>
      </c>
      <c r="AI842" s="39">
        <f>IF(AND($E842="timed",$N842&gt;=Settings!$C$9),1,0)</f>
        <v>0</v>
      </c>
      <c r="AJ842" s="39" t="str">
        <f>IF(OR($S842="",Settings!$C$16=""),"",IF($S842&lt;=Settings!$C$16,1,2))</f>
        <v/>
      </c>
      <c r="AK842" s="39" t="str">
        <f>IF($C842="","",IFERROR(IF(INDEX(Settings!$C$20:$C$59,MATCH($C842,Settings!$B$20:$B$59,0))="",Settings!$C$10,INDEX(Settings!$C$20:$C$59,MATCH($C842,Settings!$B$20:$B$59,0))),Settings!$C$10))</f>
        <v/>
      </c>
      <c r="AL842" s="108">
        <f t="shared" si="246"/>
        <v>0</v>
      </c>
      <c r="AM842" s="39" t="str">
        <f t="shared" si="247"/>
        <v/>
      </c>
      <c r="AN842" s="39" t="str">
        <f t="shared" si="248"/>
        <v/>
      </c>
      <c r="AO842" s="39" t="str">
        <f t="shared" si="249"/>
        <v/>
      </c>
      <c r="AP842" s="39">
        <f t="shared" si="250"/>
        <v>0</v>
      </c>
      <c r="AQ842" s="39">
        <f t="shared" si="251"/>
        <v>0</v>
      </c>
    </row>
    <row r="843" spans="14:43" x14ac:dyDescent="0.25">
      <c r="N843" s="105">
        <f t="shared" si="234"/>
        <v>0</v>
      </c>
      <c r="O843" s="106" t="str">
        <f>IF($F843="","",IF(ISNUMBER($F843),$F843+Settings!$C$7/24,IFERROR(DATEVALUE(LEFT($F843,10))+TIMEVALUE(MID($F843,12,8))+Settings!$C$7/24,"")))</f>
        <v/>
      </c>
      <c r="P843" s="106" t="str">
        <f>IF($G843="","",IF(ISNUMBER($G843),$G843+Settings!$C$7/24,IFERROR(DATEVALUE(LEFT($G843,10))+TIMEVALUE(MID($G843,12,8))+Settings!$C$7/24,"")))</f>
        <v/>
      </c>
      <c r="Q843" s="39" t="str">
        <f t="shared" si="235"/>
        <v/>
      </c>
      <c r="R843" s="39" t="str">
        <f t="shared" si="236"/>
        <v/>
      </c>
      <c r="S843" s="107" t="str">
        <f t="shared" si="237"/>
        <v/>
      </c>
      <c r="T843" s="39" t="str">
        <f>IF($C843="","",IF(COUNTIF($C$2:$C843,$C843)=1,1,0))</f>
        <v/>
      </c>
      <c r="U843" s="39" t="str">
        <f>IF($T843=1,COUNTIF($T$2:$T843,1),"")</f>
        <v/>
      </c>
      <c r="V843" s="39" t="str">
        <f>IF($B843="","",IF(COUNTIF($B$2:$B843,$B843)=1,1,0))</f>
        <v/>
      </c>
      <c r="W843" s="39" t="str">
        <f>IF($V843=1,COUNTIF($V$2:$V843,1),"")</f>
        <v/>
      </c>
      <c r="X843" s="39" t="str">
        <f>IF($A843="","",IF(COUNTIF($A$2:$A843,$A843)=1,1,0))</f>
        <v/>
      </c>
      <c r="Y843" s="39" t="str">
        <f>IF($X843=1,COUNTIF($X$2:$X843,1),"")</f>
        <v/>
      </c>
      <c r="Z843" s="39">
        <f>IF(AND($E843="timed",$N843&gt;Settings!$C$8),1,0)</f>
        <v>0</v>
      </c>
      <c r="AA843" s="39">
        <f t="shared" si="238"/>
        <v>0</v>
      </c>
      <c r="AB843" s="39">
        <f t="shared" si="239"/>
        <v>0</v>
      </c>
      <c r="AC843" s="39" t="str">
        <f t="shared" si="240"/>
        <v/>
      </c>
      <c r="AD843" s="39" t="str">
        <f t="shared" si="241"/>
        <v/>
      </c>
      <c r="AE843" s="39" t="str">
        <f t="shared" si="242"/>
        <v/>
      </c>
      <c r="AF843" s="106" t="str">
        <f t="shared" si="243"/>
        <v/>
      </c>
      <c r="AG843" s="39">
        <f t="shared" si="244"/>
        <v>0</v>
      </c>
      <c r="AH843" s="39" t="str">
        <f t="shared" si="245"/>
        <v/>
      </c>
      <c r="AI843" s="39">
        <f>IF(AND($E843="timed",$N843&gt;=Settings!$C$9),1,0)</f>
        <v>0</v>
      </c>
      <c r="AJ843" s="39" t="str">
        <f>IF(OR($S843="",Settings!$C$16=""),"",IF($S843&lt;=Settings!$C$16,1,2))</f>
        <v/>
      </c>
      <c r="AK843" s="39" t="str">
        <f>IF($C843="","",IFERROR(IF(INDEX(Settings!$C$20:$C$59,MATCH($C843,Settings!$B$20:$B$59,0))="",Settings!$C$10,INDEX(Settings!$C$20:$C$59,MATCH($C843,Settings!$B$20:$B$59,0))),Settings!$C$10))</f>
        <v/>
      </c>
      <c r="AL843" s="108">
        <f t="shared" si="246"/>
        <v>0</v>
      </c>
      <c r="AM843" s="39" t="str">
        <f t="shared" si="247"/>
        <v/>
      </c>
      <c r="AN843" s="39" t="str">
        <f t="shared" si="248"/>
        <v/>
      </c>
      <c r="AO843" s="39" t="str">
        <f t="shared" si="249"/>
        <v/>
      </c>
      <c r="AP843" s="39">
        <f t="shared" si="250"/>
        <v>0</v>
      </c>
      <c r="AQ843" s="39">
        <f t="shared" si="251"/>
        <v>0</v>
      </c>
    </row>
    <row r="844" spans="14:43" x14ac:dyDescent="0.25">
      <c r="N844" s="105">
        <f t="shared" si="234"/>
        <v>0</v>
      </c>
      <c r="O844" s="106" t="str">
        <f>IF($F844="","",IF(ISNUMBER($F844),$F844+Settings!$C$7/24,IFERROR(DATEVALUE(LEFT($F844,10))+TIMEVALUE(MID($F844,12,8))+Settings!$C$7/24,"")))</f>
        <v/>
      </c>
      <c r="P844" s="106" t="str">
        <f>IF($G844="","",IF(ISNUMBER($G844),$G844+Settings!$C$7/24,IFERROR(DATEVALUE(LEFT($G844,10))+TIMEVALUE(MID($G844,12,8))+Settings!$C$7/24,"")))</f>
        <v/>
      </c>
      <c r="Q844" s="39" t="str">
        <f t="shared" si="235"/>
        <v/>
      </c>
      <c r="R844" s="39" t="str">
        <f t="shared" si="236"/>
        <v/>
      </c>
      <c r="S844" s="107" t="str">
        <f t="shared" si="237"/>
        <v/>
      </c>
      <c r="T844" s="39" t="str">
        <f>IF($C844="","",IF(COUNTIF($C$2:$C844,$C844)=1,1,0))</f>
        <v/>
      </c>
      <c r="U844" s="39" t="str">
        <f>IF($T844=1,COUNTIF($T$2:$T844,1),"")</f>
        <v/>
      </c>
      <c r="V844" s="39" t="str">
        <f>IF($B844="","",IF(COUNTIF($B$2:$B844,$B844)=1,1,0))</f>
        <v/>
      </c>
      <c r="W844" s="39" t="str">
        <f>IF($V844=1,COUNTIF($V$2:$V844,1),"")</f>
        <v/>
      </c>
      <c r="X844" s="39" t="str">
        <f>IF($A844="","",IF(COUNTIF($A$2:$A844,$A844)=1,1,0))</f>
        <v/>
      </c>
      <c r="Y844" s="39" t="str">
        <f>IF($X844=1,COUNTIF($X$2:$X844,1),"")</f>
        <v/>
      </c>
      <c r="Z844" s="39">
        <f>IF(AND($E844="timed",$N844&gt;Settings!$C$8),1,0)</f>
        <v>0</v>
      </c>
      <c r="AA844" s="39">
        <f t="shared" si="238"/>
        <v>0</v>
      </c>
      <c r="AB844" s="39">
        <f t="shared" si="239"/>
        <v>0</v>
      </c>
      <c r="AC844" s="39" t="str">
        <f t="shared" si="240"/>
        <v/>
      </c>
      <c r="AD844" s="39" t="str">
        <f t="shared" si="241"/>
        <v/>
      </c>
      <c r="AE844" s="39" t="str">
        <f t="shared" si="242"/>
        <v/>
      </c>
      <c r="AF844" s="106" t="str">
        <f t="shared" si="243"/>
        <v/>
      </c>
      <c r="AG844" s="39">
        <f t="shared" si="244"/>
        <v>0</v>
      </c>
      <c r="AH844" s="39" t="str">
        <f t="shared" si="245"/>
        <v/>
      </c>
      <c r="AI844" s="39">
        <f>IF(AND($E844="timed",$N844&gt;=Settings!$C$9),1,0)</f>
        <v>0</v>
      </c>
      <c r="AJ844" s="39" t="str">
        <f>IF(OR($S844="",Settings!$C$16=""),"",IF($S844&lt;=Settings!$C$16,1,2))</f>
        <v/>
      </c>
      <c r="AK844" s="39" t="str">
        <f>IF($C844="","",IFERROR(IF(INDEX(Settings!$C$20:$C$59,MATCH($C844,Settings!$B$20:$B$59,0))="",Settings!$C$10,INDEX(Settings!$C$20:$C$59,MATCH($C844,Settings!$B$20:$B$59,0))),Settings!$C$10))</f>
        <v/>
      </c>
      <c r="AL844" s="108">
        <f t="shared" si="246"/>
        <v>0</v>
      </c>
      <c r="AM844" s="39" t="str">
        <f t="shared" si="247"/>
        <v/>
      </c>
      <c r="AN844" s="39" t="str">
        <f t="shared" si="248"/>
        <v/>
      </c>
      <c r="AO844" s="39" t="str">
        <f t="shared" si="249"/>
        <v/>
      </c>
      <c r="AP844" s="39">
        <f t="shared" si="250"/>
        <v>0</v>
      </c>
      <c r="AQ844" s="39">
        <f t="shared" si="251"/>
        <v>0</v>
      </c>
    </row>
    <row r="845" spans="14:43" x14ac:dyDescent="0.25">
      <c r="N845" s="105">
        <f t="shared" si="234"/>
        <v>0</v>
      </c>
      <c r="O845" s="106" t="str">
        <f>IF($F845="","",IF(ISNUMBER($F845),$F845+Settings!$C$7/24,IFERROR(DATEVALUE(LEFT($F845,10))+TIMEVALUE(MID($F845,12,8))+Settings!$C$7/24,"")))</f>
        <v/>
      </c>
      <c r="P845" s="106" t="str">
        <f>IF($G845="","",IF(ISNUMBER($G845),$G845+Settings!$C$7/24,IFERROR(DATEVALUE(LEFT($G845,10))+TIMEVALUE(MID($G845,12,8))+Settings!$C$7/24,"")))</f>
        <v/>
      </c>
      <c r="Q845" s="39" t="str">
        <f t="shared" si="235"/>
        <v/>
      </c>
      <c r="R845" s="39" t="str">
        <f t="shared" si="236"/>
        <v/>
      </c>
      <c r="S845" s="107" t="str">
        <f t="shared" si="237"/>
        <v/>
      </c>
      <c r="T845" s="39" t="str">
        <f>IF($C845="","",IF(COUNTIF($C$2:$C845,$C845)=1,1,0))</f>
        <v/>
      </c>
      <c r="U845" s="39" t="str">
        <f>IF($T845=1,COUNTIF($T$2:$T845,1),"")</f>
        <v/>
      </c>
      <c r="V845" s="39" t="str">
        <f>IF($B845="","",IF(COUNTIF($B$2:$B845,$B845)=1,1,0))</f>
        <v/>
      </c>
      <c r="W845" s="39" t="str">
        <f>IF($V845=1,COUNTIF($V$2:$V845,1),"")</f>
        <v/>
      </c>
      <c r="X845" s="39" t="str">
        <f>IF($A845="","",IF(COUNTIF($A$2:$A845,$A845)=1,1,0))</f>
        <v/>
      </c>
      <c r="Y845" s="39" t="str">
        <f>IF($X845=1,COUNTIF($X$2:$X845,1),"")</f>
        <v/>
      </c>
      <c r="Z845" s="39">
        <f>IF(AND($E845="timed",$N845&gt;Settings!$C$8),1,0)</f>
        <v>0</v>
      </c>
      <c r="AA845" s="39">
        <f t="shared" si="238"/>
        <v>0</v>
      </c>
      <c r="AB845" s="39">
        <f t="shared" si="239"/>
        <v>0</v>
      </c>
      <c r="AC845" s="39" t="str">
        <f t="shared" si="240"/>
        <v/>
      </c>
      <c r="AD845" s="39" t="str">
        <f t="shared" si="241"/>
        <v/>
      </c>
      <c r="AE845" s="39" t="str">
        <f t="shared" si="242"/>
        <v/>
      </c>
      <c r="AF845" s="106" t="str">
        <f t="shared" si="243"/>
        <v/>
      </c>
      <c r="AG845" s="39">
        <f t="shared" si="244"/>
        <v>0</v>
      </c>
      <c r="AH845" s="39" t="str">
        <f t="shared" si="245"/>
        <v/>
      </c>
      <c r="AI845" s="39">
        <f>IF(AND($E845="timed",$N845&gt;=Settings!$C$9),1,0)</f>
        <v>0</v>
      </c>
      <c r="AJ845" s="39" t="str">
        <f>IF(OR($S845="",Settings!$C$16=""),"",IF($S845&lt;=Settings!$C$16,1,2))</f>
        <v/>
      </c>
      <c r="AK845" s="39" t="str">
        <f>IF($C845="","",IFERROR(IF(INDEX(Settings!$C$20:$C$59,MATCH($C845,Settings!$B$20:$B$59,0))="",Settings!$C$10,INDEX(Settings!$C$20:$C$59,MATCH($C845,Settings!$B$20:$B$59,0))),Settings!$C$10))</f>
        <v/>
      </c>
      <c r="AL845" s="108">
        <f t="shared" si="246"/>
        <v>0</v>
      </c>
      <c r="AM845" s="39" t="str">
        <f t="shared" si="247"/>
        <v/>
      </c>
      <c r="AN845" s="39" t="str">
        <f t="shared" si="248"/>
        <v/>
      </c>
      <c r="AO845" s="39" t="str">
        <f t="shared" si="249"/>
        <v/>
      </c>
      <c r="AP845" s="39">
        <f t="shared" si="250"/>
        <v>0</v>
      </c>
      <c r="AQ845" s="39">
        <f t="shared" si="251"/>
        <v>0</v>
      </c>
    </row>
    <row r="846" spans="14:43" x14ac:dyDescent="0.25">
      <c r="N846" s="105">
        <f t="shared" si="234"/>
        <v>0</v>
      </c>
      <c r="O846" s="106" t="str">
        <f>IF($F846="","",IF(ISNUMBER($F846),$F846+Settings!$C$7/24,IFERROR(DATEVALUE(LEFT($F846,10))+TIMEVALUE(MID($F846,12,8))+Settings!$C$7/24,"")))</f>
        <v/>
      </c>
      <c r="P846" s="106" t="str">
        <f>IF($G846="","",IF(ISNUMBER($G846),$G846+Settings!$C$7/24,IFERROR(DATEVALUE(LEFT($G846,10))+TIMEVALUE(MID($G846,12,8))+Settings!$C$7/24,"")))</f>
        <v/>
      </c>
      <c r="Q846" s="39" t="str">
        <f t="shared" si="235"/>
        <v/>
      </c>
      <c r="R846" s="39" t="str">
        <f t="shared" si="236"/>
        <v/>
      </c>
      <c r="S846" s="107" t="str">
        <f t="shared" si="237"/>
        <v/>
      </c>
      <c r="T846" s="39" t="str">
        <f>IF($C846="","",IF(COUNTIF($C$2:$C846,$C846)=1,1,0))</f>
        <v/>
      </c>
      <c r="U846" s="39" t="str">
        <f>IF($T846=1,COUNTIF($T$2:$T846,1),"")</f>
        <v/>
      </c>
      <c r="V846" s="39" t="str">
        <f>IF($B846="","",IF(COUNTIF($B$2:$B846,$B846)=1,1,0))</f>
        <v/>
      </c>
      <c r="W846" s="39" t="str">
        <f>IF($V846=1,COUNTIF($V$2:$V846,1),"")</f>
        <v/>
      </c>
      <c r="X846" s="39" t="str">
        <f>IF($A846="","",IF(COUNTIF($A$2:$A846,$A846)=1,1,0))</f>
        <v/>
      </c>
      <c r="Y846" s="39" t="str">
        <f>IF($X846=1,COUNTIF($X$2:$X846,1),"")</f>
        <v/>
      </c>
      <c r="Z846" s="39">
        <f>IF(AND($E846="timed",$N846&gt;Settings!$C$8),1,0)</f>
        <v>0</v>
      </c>
      <c r="AA846" s="39">
        <f t="shared" si="238"/>
        <v>0</v>
      </c>
      <c r="AB846" s="39">
        <f t="shared" si="239"/>
        <v>0</v>
      </c>
      <c r="AC846" s="39" t="str">
        <f t="shared" si="240"/>
        <v/>
      </c>
      <c r="AD846" s="39" t="str">
        <f t="shared" si="241"/>
        <v/>
      </c>
      <c r="AE846" s="39" t="str">
        <f t="shared" si="242"/>
        <v/>
      </c>
      <c r="AF846" s="106" t="str">
        <f t="shared" si="243"/>
        <v/>
      </c>
      <c r="AG846" s="39">
        <f t="shared" si="244"/>
        <v>0</v>
      </c>
      <c r="AH846" s="39" t="str">
        <f t="shared" si="245"/>
        <v/>
      </c>
      <c r="AI846" s="39">
        <f>IF(AND($E846="timed",$N846&gt;=Settings!$C$9),1,0)</f>
        <v>0</v>
      </c>
      <c r="AJ846" s="39" t="str">
        <f>IF(OR($S846="",Settings!$C$16=""),"",IF($S846&lt;=Settings!$C$16,1,2))</f>
        <v/>
      </c>
      <c r="AK846" s="39" t="str">
        <f>IF($C846="","",IFERROR(IF(INDEX(Settings!$C$20:$C$59,MATCH($C846,Settings!$B$20:$B$59,0))="",Settings!$C$10,INDEX(Settings!$C$20:$C$59,MATCH($C846,Settings!$B$20:$B$59,0))),Settings!$C$10))</f>
        <v/>
      </c>
      <c r="AL846" s="108">
        <f t="shared" si="246"/>
        <v>0</v>
      </c>
      <c r="AM846" s="39" t="str">
        <f t="shared" si="247"/>
        <v/>
      </c>
      <c r="AN846" s="39" t="str">
        <f t="shared" si="248"/>
        <v/>
      </c>
      <c r="AO846" s="39" t="str">
        <f t="shared" si="249"/>
        <v/>
      </c>
      <c r="AP846" s="39">
        <f t="shared" si="250"/>
        <v>0</v>
      </c>
      <c r="AQ846" s="39">
        <f t="shared" si="251"/>
        <v>0</v>
      </c>
    </row>
    <row r="847" spans="14:43" x14ac:dyDescent="0.25">
      <c r="N847" s="105">
        <f t="shared" si="234"/>
        <v>0</v>
      </c>
      <c r="O847" s="106" t="str">
        <f>IF($F847="","",IF(ISNUMBER($F847),$F847+Settings!$C$7/24,IFERROR(DATEVALUE(LEFT($F847,10))+TIMEVALUE(MID($F847,12,8))+Settings!$C$7/24,"")))</f>
        <v/>
      </c>
      <c r="P847" s="106" t="str">
        <f>IF($G847="","",IF(ISNUMBER($G847),$G847+Settings!$C$7/24,IFERROR(DATEVALUE(LEFT($G847,10))+TIMEVALUE(MID($G847,12,8))+Settings!$C$7/24,"")))</f>
        <v/>
      </c>
      <c r="Q847" s="39" t="str">
        <f t="shared" si="235"/>
        <v/>
      </c>
      <c r="R847" s="39" t="str">
        <f t="shared" si="236"/>
        <v/>
      </c>
      <c r="S847" s="107" t="str">
        <f t="shared" si="237"/>
        <v/>
      </c>
      <c r="T847" s="39" t="str">
        <f>IF($C847="","",IF(COUNTIF($C$2:$C847,$C847)=1,1,0))</f>
        <v/>
      </c>
      <c r="U847" s="39" t="str">
        <f>IF($T847=1,COUNTIF($T$2:$T847,1),"")</f>
        <v/>
      </c>
      <c r="V847" s="39" t="str">
        <f>IF($B847="","",IF(COUNTIF($B$2:$B847,$B847)=1,1,0))</f>
        <v/>
      </c>
      <c r="W847" s="39" t="str">
        <f>IF($V847=1,COUNTIF($V$2:$V847,1),"")</f>
        <v/>
      </c>
      <c r="X847" s="39" t="str">
        <f>IF($A847="","",IF(COUNTIF($A$2:$A847,$A847)=1,1,0))</f>
        <v/>
      </c>
      <c r="Y847" s="39" t="str">
        <f>IF($X847=1,COUNTIF($X$2:$X847,1),"")</f>
        <v/>
      </c>
      <c r="Z847" s="39">
        <f>IF(AND($E847="timed",$N847&gt;Settings!$C$8),1,0)</f>
        <v>0</v>
      </c>
      <c r="AA847" s="39">
        <f t="shared" si="238"/>
        <v>0</v>
      </c>
      <c r="AB847" s="39">
        <f t="shared" si="239"/>
        <v>0</v>
      </c>
      <c r="AC847" s="39" t="str">
        <f t="shared" si="240"/>
        <v/>
      </c>
      <c r="AD847" s="39" t="str">
        <f t="shared" si="241"/>
        <v/>
      </c>
      <c r="AE847" s="39" t="str">
        <f t="shared" si="242"/>
        <v/>
      </c>
      <c r="AF847" s="106" t="str">
        <f t="shared" si="243"/>
        <v/>
      </c>
      <c r="AG847" s="39">
        <f t="shared" si="244"/>
        <v>0</v>
      </c>
      <c r="AH847" s="39" t="str">
        <f t="shared" si="245"/>
        <v/>
      </c>
      <c r="AI847" s="39">
        <f>IF(AND($E847="timed",$N847&gt;=Settings!$C$9),1,0)</f>
        <v>0</v>
      </c>
      <c r="AJ847" s="39" t="str">
        <f>IF(OR($S847="",Settings!$C$16=""),"",IF($S847&lt;=Settings!$C$16,1,2))</f>
        <v/>
      </c>
      <c r="AK847" s="39" t="str">
        <f>IF($C847="","",IFERROR(IF(INDEX(Settings!$C$20:$C$59,MATCH($C847,Settings!$B$20:$B$59,0))="",Settings!$C$10,INDEX(Settings!$C$20:$C$59,MATCH($C847,Settings!$B$20:$B$59,0))),Settings!$C$10))</f>
        <v/>
      </c>
      <c r="AL847" s="108">
        <f t="shared" si="246"/>
        <v>0</v>
      </c>
      <c r="AM847" s="39" t="str">
        <f t="shared" si="247"/>
        <v/>
      </c>
      <c r="AN847" s="39" t="str">
        <f t="shared" si="248"/>
        <v/>
      </c>
      <c r="AO847" s="39" t="str">
        <f t="shared" si="249"/>
        <v/>
      </c>
      <c r="AP847" s="39">
        <f t="shared" si="250"/>
        <v>0</v>
      </c>
      <c r="AQ847" s="39">
        <f t="shared" si="251"/>
        <v>0</v>
      </c>
    </row>
    <row r="848" spans="14:43" x14ac:dyDescent="0.25">
      <c r="N848" s="105">
        <f t="shared" si="234"/>
        <v>0</v>
      </c>
      <c r="O848" s="106" t="str">
        <f>IF($F848="","",IF(ISNUMBER($F848),$F848+Settings!$C$7/24,IFERROR(DATEVALUE(LEFT($F848,10))+TIMEVALUE(MID($F848,12,8))+Settings!$C$7/24,"")))</f>
        <v/>
      </c>
      <c r="P848" s="106" t="str">
        <f>IF($G848="","",IF(ISNUMBER($G848),$G848+Settings!$C$7/24,IFERROR(DATEVALUE(LEFT($G848,10))+TIMEVALUE(MID($G848,12,8))+Settings!$C$7/24,"")))</f>
        <v/>
      </c>
      <c r="Q848" s="39" t="str">
        <f t="shared" si="235"/>
        <v/>
      </c>
      <c r="R848" s="39" t="str">
        <f t="shared" si="236"/>
        <v/>
      </c>
      <c r="S848" s="107" t="str">
        <f t="shared" si="237"/>
        <v/>
      </c>
      <c r="T848" s="39" t="str">
        <f>IF($C848="","",IF(COUNTIF($C$2:$C848,$C848)=1,1,0))</f>
        <v/>
      </c>
      <c r="U848" s="39" t="str">
        <f>IF($T848=1,COUNTIF($T$2:$T848,1),"")</f>
        <v/>
      </c>
      <c r="V848" s="39" t="str">
        <f>IF($B848="","",IF(COUNTIF($B$2:$B848,$B848)=1,1,0))</f>
        <v/>
      </c>
      <c r="W848" s="39" t="str">
        <f>IF($V848=1,COUNTIF($V$2:$V848,1),"")</f>
        <v/>
      </c>
      <c r="X848" s="39" t="str">
        <f>IF($A848="","",IF(COUNTIF($A$2:$A848,$A848)=1,1,0))</f>
        <v/>
      </c>
      <c r="Y848" s="39" t="str">
        <f>IF($X848=1,COUNTIF($X$2:$X848,1),"")</f>
        <v/>
      </c>
      <c r="Z848" s="39">
        <f>IF(AND($E848="timed",$N848&gt;Settings!$C$8),1,0)</f>
        <v>0</v>
      </c>
      <c r="AA848" s="39">
        <f t="shared" si="238"/>
        <v>0</v>
      </c>
      <c r="AB848" s="39">
        <f t="shared" si="239"/>
        <v>0</v>
      </c>
      <c r="AC848" s="39" t="str">
        <f t="shared" si="240"/>
        <v/>
      </c>
      <c r="AD848" s="39" t="str">
        <f t="shared" si="241"/>
        <v/>
      </c>
      <c r="AE848" s="39" t="str">
        <f t="shared" si="242"/>
        <v/>
      </c>
      <c r="AF848" s="106" t="str">
        <f t="shared" si="243"/>
        <v/>
      </c>
      <c r="AG848" s="39">
        <f t="shared" si="244"/>
        <v>0</v>
      </c>
      <c r="AH848" s="39" t="str">
        <f t="shared" si="245"/>
        <v/>
      </c>
      <c r="AI848" s="39">
        <f>IF(AND($E848="timed",$N848&gt;=Settings!$C$9),1,0)</f>
        <v>0</v>
      </c>
      <c r="AJ848" s="39" t="str">
        <f>IF(OR($S848="",Settings!$C$16=""),"",IF($S848&lt;=Settings!$C$16,1,2))</f>
        <v/>
      </c>
      <c r="AK848" s="39" t="str">
        <f>IF($C848="","",IFERROR(IF(INDEX(Settings!$C$20:$C$59,MATCH($C848,Settings!$B$20:$B$59,0))="",Settings!$C$10,INDEX(Settings!$C$20:$C$59,MATCH($C848,Settings!$B$20:$B$59,0))),Settings!$C$10))</f>
        <v/>
      </c>
      <c r="AL848" s="108">
        <f t="shared" si="246"/>
        <v>0</v>
      </c>
      <c r="AM848" s="39" t="str">
        <f t="shared" si="247"/>
        <v/>
      </c>
      <c r="AN848" s="39" t="str">
        <f t="shared" si="248"/>
        <v/>
      </c>
      <c r="AO848" s="39" t="str">
        <f t="shared" si="249"/>
        <v/>
      </c>
      <c r="AP848" s="39">
        <f t="shared" si="250"/>
        <v>0</v>
      </c>
      <c r="AQ848" s="39">
        <f t="shared" si="251"/>
        <v>0</v>
      </c>
    </row>
    <row r="849" spans="14:43" x14ac:dyDescent="0.25">
      <c r="N849" s="105">
        <f t="shared" si="234"/>
        <v>0</v>
      </c>
      <c r="O849" s="106" t="str">
        <f>IF($F849="","",IF(ISNUMBER($F849),$F849+Settings!$C$7/24,IFERROR(DATEVALUE(LEFT($F849,10))+TIMEVALUE(MID($F849,12,8))+Settings!$C$7/24,"")))</f>
        <v/>
      </c>
      <c r="P849" s="106" t="str">
        <f>IF($G849="","",IF(ISNUMBER($G849),$G849+Settings!$C$7/24,IFERROR(DATEVALUE(LEFT($G849,10))+TIMEVALUE(MID($G849,12,8))+Settings!$C$7/24,"")))</f>
        <v/>
      </c>
      <c r="Q849" s="39" t="str">
        <f t="shared" si="235"/>
        <v/>
      </c>
      <c r="R849" s="39" t="str">
        <f t="shared" si="236"/>
        <v/>
      </c>
      <c r="S849" s="107" t="str">
        <f t="shared" si="237"/>
        <v/>
      </c>
      <c r="T849" s="39" t="str">
        <f>IF($C849="","",IF(COUNTIF($C$2:$C849,$C849)=1,1,0))</f>
        <v/>
      </c>
      <c r="U849" s="39" t="str">
        <f>IF($T849=1,COUNTIF($T$2:$T849,1),"")</f>
        <v/>
      </c>
      <c r="V849" s="39" t="str">
        <f>IF($B849="","",IF(COUNTIF($B$2:$B849,$B849)=1,1,0))</f>
        <v/>
      </c>
      <c r="W849" s="39" t="str">
        <f>IF($V849=1,COUNTIF($V$2:$V849,1),"")</f>
        <v/>
      </c>
      <c r="X849" s="39" t="str">
        <f>IF($A849="","",IF(COUNTIF($A$2:$A849,$A849)=1,1,0))</f>
        <v/>
      </c>
      <c r="Y849" s="39" t="str">
        <f>IF($X849=1,COUNTIF($X$2:$X849,1),"")</f>
        <v/>
      </c>
      <c r="Z849" s="39">
        <f>IF(AND($E849="timed",$N849&gt;Settings!$C$8),1,0)</f>
        <v>0</v>
      </c>
      <c r="AA849" s="39">
        <f t="shared" si="238"/>
        <v>0</v>
      </c>
      <c r="AB849" s="39">
        <f t="shared" si="239"/>
        <v>0</v>
      </c>
      <c r="AC849" s="39" t="str">
        <f t="shared" si="240"/>
        <v/>
      </c>
      <c r="AD849" s="39" t="str">
        <f t="shared" si="241"/>
        <v/>
      </c>
      <c r="AE849" s="39" t="str">
        <f t="shared" si="242"/>
        <v/>
      </c>
      <c r="AF849" s="106" t="str">
        <f t="shared" si="243"/>
        <v/>
      </c>
      <c r="AG849" s="39">
        <f t="shared" si="244"/>
        <v>0</v>
      </c>
      <c r="AH849" s="39" t="str">
        <f t="shared" si="245"/>
        <v/>
      </c>
      <c r="AI849" s="39">
        <f>IF(AND($E849="timed",$N849&gt;=Settings!$C$9),1,0)</f>
        <v>0</v>
      </c>
      <c r="AJ849" s="39" t="str">
        <f>IF(OR($S849="",Settings!$C$16=""),"",IF($S849&lt;=Settings!$C$16,1,2))</f>
        <v/>
      </c>
      <c r="AK849" s="39" t="str">
        <f>IF($C849="","",IFERROR(IF(INDEX(Settings!$C$20:$C$59,MATCH($C849,Settings!$B$20:$B$59,0))="",Settings!$C$10,INDEX(Settings!$C$20:$C$59,MATCH($C849,Settings!$B$20:$B$59,0))),Settings!$C$10))</f>
        <v/>
      </c>
      <c r="AL849" s="108">
        <f t="shared" si="246"/>
        <v>0</v>
      </c>
      <c r="AM849" s="39" t="str">
        <f t="shared" si="247"/>
        <v/>
      </c>
      <c r="AN849" s="39" t="str">
        <f t="shared" si="248"/>
        <v/>
      </c>
      <c r="AO849" s="39" t="str">
        <f t="shared" si="249"/>
        <v/>
      </c>
      <c r="AP849" s="39">
        <f t="shared" si="250"/>
        <v>0</v>
      </c>
      <c r="AQ849" s="39">
        <f t="shared" si="251"/>
        <v>0</v>
      </c>
    </row>
    <row r="850" spans="14:43" x14ac:dyDescent="0.25">
      <c r="N850" s="105">
        <f t="shared" si="234"/>
        <v>0</v>
      </c>
      <c r="O850" s="106" t="str">
        <f>IF($F850="","",IF(ISNUMBER($F850),$F850+Settings!$C$7/24,IFERROR(DATEVALUE(LEFT($F850,10))+TIMEVALUE(MID($F850,12,8))+Settings!$C$7/24,"")))</f>
        <v/>
      </c>
      <c r="P850" s="106" t="str">
        <f>IF($G850="","",IF(ISNUMBER($G850),$G850+Settings!$C$7/24,IFERROR(DATEVALUE(LEFT($G850,10))+TIMEVALUE(MID($G850,12,8))+Settings!$C$7/24,"")))</f>
        <v/>
      </c>
      <c r="Q850" s="39" t="str">
        <f t="shared" si="235"/>
        <v/>
      </c>
      <c r="R850" s="39" t="str">
        <f t="shared" si="236"/>
        <v/>
      </c>
      <c r="S850" s="107" t="str">
        <f t="shared" si="237"/>
        <v/>
      </c>
      <c r="T850" s="39" t="str">
        <f>IF($C850="","",IF(COUNTIF($C$2:$C850,$C850)=1,1,0))</f>
        <v/>
      </c>
      <c r="U850" s="39" t="str">
        <f>IF($T850=1,COUNTIF($T$2:$T850,1),"")</f>
        <v/>
      </c>
      <c r="V850" s="39" t="str">
        <f>IF($B850="","",IF(COUNTIF($B$2:$B850,$B850)=1,1,0))</f>
        <v/>
      </c>
      <c r="W850" s="39" t="str">
        <f>IF($V850=1,COUNTIF($V$2:$V850,1),"")</f>
        <v/>
      </c>
      <c r="X850" s="39" t="str">
        <f>IF($A850="","",IF(COUNTIF($A$2:$A850,$A850)=1,1,0))</f>
        <v/>
      </c>
      <c r="Y850" s="39" t="str">
        <f>IF($X850=1,COUNTIF($X$2:$X850,1),"")</f>
        <v/>
      </c>
      <c r="Z850" s="39">
        <f>IF(AND($E850="timed",$N850&gt;Settings!$C$8),1,0)</f>
        <v>0</v>
      </c>
      <c r="AA850" s="39">
        <f t="shared" si="238"/>
        <v>0</v>
      </c>
      <c r="AB850" s="39">
        <f t="shared" si="239"/>
        <v>0</v>
      </c>
      <c r="AC850" s="39" t="str">
        <f t="shared" si="240"/>
        <v/>
      </c>
      <c r="AD850" s="39" t="str">
        <f t="shared" si="241"/>
        <v/>
      </c>
      <c r="AE850" s="39" t="str">
        <f t="shared" si="242"/>
        <v/>
      </c>
      <c r="AF850" s="106" t="str">
        <f t="shared" si="243"/>
        <v/>
      </c>
      <c r="AG850" s="39">
        <f t="shared" si="244"/>
        <v>0</v>
      </c>
      <c r="AH850" s="39" t="str">
        <f t="shared" si="245"/>
        <v/>
      </c>
      <c r="AI850" s="39">
        <f>IF(AND($E850="timed",$N850&gt;=Settings!$C$9),1,0)</f>
        <v>0</v>
      </c>
      <c r="AJ850" s="39" t="str">
        <f>IF(OR($S850="",Settings!$C$16=""),"",IF($S850&lt;=Settings!$C$16,1,2))</f>
        <v/>
      </c>
      <c r="AK850" s="39" t="str">
        <f>IF($C850="","",IFERROR(IF(INDEX(Settings!$C$20:$C$59,MATCH($C850,Settings!$B$20:$B$59,0))="",Settings!$C$10,INDEX(Settings!$C$20:$C$59,MATCH($C850,Settings!$B$20:$B$59,0))),Settings!$C$10))</f>
        <v/>
      </c>
      <c r="AL850" s="108">
        <f t="shared" si="246"/>
        <v>0</v>
      </c>
      <c r="AM850" s="39" t="str">
        <f t="shared" si="247"/>
        <v/>
      </c>
      <c r="AN850" s="39" t="str">
        <f t="shared" si="248"/>
        <v/>
      </c>
      <c r="AO850" s="39" t="str">
        <f t="shared" si="249"/>
        <v/>
      </c>
      <c r="AP850" s="39">
        <f t="shared" si="250"/>
        <v>0</v>
      </c>
      <c r="AQ850" s="39">
        <f t="shared" si="251"/>
        <v>0</v>
      </c>
    </row>
    <row r="851" spans="14:43" x14ac:dyDescent="0.25">
      <c r="N851" s="105">
        <f t="shared" si="234"/>
        <v>0</v>
      </c>
      <c r="O851" s="106" t="str">
        <f>IF($F851="","",IF(ISNUMBER($F851),$F851+Settings!$C$7/24,IFERROR(DATEVALUE(LEFT($F851,10))+TIMEVALUE(MID($F851,12,8))+Settings!$C$7/24,"")))</f>
        <v/>
      </c>
      <c r="P851" s="106" t="str">
        <f>IF($G851="","",IF(ISNUMBER($G851),$G851+Settings!$C$7/24,IFERROR(DATEVALUE(LEFT($G851,10))+TIMEVALUE(MID($G851,12,8))+Settings!$C$7/24,"")))</f>
        <v/>
      </c>
      <c r="Q851" s="39" t="str">
        <f t="shared" si="235"/>
        <v/>
      </c>
      <c r="R851" s="39" t="str">
        <f t="shared" si="236"/>
        <v/>
      </c>
      <c r="S851" s="107" t="str">
        <f t="shared" si="237"/>
        <v/>
      </c>
      <c r="T851" s="39" t="str">
        <f>IF($C851="","",IF(COUNTIF($C$2:$C851,$C851)=1,1,0))</f>
        <v/>
      </c>
      <c r="U851" s="39" t="str">
        <f>IF($T851=1,COUNTIF($T$2:$T851,1),"")</f>
        <v/>
      </c>
      <c r="V851" s="39" t="str">
        <f>IF($B851="","",IF(COUNTIF($B$2:$B851,$B851)=1,1,0))</f>
        <v/>
      </c>
      <c r="W851" s="39" t="str">
        <f>IF($V851=1,COUNTIF($V$2:$V851,1),"")</f>
        <v/>
      </c>
      <c r="X851" s="39" t="str">
        <f>IF($A851="","",IF(COUNTIF($A$2:$A851,$A851)=1,1,0))</f>
        <v/>
      </c>
      <c r="Y851" s="39" t="str">
        <f>IF($X851=1,COUNTIF($X$2:$X851,1),"")</f>
        <v/>
      </c>
      <c r="Z851" s="39">
        <f>IF(AND($E851="timed",$N851&gt;Settings!$C$8),1,0)</f>
        <v>0</v>
      </c>
      <c r="AA851" s="39">
        <f t="shared" si="238"/>
        <v>0</v>
      </c>
      <c r="AB851" s="39">
        <f t="shared" si="239"/>
        <v>0</v>
      </c>
      <c r="AC851" s="39" t="str">
        <f t="shared" si="240"/>
        <v/>
      </c>
      <c r="AD851" s="39" t="str">
        <f t="shared" si="241"/>
        <v/>
      </c>
      <c r="AE851" s="39" t="str">
        <f t="shared" si="242"/>
        <v/>
      </c>
      <c r="AF851" s="106" t="str">
        <f t="shared" si="243"/>
        <v/>
      </c>
      <c r="AG851" s="39">
        <f t="shared" si="244"/>
        <v>0</v>
      </c>
      <c r="AH851" s="39" t="str">
        <f t="shared" si="245"/>
        <v/>
      </c>
      <c r="AI851" s="39">
        <f>IF(AND($E851="timed",$N851&gt;=Settings!$C$9),1,0)</f>
        <v>0</v>
      </c>
      <c r="AJ851" s="39" t="str">
        <f>IF(OR($S851="",Settings!$C$16=""),"",IF($S851&lt;=Settings!$C$16,1,2))</f>
        <v/>
      </c>
      <c r="AK851" s="39" t="str">
        <f>IF($C851="","",IFERROR(IF(INDEX(Settings!$C$20:$C$59,MATCH($C851,Settings!$B$20:$B$59,0))="",Settings!$C$10,INDEX(Settings!$C$20:$C$59,MATCH($C851,Settings!$B$20:$B$59,0))),Settings!$C$10))</f>
        <v/>
      </c>
      <c r="AL851" s="108">
        <f t="shared" si="246"/>
        <v>0</v>
      </c>
      <c r="AM851" s="39" t="str">
        <f t="shared" si="247"/>
        <v/>
      </c>
      <c r="AN851" s="39" t="str">
        <f t="shared" si="248"/>
        <v/>
      </c>
      <c r="AO851" s="39" t="str">
        <f t="shared" si="249"/>
        <v/>
      </c>
      <c r="AP851" s="39">
        <f t="shared" si="250"/>
        <v>0</v>
      </c>
      <c r="AQ851" s="39">
        <f t="shared" si="251"/>
        <v>0</v>
      </c>
    </row>
    <row r="852" spans="14:43" x14ac:dyDescent="0.25">
      <c r="N852" s="105">
        <f t="shared" si="234"/>
        <v>0</v>
      </c>
      <c r="O852" s="106" t="str">
        <f>IF($F852="","",IF(ISNUMBER($F852),$F852+Settings!$C$7/24,IFERROR(DATEVALUE(LEFT($F852,10))+TIMEVALUE(MID($F852,12,8))+Settings!$C$7/24,"")))</f>
        <v/>
      </c>
      <c r="P852" s="106" t="str">
        <f>IF($G852="","",IF(ISNUMBER($G852),$G852+Settings!$C$7/24,IFERROR(DATEVALUE(LEFT($G852,10))+TIMEVALUE(MID($G852,12,8))+Settings!$C$7/24,"")))</f>
        <v/>
      </c>
      <c r="Q852" s="39" t="str">
        <f t="shared" si="235"/>
        <v/>
      </c>
      <c r="R852" s="39" t="str">
        <f t="shared" si="236"/>
        <v/>
      </c>
      <c r="S852" s="107" t="str">
        <f t="shared" si="237"/>
        <v/>
      </c>
      <c r="T852" s="39" t="str">
        <f>IF($C852="","",IF(COUNTIF($C$2:$C852,$C852)=1,1,0))</f>
        <v/>
      </c>
      <c r="U852" s="39" t="str">
        <f>IF($T852=1,COUNTIF($T$2:$T852,1),"")</f>
        <v/>
      </c>
      <c r="V852" s="39" t="str">
        <f>IF($B852="","",IF(COUNTIF($B$2:$B852,$B852)=1,1,0))</f>
        <v/>
      </c>
      <c r="W852" s="39" t="str">
        <f>IF($V852=1,COUNTIF($V$2:$V852,1),"")</f>
        <v/>
      </c>
      <c r="X852" s="39" t="str">
        <f>IF($A852="","",IF(COUNTIF($A$2:$A852,$A852)=1,1,0))</f>
        <v/>
      </c>
      <c r="Y852" s="39" t="str">
        <f>IF($X852=1,COUNTIF($X$2:$X852,1),"")</f>
        <v/>
      </c>
      <c r="Z852" s="39">
        <f>IF(AND($E852="timed",$N852&gt;Settings!$C$8),1,0)</f>
        <v>0</v>
      </c>
      <c r="AA852" s="39">
        <f t="shared" si="238"/>
        <v>0</v>
      </c>
      <c r="AB852" s="39">
        <f t="shared" si="239"/>
        <v>0</v>
      </c>
      <c r="AC852" s="39" t="str">
        <f t="shared" si="240"/>
        <v/>
      </c>
      <c r="AD852" s="39" t="str">
        <f t="shared" si="241"/>
        <v/>
      </c>
      <c r="AE852" s="39" t="str">
        <f t="shared" si="242"/>
        <v/>
      </c>
      <c r="AF852" s="106" t="str">
        <f t="shared" si="243"/>
        <v/>
      </c>
      <c r="AG852" s="39">
        <f t="shared" si="244"/>
        <v>0</v>
      </c>
      <c r="AH852" s="39" t="str">
        <f t="shared" si="245"/>
        <v/>
      </c>
      <c r="AI852" s="39">
        <f>IF(AND($E852="timed",$N852&gt;=Settings!$C$9),1,0)</f>
        <v>0</v>
      </c>
      <c r="AJ852" s="39" t="str">
        <f>IF(OR($S852="",Settings!$C$16=""),"",IF($S852&lt;=Settings!$C$16,1,2))</f>
        <v/>
      </c>
      <c r="AK852" s="39" t="str">
        <f>IF($C852="","",IFERROR(IF(INDEX(Settings!$C$20:$C$59,MATCH($C852,Settings!$B$20:$B$59,0))="",Settings!$C$10,INDEX(Settings!$C$20:$C$59,MATCH($C852,Settings!$B$20:$B$59,0))),Settings!$C$10))</f>
        <v/>
      </c>
      <c r="AL852" s="108">
        <f t="shared" si="246"/>
        <v>0</v>
      </c>
      <c r="AM852" s="39" t="str">
        <f t="shared" si="247"/>
        <v/>
      </c>
      <c r="AN852" s="39" t="str">
        <f t="shared" si="248"/>
        <v/>
      </c>
      <c r="AO852" s="39" t="str">
        <f t="shared" si="249"/>
        <v/>
      </c>
      <c r="AP852" s="39">
        <f t="shared" si="250"/>
        <v>0</v>
      </c>
      <c r="AQ852" s="39">
        <f t="shared" si="251"/>
        <v>0</v>
      </c>
    </row>
    <row r="853" spans="14:43" x14ac:dyDescent="0.25">
      <c r="N853" s="105">
        <f t="shared" si="234"/>
        <v>0</v>
      </c>
      <c r="O853" s="106" t="str">
        <f>IF($F853="","",IF(ISNUMBER($F853),$F853+Settings!$C$7/24,IFERROR(DATEVALUE(LEFT($F853,10))+TIMEVALUE(MID($F853,12,8))+Settings!$C$7/24,"")))</f>
        <v/>
      </c>
      <c r="P853" s="106" t="str">
        <f>IF($G853="","",IF(ISNUMBER($G853),$G853+Settings!$C$7/24,IFERROR(DATEVALUE(LEFT($G853,10))+TIMEVALUE(MID($G853,12,8))+Settings!$C$7/24,"")))</f>
        <v/>
      </c>
      <c r="Q853" s="39" t="str">
        <f t="shared" si="235"/>
        <v/>
      </c>
      <c r="R853" s="39" t="str">
        <f t="shared" si="236"/>
        <v/>
      </c>
      <c r="S853" s="107" t="str">
        <f t="shared" si="237"/>
        <v/>
      </c>
      <c r="T853" s="39" t="str">
        <f>IF($C853="","",IF(COUNTIF($C$2:$C853,$C853)=1,1,0))</f>
        <v/>
      </c>
      <c r="U853" s="39" t="str">
        <f>IF($T853=1,COUNTIF($T$2:$T853,1),"")</f>
        <v/>
      </c>
      <c r="V853" s="39" t="str">
        <f>IF($B853="","",IF(COUNTIF($B$2:$B853,$B853)=1,1,0))</f>
        <v/>
      </c>
      <c r="W853" s="39" t="str">
        <f>IF($V853=1,COUNTIF($V$2:$V853,1),"")</f>
        <v/>
      </c>
      <c r="X853" s="39" t="str">
        <f>IF($A853="","",IF(COUNTIF($A$2:$A853,$A853)=1,1,0))</f>
        <v/>
      </c>
      <c r="Y853" s="39" t="str">
        <f>IF($X853=1,COUNTIF($X$2:$X853,1),"")</f>
        <v/>
      </c>
      <c r="Z853" s="39">
        <f>IF(AND($E853="timed",$N853&gt;Settings!$C$8),1,0)</f>
        <v>0</v>
      </c>
      <c r="AA853" s="39">
        <f t="shared" si="238"/>
        <v>0</v>
      </c>
      <c r="AB853" s="39">
        <f t="shared" si="239"/>
        <v>0</v>
      </c>
      <c r="AC853" s="39" t="str">
        <f t="shared" si="240"/>
        <v/>
      </c>
      <c r="AD853" s="39" t="str">
        <f t="shared" si="241"/>
        <v/>
      </c>
      <c r="AE853" s="39" t="str">
        <f t="shared" si="242"/>
        <v/>
      </c>
      <c r="AF853" s="106" t="str">
        <f t="shared" si="243"/>
        <v/>
      </c>
      <c r="AG853" s="39">
        <f t="shared" si="244"/>
        <v>0</v>
      </c>
      <c r="AH853" s="39" t="str">
        <f t="shared" si="245"/>
        <v/>
      </c>
      <c r="AI853" s="39">
        <f>IF(AND($E853="timed",$N853&gt;=Settings!$C$9),1,0)</f>
        <v>0</v>
      </c>
      <c r="AJ853" s="39" t="str">
        <f>IF(OR($S853="",Settings!$C$16=""),"",IF($S853&lt;=Settings!$C$16,1,2))</f>
        <v/>
      </c>
      <c r="AK853" s="39" t="str">
        <f>IF($C853="","",IFERROR(IF(INDEX(Settings!$C$20:$C$59,MATCH($C853,Settings!$B$20:$B$59,0))="",Settings!$C$10,INDEX(Settings!$C$20:$C$59,MATCH($C853,Settings!$B$20:$B$59,0))),Settings!$C$10))</f>
        <v/>
      </c>
      <c r="AL853" s="108">
        <f t="shared" si="246"/>
        <v>0</v>
      </c>
      <c r="AM853" s="39" t="str">
        <f t="shared" si="247"/>
        <v/>
      </c>
      <c r="AN853" s="39" t="str">
        <f t="shared" si="248"/>
        <v/>
      </c>
      <c r="AO853" s="39" t="str">
        <f t="shared" si="249"/>
        <v/>
      </c>
      <c r="AP853" s="39">
        <f t="shared" si="250"/>
        <v>0</v>
      </c>
      <c r="AQ853" s="39">
        <f t="shared" si="251"/>
        <v>0</v>
      </c>
    </row>
    <row r="854" spans="14:43" x14ac:dyDescent="0.25">
      <c r="N854" s="105">
        <f t="shared" si="234"/>
        <v>0</v>
      </c>
      <c r="O854" s="106" t="str">
        <f>IF($F854="","",IF(ISNUMBER($F854),$F854+Settings!$C$7/24,IFERROR(DATEVALUE(LEFT($F854,10))+TIMEVALUE(MID($F854,12,8))+Settings!$C$7/24,"")))</f>
        <v/>
      </c>
      <c r="P854" s="106" t="str">
        <f>IF($G854="","",IF(ISNUMBER($G854),$G854+Settings!$C$7/24,IFERROR(DATEVALUE(LEFT($G854,10))+TIMEVALUE(MID($G854,12,8))+Settings!$C$7/24,"")))</f>
        <v/>
      </c>
      <c r="Q854" s="39" t="str">
        <f t="shared" si="235"/>
        <v/>
      </c>
      <c r="R854" s="39" t="str">
        <f t="shared" si="236"/>
        <v/>
      </c>
      <c r="S854" s="107" t="str">
        <f t="shared" si="237"/>
        <v/>
      </c>
      <c r="T854" s="39" t="str">
        <f>IF($C854="","",IF(COUNTIF($C$2:$C854,$C854)=1,1,0))</f>
        <v/>
      </c>
      <c r="U854" s="39" t="str">
        <f>IF($T854=1,COUNTIF($T$2:$T854,1),"")</f>
        <v/>
      </c>
      <c r="V854" s="39" t="str">
        <f>IF($B854="","",IF(COUNTIF($B$2:$B854,$B854)=1,1,0))</f>
        <v/>
      </c>
      <c r="W854" s="39" t="str">
        <f>IF($V854=1,COUNTIF($V$2:$V854,1),"")</f>
        <v/>
      </c>
      <c r="X854" s="39" t="str">
        <f>IF($A854="","",IF(COUNTIF($A$2:$A854,$A854)=1,1,0))</f>
        <v/>
      </c>
      <c r="Y854" s="39" t="str">
        <f>IF($X854=1,COUNTIF($X$2:$X854,1),"")</f>
        <v/>
      </c>
      <c r="Z854" s="39">
        <f>IF(AND($E854="timed",$N854&gt;Settings!$C$8),1,0)</f>
        <v>0</v>
      </c>
      <c r="AA854" s="39">
        <f t="shared" si="238"/>
        <v>0</v>
      </c>
      <c r="AB854" s="39">
        <f t="shared" si="239"/>
        <v>0</v>
      </c>
      <c r="AC854" s="39" t="str">
        <f t="shared" si="240"/>
        <v/>
      </c>
      <c r="AD854" s="39" t="str">
        <f t="shared" si="241"/>
        <v/>
      </c>
      <c r="AE854" s="39" t="str">
        <f t="shared" si="242"/>
        <v/>
      </c>
      <c r="AF854" s="106" t="str">
        <f t="shared" si="243"/>
        <v/>
      </c>
      <c r="AG854" s="39">
        <f t="shared" si="244"/>
        <v>0</v>
      </c>
      <c r="AH854" s="39" t="str">
        <f t="shared" si="245"/>
        <v/>
      </c>
      <c r="AI854" s="39">
        <f>IF(AND($E854="timed",$N854&gt;=Settings!$C$9),1,0)</f>
        <v>0</v>
      </c>
      <c r="AJ854" s="39" t="str">
        <f>IF(OR($S854="",Settings!$C$16=""),"",IF($S854&lt;=Settings!$C$16,1,2))</f>
        <v/>
      </c>
      <c r="AK854" s="39" t="str">
        <f>IF($C854="","",IFERROR(IF(INDEX(Settings!$C$20:$C$59,MATCH($C854,Settings!$B$20:$B$59,0))="",Settings!$C$10,INDEX(Settings!$C$20:$C$59,MATCH($C854,Settings!$B$20:$B$59,0))),Settings!$C$10))</f>
        <v/>
      </c>
      <c r="AL854" s="108">
        <f t="shared" si="246"/>
        <v>0</v>
      </c>
      <c r="AM854" s="39" t="str">
        <f t="shared" si="247"/>
        <v/>
      </c>
      <c r="AN854" s="39" t="str">
        <f t="shared" si="248"/>
        <v/>
      </c>
      <c r="AO854" s="39" t="str">
        <f t="shared" si="249"/>
        <v/>
      </c>
      <c r="AP854" s="39">
        <f t="shared" si="250"/>
        <v>0</v>
      </c>
      <c r="AQ854" s="39">
        <f t="shared" si="251"/>
        <v>0</v>
      </c>
    </row>
    <row r="855" spans="14:43" x14ac:dyDescent="0.25">
      <c r="N855" s="105">
        <f t="shared" si="234"/>
        <v>0</v>
      </c>
      <c r="O855" s="106" t="str">
        <f>IF($F855="","",IF(ISNUMBER($F855),$F855+Settings!$C$7/24,IFERROR(DATEVALUE(LEFT($F855,10))+TIMEVALUE(MID($F855,12,8))+Settings!$C$7/24,"")))</f>
        <v/>
      </c>
      <c r="P855" s="106" t="str">
        <f>IF($G855="","",IF(ISNUMBER($G855),$G855+Settings!$C$7/24,IFERROR(DATEVALUE(LEFT($G855,10))+TIMEVALUE(MID($G855,12,8))+Settings!$C$7/24,"")))</f>
        <v/>
      </c>
      <c r="Q855" s="39" t="str">
        <f t="shared" si="235"/>
        <v/>
      </c>
      <c r="R855" s="39" t="str">
        <f t="shared" si="236"/>
        <v/>
      </c>
      <c r="S855" s="107" t="str">
        <f t="shared" si="237"/>
        <v/>
      </c>
      <c r="T855" s="39" t="str">
        <f>IF($C855="","",IF(COUNTIF($C$2:$C855,$C855)=1,1,0))</f>
        <v/>
      </c>
      <c r="U855" s="39" t="str">
        <f>IF($T855=1,COUNTIF($T$2:$T855,1),"")</f>
        <v/>
      </c>
      <c r="V855" s="39" t="str">
        <f>IF($B855="","",IF(COUNTIF($B$2:$B855,$B855)=1,1,0))</f>
        <v/>
      </c>
      <c r="W855" s="39" t="str">
        <f>IF($V855=1,COUNTIF($V$2:$V855,1),"")</f>
        <v/>
      </c>
      <c r="X855" s="39" t="str">
        <f>IF($A855="","",IF(COUNTIF($A$2:$A855,$A855)=1,1,0))</f>
        <v/>
      </c>
      <c r="Y855" s="39" t="str">
        <f>IF($X855=1,COUNTIF($X$2:$X855,1),"")</f>
        <v/>
      </c>
      <c r="Z855" s="39">
        <f>IF(AND($E855="timed",$N855&gt;Settings!$C$8),1,0)</f>
        <v>0</v>
      </c>
      <c r="AA855" s="39">
        <f t="shared" si="238"/>
        <v>0</v>
      </c>
      <c r="AB855" s="39">
        <f t="shared" si="239"/>
        <v>0</v>
      </c>
      <c r="AC855" s="39" t="str">
        <f t="shared" si="240"/>
        <v/>
      </c>
      <c r="AD855" s="39" t="str">
        <f t="shared" si="241"/>
        <v/>
      </c>
      <c r="AE855" s="39" t="str">
        <f t="shared" si="242"/>
        <v/>
      </c>
      <c r="AF855" s="106" t="str">
        <f t="shared" si="243"/>
        <v/>
      </c>
      <c r="AG855" s="39">
        <f t="shared" si="244"/>
        <v>0</v>
      </c>
      <c r="AH855" s="39" t="str">
        <f t="shared" si="245"/>
        <v/>
      </c>
      <c r="AI855" s="39">
        <f>IF(AND($E855="timed",$N855&gt;=Settings!$C$9),1,0)</f>
        <v>0</v>
      </c>
      <c r="AJ855" s="39" t="str">
        <f>IF(OR($S855="",Settings!$C$16=""),"",IF($S855&lt;=Settings!$C$16,1,2))</f>
        <v/>
      </c>
      <c r="AK855" s="39" t="str">
        <f>IF($C855="","",IFERROR(IF(INDEX(Settings!$C$20:$C$59,MATCH($C855,Settings!$B$20:$B$59,0))="",Settings!$C$10,INDEX(Settings!$C$20:$C$59,MATCH($C855,Settings!$B$20:$B$59,0))),Settings!$C$10))</f>
        <v/>
      </c>
      <c r="AL855" s="108">
        <f t="shared" si="246"/>
        <v>0</v>
      </c>
      <c r="AM855" s="39" t="str">
        <f t="shared" si="247"/>
        <v/>
      </c>
      <c r="AN855" s="39" t="str">
        <f t="shared" si="248"/>
        <v/>
      </c>
      <c r="AO855" s="39" t="str">
        <f t="shared" si="249"/>
        <v/>
      </c>
      <c r="AP855" s="39">
        <f t="shared" si="250"/>
        <v>0</v>
      </c>
      <c r="AQ855" s="39">
        <f t="shared" si="251"/>
        <v>0</v>
      </c>
    </row>
    <row r="856" spans="14:43" x14ac:dyDescent="0.25">
      <c r="N856" s="105">
        <f t="shared" si="234"/>
        <v>0</v>
      </c>
      <c r="O856" s="106" t="str">
        <f>IF($F856="","",IF(ISNUMBER($F856),$F856+Settings!$C$7/24,IFERROR(DATEVALUE(LEFT($F856,10))+TIMEVALUE(MID($F856,12,8))+Settings!$C$7/24,"")))</f>
        <v/>
      </c>
      <c r="P856" s="106" t="str">
        <f>IF($G856="","",IF(ISNUMBER($G856),$G856+Settings!$C$7/24,IFERROR(DATEVALUE(LEFT($G856,10))+TIMEVALUE(MID($G856,12,8))+Settings!$C$7/24,"")))</f>
        <v/>
      </c>
      <c r="Q856" s="39" t="str">
        <f t="shared" si="235"/>
        <v/>
      </c>
      <c r="R856" s="39" t="str">
        <f t="shared" si="236"/>
        <v/>
      </c>
      <c r="S856" s="107" t="str">
        <f t="shared" si="237"/>
        <v/>
      </c>
      <c r="T856" s="39" t="str">
        <f>IF($C856="","",IF(COUNTIF($C$2:$C856,$C856)=1,1,0))</f>
        <v/>
      </c>
      <c r="U856" s="39" t="str">
        <f>IF($T856=1,COUNTIF($T$2:$T856,1),"")</f>
        <v/>
      </c>
      <c r="V856" s="39" t="str">
        <f>IF($B856="","",IF(COUNTIF($B$2:$B856,$B856)=1,1,0))</f>
        <v/>
      </c>
      <c r="W856" s="39" t="str">
        <f>IF($V856=1,COUNTIF($V$2:$V856,1),"")</f>
        <v/>
      </c>
      <c r="X856" s="39" t="str">
        <f>IF($A856="","",IF(COUNTIF($A$2:$A856,$A856)=1,1,0))</f>
        <v/>
      </c>
      <c r="Y856" s="39" t="str">
        <f>IF($X856=1,COUNTIF($X$2:$X856,1),"")</f>
        <v/>
      </c>
      <c r="Z856" s="39">
        <f>IF(AND($E856="timed",$N856&gt;Settings!$C$8),1,0)</f>
        <v>0</v>
      </c>
      <c r="AA856" s="39">
        <f t="shared" si="238"/>
        <v>0</v>
      </c>
      <c r="AB856" s="39">
        <f t="shared" si="239"/>
        <v>0</v>
      </c>
      <c r="AC856" s="39" t="str">
        <f t="shared" si="240"/>
        <v/>
      </c>
      <c r="AD856" s="39" t="str">
        <f t="shared" si="241"/>
        <v/>
      </c>
      <c r="AE856" s="39" t="str">
        <f t="shared" si="242"/>
        <v/>
      </c>
      <c r="AF856" s="106" t="str">
        <f t="shared" si="243"/>
        <v/>
      </c>
      <c r="AG856" s="39">
        <f t="shared" si="244"/>
        <v>0</v>
      </c>
      <c r="AH856" s="39" t="str">
        <f t="shared" si="245"/>
        <v/>
      </c>
      <c r="AI856" s="39">
        <f>IF(AND($E856="timed",$N856&gt;=Settings!$C$9),1,0)</f>
        <v>0</v>
      </c>
      <c r="AJ856" s="39" t="str">
        <f>IF(OR($S856="",Settings!$C$16=""),"",IF($S856&lt;=Settings!$C$16,1,2))</f>
        <v/>
      </c>
      <c r="AK856" s="39" t="str">
        <f>IF($C856="","",IFERROR(IF(INDEX(Settings!$C$20:$C$59,MATCH($C856,Settings!$B$20:$B$59,0))="",Settings!$C$10,INDEX(Settings!$C$20:$C$59,MATCH($C856,Settings!$B$20:$B$59,0))),Settings!$C$10))</f>
        <v/>
      </c>
      <c r="AL856" s="108">
        <f t="shared" si="246"/>
        <v>0</v>
      </c>
      <c r="AM856" s="39" t="str">
        <f t="shared" si="247"/>
        <v/>
      </c>
      <c r="AN856" s="39" t="str">
        <f t="shared" si="248"/>
        <v/>
      </c>
      <c r="AO856" s="39" t="str">
        <f t="shared" si="249"/>
        <v/>
      </c>
      <c r="AP856" s="39">
        <f t="shared" si="250"/>
        <v>0</v>
      </c>
      <c r="AQ856" s="39">
        <f t="shared" si="251"/>
        <v>0</v>
      </c>
    </row>
    <row r="857" spans="14:43" x14ac:dyDescent="0.25">
      <c r="N857" s="105">
        <f t="shared" si="234"/>
        <v>0</v>
      </c>
      <c r="O857" s="106" t="str">
        <f>IF($F857="","",IF(ISNUMBER($F857),$F857+Settings!$C$7/24,IFERROR(DATEVALUE(LEFT($F857,10))+TIMEVALUE(MID($F857,12,8))+Settings!$C$7/24,"")))</f>
        <v/>
      </c>
      <c r="P857" s="106" t="str">
        <f>IF($G857="","",IF(ISNUMBER($G857),$G857+Settings!$C$7/24,IFERROR(DATEVALUE(LEFT($G857,10))+TIMEVALUE(MID($G857,12,8))+Settings!$C$7/24,"")))</f>
        <v/>
      </c>
      <c r="Q857" s="39" t="str">
        <f t="shared" si="235"/>
        <v/>
      </c>
      <c r="R857" s="39" t="str">
        <f t="shared" si="236"/>
        <v/>
      </c>
      <c r="S857" s="107" t="str">
        <f t="shared" si="237"/>
        <v/>
      </c>
      <c r="T857" s="39" t="str">
        <f>IF($C857="","",IF(COUNTIF($C$2:$C857,$C857)=1,1,0))</f>
        <v/>
      </c>
      <c r="U857" s="39" t="str">
        <f>IF($T857=1,COUNTIF($T$2:$T857,1),"")</f>
        <v/>
      </c>
      <c r="V857" s="39" t="str">
        <f>IF($B857="","",IF(COUNTIF($B$2:$B857,$B857)=1,1,0))</f>
        <v/>
      </c>
      <c r="W857" s="39" t="str">
        <f>IF($V857=1,COUNTIF($V$2:$V857,1),"")</f>
        <v/>
      </c>
      <c r="X857" s="39" t="str">
        <f>IF($A857="","",IF(COUNTIF($A$2:$A857,$A857)=1,1,0))</f>
        <v/>
      </c>
      <c r="Y857" s="39" t="str">
        <f>IF($X857=1,COUNTIF($X$2:$X857,1),"")</f>
        <v/>
      </c>
      <c r="Z857" s="39">
        <f>IF(AND($E857="timed",$N857&gt;Settings!$C$8),1,0)</f>
        <v>0</v>
      </c>
      <c r="AA857" s="39">
        <f t="shared" si="238"/>
        <v>0</v>
      </c>
      <c r="AB857" s="39">
        <f t="shared" si="239"/>
        <v>0</v>
      </c>
      <c r="AC857" s="39" t="str">
        <f t="shared" si="240"/>
        <v/>
      </c>
      <c r="AD857" s="39" t="str">
        <f t="shared" si="241"/>
        <v/>
      </c>
      <c r="AE857" s="39" t="str">
        <f t="shared" si="242"/>
        <v/>
      </c>
      <c r="AF857" s="106" t="str">
        <f t="shared" si="243"/>
        <v/>
      </c>
      <c r="AG857" s="39">
        <f t="shared" si="244"/>
        <v>0</v>
      </c>
      <c r="AH857" s="39" t="str">
        <f t="shared" si="245"/>
        <v/>
      </c>
      <c r="AI857" s="39">
        <f>IF(AND($E857="timed",$N857&gt;=Settings!$C$9),1,0)</f>
        <v>0</v>
      </c>
      <c r="AJ857" s="39" t="str">
        <f>IF(OR($S857="",Settings!$C$16=""),"",IF($S857&lt;=Settings!$C$16,1,2))</f>
        <v/>
      </c>
      <c r="AK857" s="39" t="str">
        <f>IF($C857="","",IFERROR(IF(INDEX(Settings!$C$20:$C$59,MATCH($C857,Settings!$B$20:$B$59,0))="",Settings!$C$10,INDEX(Settings!$C$20:$C$59,MATCH($C857,Settings!$B$20:$B$59,0))),Settings!$C$10))</f>
        <v/>
      </c>
      <c r="AL857" s="108">
        <f t="shared" si="246"/>
        <v>0</v>
      </c>
      <c r="AM857" s="39" t="str">
        <f t="shared" si="247"/>
        <v/>
      </c>
      <c r="AN857" s="39" t="str">
        <f t="shared" si="248"/>
        <v/>
      </c>
      <c r="AO857" s="39" t="str">
        <f t="shared" si="249"/>
        <v/>
      </c>
      <c r="AP857" s="39">
        <f t="shared" si="250"/>
        <v>0</v>
      </c>
      <c r="AQ857" s="39">
        <f t="shared" si="251"/>
        <v>0</v>
      </c>
    </row>
    <row r="858" spans="14:43" x14ac:dyDescent="0.25">
      <c r="N858" s="105">
        <f t="shared" si="234"/>
        <v>0</v>
      </c>
      <c r="O858" s="106" t="str">
        <f>IF($F858="","",IF(ISNUMBER($F858),$F858+Settings!$C$7/24,IFERROR(DATEVALUE(LEFT($F858,10))+TIMEVALUE(MID($F858,12,8))+Settings!$C$7/24,"")))</f>
        <v/>
      </c>
      <c r="P858" s="106" t="str">
        <f>IF($G858="","",IF(ISNUMBER($G858),$G858+Settings!$C$7/24,IFERROR(DATEVALUE(LEFT($G858,10))+TIMEVALUE(MID($G858,12,8))+Settings!$C$7/24,"")))</f>
        <v/>
      </c>
      <c r="Q858" s="39" t="str">
        <f t="shared" si="235"/>
        <v/>
      </c>
      <c r="R858" s="39" t="str">
        <f t="shared" si="236"/>
        <v/>
      </c>
      <c r="S858" s="107" t="str">
        <f t="shared" si="237"/>
        <v/>
      </c>
      <c r="T858" s="39" t="str">
        <f>IF($C858="","",IF(COUNTIF($C$2:$C858,$C858)=1,1,0))</f>
        <v/>
      </c>
      <c r="U858" s="39" t="str">
        <f>IF($T858=1,COUNTIF($T$2:$T858,1),"")</f>
        <v/>
      </c>
      <c r="V858" s="39" t="str">
        <f>IF($B858="","",IF(COUNTIF($B$2:$B858,$B858)=1,1,0))</f>
        <v/>
      </c>
      <c r="W858" s="39" t="str">
        <f>IF($V858=1,COUNTIF($V$2:$V858,1),"")</f>
        <v/>
      </c>
      <c r="X858" s="39" t="str">
        <f>IF($A858="","",IF(COUNTIF($A$2:$A858,$A858)=1,1,0))</f>
        <v/>
      </c>
      <c r="Y858" s="39" t="str">
        <f>IF($X858=1,COUNTIF($X$2:$X858,1),"")</f>
        <v/>
      </c>
      <c r="Z858" s="39">
        <f>IF(AND($E858="timed",$N858&gt;Settings!$C$8),1,0)</f>
        <v>0</v>
      </c>
      <c r="AA858" s="39">
        <f t="shared" si="238"/>
        <v>0</v>
      </c>
      <c r="AB858" s="39">
        <f t="shared" si="239"/>
        <v>0</v>
      </c>
      <c r="AC858" s="39" t="str">
        <f t="shared" si="240"/>
        <v/>
      </c>
      <c r="AD858" s="39" t="str">
        <f t="shared" si="241"/>
        <v/>
      </c>
      <c r="AE858" s="39" t="str">
        <f t="shared" si="242"/>
        <v/>
      </c>
      <c r="AF858" s="106" t="str">
        <f t="shared" si="243"/>
        <v/>
      </c>
      <c r="AG858" s="39">
        <f t="shared" si="244"/>
        <v>0</v>
      </c>
      <c r="AH858" s="39" t="str">
        <f t="shared" si="245"/>
        <v/>
      </c>
      <c r="AI858" s="39">
        <f>IF(AND($E858="timed",$N858&gt;=Settings!$C$9),1,0)</f>
        <v>0</v>
      </c>
      <c r="AJ858" s="39" t="str">
        <f>IF(OR($S858="",Settings!$C$16=""),"",IF($S858&lt;=Settings!$C$16,1,2))</f>
        <v/>
      </c>
      <c r="AK858" s="39" t="str">
        <f>IF($C858="","",IFERROR(IF(INDEX(Settings!$C$20:$C$59,MATCH($C858,Settings!$B$20:$B$59,0))="",Settings!$C$10,INDEX(Settings!$C$20:$C$59,MATCH($C858,Settings!$B$20:$B$59,0))),Settings!$C$10))</f>
        <v/>
      </c>
      <c r="AL858" s="108">
        <f t="shared" si="246"/>
        <v>0</v>
      </c>
      <c r="AM858" s="39" t="str">
        <f t="shared" si="247"/>
        <v/>
      </c>
      <c r="AN858" s="39" t="str">
        <f t="shared" si="248"/>
        <v/>
      </c>
      <c r="AO858" s="39" t="str">
        <f t="shared" si="249"/>
        <v/>
      </c>
      <c r="AP858" s="39">
        <f t="shared" si="250"/>
        <v>0</v>
      </c>
      <c r="AQ858" s="39">
        <f t="shared" si="251"/>
        <v>0</v>
      </c>
    </row>
    <row r="859" spans="14:43" x14ac:dyDescent="0.25">
      <c r="N859" s="105">
        <f t="shared" si="234"/>
        <v>0</v>
      </c>
      <c r="O859" s="106" t="str">
        <f>IF($F859="","",IF(ISNUMBER($F859),$F859+Settings!$C$7/24,IFERROR(DATEVALUE(LEFT($F859,10))+TIMEVALUE(MID($F859,12,8))+Settings!$C$7/24,"")))</f>
        <v/>
      </c>
      <c r="P859" s="106" t="str">
        <f>IF($G859="","",IF(ISNUMBER($G859),$G859+Settings!$C$7/24,IFERROR(DATEVALUE(LEFT($G859,10))+TIMEVALUE(MID($G859,12,8))+Settings!$C$7/24,"")))</f>
        <v/>
      </c>
      <c r="Q859" s="39" t="str">
        <f t="shared" si="235"/>
        <v/>
      </c>
      <c r="R859" s="39" t="str">
        <f t="shared" si="236"/>
        <v/>
      </c>
      <c r="S859" s="107" t="str">
        <f t="shared" si="237"/>
        <v/>
      </c>
      <c r="T859" s="39" t="str">
        <f>IF($C859="","",IF(COUNTIF($C$2:$C859,$C859)=1,1,0))</f>
        <v/>
      </c>
      <c r="U859" s="39" t="str">
        <f>IF($T859=1,COUNTIF($T$2:$T859,1),"")</f>
        <v/>
      </c>
      <c r="V859" s="39" t="str">
        <f>IF($B859="","",IF(COUNTIF($B$2:$B859,$B859)=1,1,0))</f>
        <v/>
      </c>
      <c r="W859" s="39" t="str">
        <f>IF($V859=1,COUNTIF($V$2:$V859,1),"")</f>
        <v/>
      </c>
      <c r="X859" s="39" t="str">
        <f>IF($A859="","",IF(COUNTIF($A$2:$A859,$A859)=1,1,0))</f>
        <v/>
      </c>
      <c r="Y859" s="39" t="str">
        <f>IF($X859=1,COUNTIF($X$2:$X859,1),"")</f>
        <v/>
      </c>
      <c r="Z859" s="39">
        <f>IF(AND($E859="timed",$N859&gt;Settings!$C$8),1,0)</f>
        <v>0</v>
      </c>
      <c r="AA859" s="39">
        <f t="shared" si="238"/>
        <v>0</v>
      </c>
      <c r="AB859" s="39">
        <f t="shared" si="239"/>
        <v>0</v>
      </c>
      <c r="AC859" s="39" t="str">
        <f t="shared" si="240"/>
        <v/>
      </c>
      <c r="AD859" s="39" t="str">
        <f t="shared" si="241"/>
        <v/>
      </c>
      <c r="AE859" s="39" t="str">
        <f t="shared" si="242"/>
        <v/>
      </c>
      <c r="AF859" s="106" t="str">
        <f t="shared" si="243"/>
        <v/>
      </c>
      <c r="AG859" s="39">
        <f t="shared" si="244"/>
        <v>0</v>
      </c>
      <c r="AH859" s="39" t="str">
        <f t="shared" si="245"/>
        <v/>
      </c>
      <c r="AI859" s="39">
        <f>IF(AND($E859="timed",$N859&gt;=Settings!$C$9),1,0)</f>
        <v>0</v>
      </c>
      <c r="AJ859" s="39" t="str">
        <f>IF(OR($S859="",Settings!$C$16=""),"",IF($S859&lt;=Settings!$C$16,1,2))</f>
        <v/>
      </c>
      <c r="AK859" s="39" t="str">
        <f>IF($C859="","",IFERROR(IF(INDEX(Settings!$C$20:$C$59,MATCH($C859,Settings!$B$20:$B$59,0))="",Settings!$C$10,INDEX(Settings!$C$20:$C$59,MATCH($C859,Settings!$B$20:$B$59,0))),Settings!$C$10))</f>
        <v/>
      </c>
      <c r="AL859" s="108">
        <f t="shared" si="246"/>
        <v>0</v>
      </c>
      <c r="AM859" s="39" t="str">
        <f t="shared" si="247"/>
        <v/>
      </c>
      <c r="AN859" s="39" t="str">
        <f t="shared" si="248"/>
        <v/>
      </c>
      <c r="AO859" s="39" t="str">
        <f t="shared" si="249"/>
        <v/>
      </c>
      <c r="AP859" s="39">
        <f t="shared" si="250"/>
        <v>0</v>
      </c>
      <c r="AQ859" s="39">
        <f t="shared" si="251"/>
        <v>0</v>
      </c>
    </row>
    <row r="860" spans="14:43" x14ac:dyDescent="0.25">
      <c r="N860" s="105">
        <f t="shared" si="234"/>
        <v>0</v>
      </c>
      <c r="O860" s="106" t="str">
        <f>IF($F860="","",IF(ISNUMBER($F860),$F860+Settings!$C$7/24,IFERROR(DATEVALUE(LEFT($F860,10))+TIMEVALUE(MID($F860,12,8))+Settings!$C$7/24,"")))</f>
        <v/>
      </c>
      <c r="P860" s="106" t="str">
        <f>IF($G860="","",IF(ISNUMBER($G860),$G860+Settings!$C$7/24,IFERROR(DATEVALUE(LEFT($G860,10))+TIMEVALUE(MID($G860,12,8))+Settings!$C$7/24,"")))</f>
        <v/>
      </c>
      <c r="Q860" s="39" t="str">
        <f t="shared" si="235"/>
        <v/>
      </c>
      <c r="R860" s="39" t="str">
        <f t="shared" si="236"/>
        <v/>
      </c>
      <c r="S860" s="107" t="str">
        <f t="shared" si="237"/>
        <v/>
      </c>
      <c r="T860" s="39" t="str">
        <f>IF($C860="","",IF(COUNTIF($C$2:$C860,$C860)=1,1,0))</f>
        <v/>
      </c>
      <c r="U860" s="39" t="str">
        <f>IF($T860=1,COUNTIF($T$2:$T860,1),"")</f>
        <v/>
      </c>
      <c r="V860" s="39" t="str">
        <f>IF($B860="","",IF(COUNTIF($B$2:$B860,$B860)=1,1,0))</f>
        <v/>
      </c>
      <c r="W860" s="39" t="str">
        <f>IF($V860=1,COUNTIF($V$2:$V860,1),"")</f>
        <v/>
      </c>
      <c r="X860" s="39" t="str">
        <f>IF($A860="","",IF(COUNTIF($A$2:$A860,$A860)=1,1,0))</f>
        <v/>
      </c>
      <c r="Y860" s="39" t="str">
        <f>IF($X860=1,COUNTIF($X$2:$X860,1),"")</f>
        <v/>
      </c>
      <c r="Z860" s="39">
        <f>IF(AND($E860="timed",$N860&gt;Settings!$C$8),1,0)</f>
        <v>0</v>
      </c>
      <c r="AA860" s="39">
        <f t="shared" si="238"/>
        <v>0</v>
      </c>
      <c r="AB860" s="39">
        <f t="shared" si="239"/>
        <v>0</v>
      </c>
      <c r="AC860" s="39" t="str">
        <f t="shared" si="240"/>
        <v/>
      </c>
      <c r="AD860" s="39" t="str">
        <f t="shared" si="241"/>
        <v/>
      </c>
      <c r="AE860" s="39" t="str">
        <f t="shared" si="242"/>
        <v/>
      </c>
      <c r="AF860" s="106" t="str">
        <f t="shared" si="243"/>
        <v/>
      </c>
      <c r="AG860" s="39">
        <f t="shared" si="244"/>
        <v>0</v>
      </c>
      <c r="AH860" s="39" t="str">
        <f t="shared" si="245"/>
        <v/>
      </c>
      <c r="AI860" s="39">
        <f>IF(AND($E860="timed",$N860&gt;=Settings!$C$9),1,0)</f>
        <v>0</v>
      </c>
      <c r="AJ860" s="39" t="str">
        <f>IF(OR($S860="",Settings!$C$16=""),"",IF($S860&lt;=Settings!$C$16,1,2))</f>
        <v/>
      </c>
      <c r="AK860" s="39" t="str">
        <f>IF($C860="","",IFERROR(IF(INDEX(Settings!$C$20:$C$59,MATCH($C860,Settings!$B$20:$B$59,0))="",Settings!$C$10,INDEX(Settings!$C$20:$C$59,MATCH($C860,Settings!$B$20:$B$59,0))),Settings!$C$10))</f>
        <v/>
      </c>
      <c r="AL860" s="108">
        <f t="shared" si="246"/>
        <v>0</v>
      </c>
      <c r="AM860" s="39" t="str">
        <f t="shared" si="247"/>
        <v/>
      </c>
      <c r="AN860" s="39" t="str">
        <f t="shared" si="248"/>
        <v/>
      </c>
      <c r="AO860" s="39" t="str">
        <f t="shared" si="249"/>
        <v/>
      </c>
      <c r="AP860" s="39">
        <f t="shared" si="250"/>
        <v>0</v>
      </c>
      <c r="AQ860" s="39">
        <f t="shared" si="251"/>
        <v>0</v>
      </c>
    </row>
    <row r="861" spans="14:43" x14ac:dyDescent="0.25">
      <c r="N861" s="105">
        <f t="shared" si="234"/>
        <v>0</v>
      </c>
      <c r="O861" s="106" t="str">
        <f>IF($F861="","",IF(ISNUMBER($F861),$F861+Settings!$C$7/24,IFERROR(DATEVALUE(LEFT($F861,10))+TIMEVALUE(MID($F861,12,8))+Settings!$C$7/24,"")))</f>
        <v/>
      </c>
      <c r="P861" s="106" t="str">
        <f>IF($G861="","",IF(ISNUMBER($G861),$G861+Settings!$C$7/24,IFERROR(DATEVALUE(LEFT($G861,10))+TIMEVALUE(MID($G861,12,8))+Settings!$C$7/24,"")))</f>
        <v/>
      </c>
      <c r="Q861" s="39" t="str">
        <f t="shared" si="235"/>
        <v/>
      </c>
      <c r="R861" s="39" t="str">
        <f t="shared" si="236"/>
        <v/>
      </c>
      <c r="S861" s="107" t="str">
        <f t="shared" si="237"/>
        <v/>
      </c>
      <c r="T861" s="39" t="str">
        <f>IF($C861="","",IF(COUNTIF($C$2:$C861,$C861)=1,1,0))</f>
        <v/>
      </c>
      <c r="U861" s="39" t="str">
        <f>IF($T861=1,COUNTIF($T$2:$T861,1),"")</f>
        <v/>
      </c>
      <c r="V861" s="39" t="str">
        <f>IF($B861="","",IF(COUNTIF($B$2:$B861,$B861)=1,1,0))</f>
        <v/>
      </c>
      <c r="W861" s="39" t="str">
        <f>IF($V861=1,COUNTIF($V$2:$V861,1),"")</f>
        <v/>
      </c>
      <c r="X861" s="39" t="str">
        <f>IF($A861="","",IF(COUNTIF($A$2:$A861,$A861)=1,1,0))</f>
        <v/>
      </c>
      <c r="Y861" s="39" t="str">
        <f>IF($X861=1,COUNTIF($X$2:$X861,1),"")</f>
        <v/>
      </c>
      <c r="Z861" s="39">
        <f>IF(AND($E861="timed",$N861&gt;Settings!$C$8),1,0)</f>
        <v>0</v>
      </c>
      <c r="AA861" s="39">
        <f t="shared" si="238"/>
        <v>0</v>
      </c>
      <c r="AB861" s="39">
        <f t="shared" si="239"/>
        <v>0</v>
      </c>
      <c r="AC861" s="39" t="str">
        <f t="shared" si="240"/>
        <v/>
      </c>
      <c r="AD861" s="39" t="str">
        <f t="shared" si="241"/>
        <v/>
      </c>
      <c r="AE861" s="39" t="str">
        <f t="shared" si="242"/>
        <v/>
      </c>
      <c r="AF861" s="106" t="str">
        <f t="shared" si="243"/>
        <v/>
      </c>
      <c r="AG861" s="39">
        <f t="shared" si="244"/>
        <v>0</v>
      </c>
      <c r="AH861" s="39" t="str">
        <f t="shared" si="245"/>
        <v/>
      </c>
      <c r="AI861" s="39">
        <f>IF(AND($E861="timed",$N861&gt;=Settings!$C$9),1,0)</f>
        <v>0</v>
      </c>
      <c r="AJ861" s="39" t="str">
        <f>IF(OR($S861="",Settings!$C$16=""),"",IF($S861&lt;=Settings!$C$16,1,2))</f>
        <v/>
      </c>
      <c r="AK861" s="39" t="str">
        <f>IF($C861="","",IFERROR(IF(INDEX(Settings!$C$20:$C$59,MATCH($C861,Settings!$B$20:$B$59,0))="",Settings!$C$10,INDEX(Settings!$C$20:$C$59,MATCH($C861,Settings!$B$20:$B$59,0))),Settings!$C$10))</f>
        <v/>
      </c>
      <c r="AL861" s="108">
        <f t="shared" si="246"/>
        <v>0</v>
      </c>
      <c r="AM861" s="39" t="str">
        <f t="shared" si="247"/>
        <v/>
      </c>
      <c r="AN861" s="39" t="str">
        <f t="shared" si="248"/>
        <v/>
      </c>
      <c r="AO861" s="39" t="str">
        <f t="shared" si="249"/>
        <v/>
      </c>
      <c r="AP861" s="39">
        <f t="shared" si="250"/>
        <v>0</v>
      </c>
      <c r="AQ861" s="39">
        <f t="shared" si="251"/>
        <v>0</v>
      </c>
    </row>
    <row r="862" spans="14:43" x14ac:dyDescent="0.25">
      <c r="N862" s="105">
        <f t="shared" si="234"/>
        <v>0</v>
      </c>
      <c r="O862" s="106" t="str">
        <f>IF($F862="","",IF(ISNUMBER($F862),$F862+Settings!$C$7/24,IFERROR(DATEVALUE(LEFT($F862,10))+TIMEVALUE(MID($F862,12,8))+Settings!$C$7/24,"")))</f>
        <v/>
      </c>
      <c r="P862" s="106" t="str">
        <f>IF($G862="","",IF(ISNUMBER($G862),$G862+Settings!$C$7/24,IFERROR(DATEVALUE(LEFT($G862,10))+TIMEVALUE(MID($G862,12,8))+Settings!$C$7/24,"")))</f>
        <v/>
      </c>
      <c r="Q862" s="39" t="str">
        <f t="shared" si="235"/>
        <v/>
      </c>
      <c r="R862" s="39" t="str">
        <f t="shared" si="236"/>
        <v/>
      </c>
      <c r="S862" s="107" t="str">
        <f t="shared" si="237"/>
        <v/>
      </c>
      <c r="T862" s="39" t="str">
        <f>IF($C862="","",IF(COUNTIF($C$2:$C862,$C862)=1,1,0))</f>
        <v/>
      </c>
      <c r="U862" s="39" t="str">
        <f>IF($T862=1,COUNTIF($T$2:$T862,1),"")</f>
        <v/>
      </c>
      <c r="V862" s="39" t="str">
        <f>IF($B862="","",IF(COUNTIF($B$2:$B862,$B862)=1,1,0))</f>
        <v/>
      </c>
      <c r="W862" s="39" t="str">
        <f>IF($V862=1,COUNTIF($V$2:$V862,1),"")</f>
        <v/>
      </c>
      <c r="X862" s="39" t="str">
        <f>IF($A862="","",IF(COUNTIF($A$2:$A862,$A862)=1,1,0))</f>
        <v/>
      </c>
      <c r="Y862" s="39" t="str">
        <f>IF($X862=1,COUNTIF($X$2:$X862,1),"")</f>
        <v/>
      </c>
      <c r="Z862" s="39">
        <f>IF(AND($E862="timed",$N862&gt;Settings!$C$8),1,0)</f>
        <v>0</v>
      </c>
      <c r="AA862" s="39">
        <f t="shared" si="238"/>
        <v>0</v>
      </c>
      <c r="AB862" s="39">
        <f t="shared" si="239"/>
        <v>0</v>
      </c>
      <c r="AC862" s="39" t="str">
        <f t="shared" si="240"/>
        <v/>
      </c>
      <c r="AD862" s="39" t="str">
        <f t="shared" si="241"/>
        <v/>
      </c>
      <c r="AE862" s="39" t="str">
        <f t="shared" si="242"/>
        <v/>
      </c>
      <c r="AF862" s="106" t="str">
        <f t="shared" si="243"/>
        <v/>
      </c>
      <c r="AG862" s="39">
        <f t="shared" si="244"/>
        <v>0</v>
      </c>
      <c r="AH862" s="39" t="str">
        <f t="shared" si="245"/>
        <v/>
      </c>
      <c r="AI862" s="39">
        <f>IF(AND($E862="timed",$N862&gt;=Settings!$C$9),1,0)</f>
        <v>0</v>
      </c>
      <c r="AJ862" s="39" t="str">
        <f>IF(OR($S862="",Settings!$C$16=""),"",IF($S862&lt;=Settings!$C$16,1,2))</f>
        <v/>
      </c>
      <c r="AK862" s="39" t="str">
        <f>IF($C862="","",IFERROR(IF(INDEX(Settings!$C$20:$C$59,MATCH($C862,Settings!$B$20:$B$59,0))="",Settings!$C$10,INDEX(Settings!$C$20:$C$59,MATCH($C862,Settings!$B$20:$B$59,0))),Settings!$C$10))</f>
        <v/>
      </c>
      <c r="AL862" s="108">
        <f t="shared" si="246"/>
        <v>0</v>
      </c>
      <c r="AM862" s="39" t="str">
        <f t="shared" si="247"/>
        <v/>
      </c>
      <c r="AN862" s="39" t="str">
        <f t="shared" si="248"/>
        <v/>
      </c>
      <c r="AO862" s="39" t="str">
        <f t="shared" si="249"/>
        <v/>
      </c>
      <c r="AP862" s="39">
        <f t="shared" si="250"/>
        <v>0</v>
      </c>
      <c r="AQ862" s="39">
        <f t="shared" si="251"/>
        <v>0</v>
      </c>
    </row>
    <row r="863" spans="14:43" x14ac:dyDescent="0.25">
      <c r="N863" s="105">
        <f t="shared" si="234"/>
        <v>0</v>
      </c>
      <c r="O863" s="106" t="str">
        <f>IF($F863="","",IF(ISNUMBER($F863),$F863+Settings!$C$7/24,IFERROR(DATEVALUE(LEFT($F863,10))+TIMEVALUE(MID($F863,12,8))+Settings!$C$7/24,"")))</f>
        <v/>
      </c>
      <c r="P863" s="106" t="str">
        <f>IF($G863="","",IF(ISNUMBER($G863),$G863+Settings!$C$7/24,IFERROR(DATEVALUE(LEFT($G863,10))+TIMEVALUE(MID($G863,12,8))+Settings!$C$7/24,"")))</f>
        <v/>
      </c>
      <c r="Q863" s="39" t="str">
        <f t="shared" si="235"/>
        <v/>
      </c>
      <c r="R863" s="39" t="str">
        <f t="shared" si="236"/>
        <v/>
      </c>
      <c r="S863" s="107" t="str">
        <f t="shared" si="237"/>
        <v/>
      </c>
      <c r="T863" s="39" t="str">
        <f>IF($C863="","",IF(COUNTIF($C$2:$C863,$C863)=1,1,0))</f>
        <v/>
      </c>
      <c r="U863" s="39" t="str">
        <f>IF($T863=1,COUNTIF($T$2:$T863,1),"")</f>
        <v/>
      </c>
      <c r="V863" s="39" t="str">
        <f>IF($B863="","",IF(COUNTIF($B$2:$B863,$B863)=1,1,0))</f>
        <v/>
      </c>
      <c r="W863" s="39" t="str">
        <f>IF($V863=1,COUNTIF($V$2:$V863,1),"")</f>
        <v/>
      </c>
      <c r="X863" s="39" t="str">
        <f>IF($A863="","",IF(COUNTIF($A$2:$A863,$A863)=1,1,0))</f>
        <v/>
      </c>
      <c r="Y863" s="39" t="str">
        <f>IF($X863=1,COUNTIF($X$2:$X863,1),"")</f>
        <v/>
      </c>
      <c r="Z863" s="39">
        <f>IF(AND($E863="timed",$N863&gt;Settings!$C$8),1,0)</f>
        <v>0</v>
      </c>
      <c r="AA863" s="39">
        <f t="shared" si="238"/>
        <v>0</v>
      </c>
      <c r="AB863" s="39">
        <f t="shared" si="239"/>
        <v>0</v>
      </c>
      <c r="AC863" s="39" t="str">
        <f t="shared" si="240"/>
        <v/>
      </c>
      <c r="AD863" s="39" t="str">
        <f t="shared" si="241"/>
        <v/>
      </c>
      <c r="AE863" s="39" t="str">
        <f t="shared" si="242"/>
        <v/>
      </c>
      <c r="AF863" s="106" t="str">
        <f t="shared" si="243"/>
        <v/>
      </c>
      <c r="AG863" s="39">
        <f t="shared" si="244"/>
        <v>0</v>
      </c>
      <c r="AH863" s="39" t="str">
        <f t="shared" si="245"/>
        <v/>
      </c>
      <c r="AI863" s="39">
        <f>IF(AND($E863="timed",$N863&gt;=Settings!$C$9),1,0)</f>
        <v>0</v>
      </c>
      <c r="AJ863" s="39" t="str">
        <f>IF(OR($S863="",Settings!$C$16=""),"",IF($S863&lt;=Settings!$C$16,1,2))</f>
        <v/>
      </c>
      <c r="AK863" s="39" t="str">
        <f>IF($C863="","",IFERROR(IF(INDEX(Settings!$C$20:$C$59,MATCH($C863,Settings!$B$20:$B$59,0))="",Settings!$C$10,INDEX(Settings!$C$20:$C$59,MATCH($C863,Settings!$B$20:$B$59,0))),Settings!$C$10))</f>
        <v/>
      </c>
      <c r="AL863" s="108">
        <f t="shared" si="246"/>
        <v>0</v>
      </c>
      <c r="AM863" s="39" t="str">
        <f t="shared" si="247"/>
        <v/>
      </c>
      <c r="AN863" s="39" t="str">
        <f t="shared" si="248"/>
        <v/>
      </c>
      <c r="AO863" s="39" t="str">
        <f t="shared" si="249"/>
        <v/>
      </c>
      <c r="AP863" s="39">
        <f t="shared" si="250"/>
        <v>0</v>
      </c>
      <c r="AQ863" s="39">
        <f t="shared" si="251"/>
        <v>0</v>
      </c>
    </row>
    <row r="864" spans="14:43" x14ac:dyDescent="0.25">
      <c r="N864" s="105">
        <f t="shared" si="234"/>
        <v>0</v>
      </c>
      <c r="O864" s="106" t="str">
        <f>IF($F864="","",IF(ISNUMBER($F864),$F864+Settings!$C$7/24,IFERROR(DATEVALUE(LEFT($F864,10))+TIMEVALUE(MID($F864,12,8))+Settings!$C$7/24,"")))</f>
        <v/>
      </c>
      <c r="P864" s="106" t="str">
        <f>IF($G864="","",IF(ISNUMBER($G864),$G864+Settings!$C$7/24,IFERROR(DATEVALUE(LEFT($G864,10))+TIMEVALUE(MID($G864,12,8))+Settings!$C$7/24,"")))</f>
        <v/>
      </c>
      <c r="Q864" s="39" t="str">
        <f t="shared" si="235"/>
        <v/>
      </c>
      <c r="R864" s="39" t="str">
        <f t="shared" si="236"/>
        <v/>
      </c>
      <c r="S864" s="107" t="str">
        <f t="shared" si="237"/>
        <v/>
      </c>
      <c r="T864" s="39" t="str">
        <f>IF($C864="","",IF(COUNTIF($C$2:$C864,$C864)=1,1,0))</f>
        <v/>
      </c>
      <c r="U864" s="39" t="str">
        <f>IF($T864=1,COUNTIF($T$2:$T864,1),"")</f>
        <v/>
      </c>
      <c r="V864" s="39" t="str">
        <f>IF($B864="","",IF(COUNTIF($B$2:$B864,$B864)=1,1,0))</f>
        <v/>
      </c>
      <c r="W864" s="39" t="str">
        <f>IF($V864=1,COUNTIF($V$2:$V864,1),"")</f>
        <v/>
      </c>
      <c r="X864" s="39" t="str">
        <f>IF($A864="","",IF(COUNTIF($A$2:$A864,$A864)=1,1,0))</f>
        <v/>
      </c>
      <c r="Y864" s="39" t="str">
        <f>IF($X864=1,COUNTIF($X$2:$X864,1),"")</f>
        <v/>
      </c>
      <c r="Z864" s="39">
        <f>IF(AND($E864="timed",$N864&gt;Settings!$C$8),1,0)</f>
        <v>0</v>
      </c>
      <c r="AA864" s="39">
        <f t="shared" si="238"/>
        <v>0</v>
      </c>
      <c r="AB864" s="39">
        <f t="shared" si="239"/>
        <v>0</v>
      </c>
      <c r="AC864" s="39" t="str">
        <f t="shared" si="240"/>
        <v/>
      </c>
      <c r="AD864" s="39" t="str">
        <f t="shared" si="241"/>
        <v/>
      </c>
      <c r="AE864" s="39" t="str">
        <f t="shared" si="242"/>
        <v/>
      </c>
      <c r="AF864" s="106" t="str">
        <f t="shared" si="243"/>
        <v/>
      </c>
      <c r="AG864" s="39">
        <f t="shared" si="244"/>
        <v>0</v>
      </c>
      <c r="AH864" s="39" t="str">
        <f t="shared" si="245"/>
        <v/>
      </c>
      <c r="AI864" s="39">
        <f>IF(AND($E864="timed",$N864&gt;=Settings!$C$9),1,0)</f>
        <v>0</v>
      </c>
      <c r="AJ864" s="39" t="str">
        <f>IF(OR($S864="",Settings!$C$16=""),"",IF($S864&lt;=Settings!$C$16,1,2))</f>
        <v/>
      </c>
      <c r="AK864" s="39" t="str">
        <f>IF($C864="","",IFERROR(IF(INDEX(Settings!$C$20:$C$59,MATCH($C864,Settings!$B$20:$B$59,0))="",Settings!$C$10,INDEX(Settings!$C$20:$C$59,MATCH($C864,Settings!$B$20:$B$59,0))),Settings!$C$10))</f>
        <v/>
      </c>
      <c r="AL864" s="108">
        <f t="shared" si="246"/>
        <v>0</v>
      </c>
      <c r="AM864" s="39" t="str">
        <f t="shared" si="247"/>
        <v/>
      </c>
      <c r="AN864" s="39" t="str">
        <f t="shared" si="248"/>
        <v/>
      </c>
      <c r="AO864" s="39" t="str">
        <f t="shared" si="249"/>
        <v/>
      </c>
      <c r="AP864" s="39">
        <f t="shared" si="250"/>
        <v>0</v>
      </c>
      <c r="AQ864" s="39">
        <f t="shared" si="251"/>
        <v>0</v>
      </c>
    </row>
    <row r="865" spans="14:43" x14ac:dyDescent="0.25">
      <c r="N865" s="105">
        <f t="shared" si="234"/>
        <v>0</v>
      </c>
      <c r="O865" s="106" t="str">
        <f>IF($F865="","",IF(ISNUMBER($F865),$F865+Settings!$C$7/24,IFERROR(DATEVALUE(LEFT($F865,10))+TIMEVALUE(MID($F865,12,8))+Settings!$C$7/24,"")))</f>
        <v/>
      </c>
      <c r="P865" s="106" t="str">
        <f>IF($G865="","",IF(ISNUMBER($G865),$G865+Settings!$C$7/24,IFERROR(DATEVALUE(LEFT($G865,10))+TIMEVALUE(MID($G865,12,8))+Settings!$C$7/24,"")))</f>
        <v/>
      </c>
      <c r="Q865" s="39" t="str">
        <f t="shared" si="235"/>
        <v/>
      </c>
      <c r="R865" s="39" t="str">
        <f t="shared" si="236"/>
        <v/>
      </c>
      <c r="S865" s="107" t="str">
        <f t="shared" si="237"/>
        <v/>
      </c>
      <c r="T865" s="39" t="str">
        <f>IF($C865="","",IF(COUNTIF($C$2:$C865,$C865)=1,1,0))</f>
        <v/>
      </c>
      <c r="U865" s="39" t="str">
        <f>IF($T865=1,COUNTIF($T$2:$T865,1),"")</f>
        <v/>
      </c>
      <c r="V865" s="39" t="str">
        <f>IF($B865="","",IF(COUNTIF($B$2:$B865,$B865)=1,1,0))</f>
        <v/>
      </c>
      <c r="W865" s="39" t="str">
        <f>IF($V865=1,COUNTIF($V$2:$V865,1),"")</f>
        <v/>
      </c>
      <c r="X865" s="39" t="str">
        <f>IF($A865="","",IF(COUNTIF($A$2:$A865,$A865)=1,1,0))</f>
        <v/>
      </c>
      <c r="Y865" s="39" t="str">
        <f>IF($X865=1,COUNTIF($X$2:$X865,1),"")</f>
        <v/>
      </c>
      <c r="Z865" s="39">
        <f>IF(AND($E865="timed",$N865&gt;Settings!$C$8),1,0)</f>
        <v>0</v>
      </c>
      <c r="AA865" s="39">
        <f t="shared" si="238"/>
        <v>0</v>
      </c>
      <c r="AB865" s="39">
        <f t="shared" si="239"/>
        <v>0</v>
      </c>
      <c r="AC865" s="39" t="str">
        <f t="shared" si="240"/>
        <v/>
      </c>
      <c r="AD865" s="39" t="str">
        <f t="shared" si="241"/>
        <v/>
      </c>
      <c r="AE865" s="39" t="str">
        <f t="shared" si="242"/>
        <v/>
      </c>
      <c r="AF865" s="106" t="str">
        <f t="shared" si="243"/>
        <v/>
      </c>
      <c r="AG865" s="39">
        <f t="shared" si="244"/>
        <v>0</v>
      </c>
      <c r="AH865" s="39" t="str">
        <f t="shared" si="245"/>
        <v/>
      </c>
      <c r="AI865" s="39">
        <f>IF(AND($E865="timed",$N865&gt;=Settings!$C$9),1,0)</f>
        <v>0</v>
      </c>
      <c r="AJ865" s="39" t="str">
        <f>IF(OR($S865="",Settings!$C$16=""),"",IF($S865&lt;=Settings!$C$16,1,2))</f>
        <v/>
      </c>
      <c r="AK865" s="39" t="str">
        <f>IF($C865="","",IFERROR(IF(INDEX(Settings!$C$20:$C$59,MATCH($C865,Settings!$B$20:$B$59,0))="",Settings!$C$10,INDEX(Settings!$C$20:$C$59,MATCH($C865,Settings!$B$20:$B$59,0))),Settings!$C$10))</f>
        <v/>
      </c>
      <c r="AL865" s="108">
        <f t="shared" si="246"/>
        <v>0</v>
      </c>
      <c r="AM865" s="39" t="str">
        <f t="shared" si="247"/>
        <v/>
      </c>
      <c r="AN865" s="39" t="str">
        <f t="shared" si="248"/>
        <v/>
      </c>
      <c r="AO865" s="39" t="str">
        <f t="shared" si="249"/>
        <v/>
      </c>
      <c r="AP865" s="39">
        <f t="shared" si="250"/>
        <v>0</v>
      </c>
      <c r="AQ865" s="39">
        <f t="shared" si="251"/>
        <v>0</v>
      </c>
    </row>
    <row r="866" spans="14:43" x14ac:dyDescent="0.25">
      <c r="N866" s="105">
        <f t="shared" si="234"/>
        <v>0</v>
      </c>
      <c r="O866" s="106" t="str">
        <f>IF($F866="","",IF(ISNUMBER($F866),$F866+Settings!$C$7/24,IFERROR(DATEVALUE(LEFT($F866,10))+TIMEVALUE(MID($F866,12,8))+Settings!$C$7/24,"")))</f>
        <v/>
      </c>
      <c r="P866" s="106" t="str">
        <f>IF($G866="","",IF(ISNUMBER($G866),$G866+Settings!$C$7/24,IFERROR(DATEVALUE(LEFT($G866,10))+TIMEVALUE(MID($G866,12,8))+Settings!$C$7/24,"")))</f>
        <v/>
      </c>
      <c r="Q866" s="39" t="str">
        <f t="shared" si="235"/>
        <v/>
      </c>
      <c r="R866" s="39" t="str">
        <f t="shared" si="236"/>
        <v/>
      </c>
      <c r="S866" s="107" t="str">
        <f t="shared" si="237"/>
        <v/>
      </c>
      <c r="T866" s="39" t="str">
        <f>IF($C866="","",IF(COUNTIF($C$2:$C866,$C866)=1,1,0))</f>
        <v/>
      </c>
      <c r="U866" s="39" t="str">
        <f>IF($T866=1,COUNTIF($T$2:$T866,1),"")</f>
        <v/>
      </c>
      <c r="V866" s="39" t="str">
        <f>IF($B866="","",IF(COUNTIF($B$2:$B866,$B866)=1,1,0))</f>
        <v/>
      </c>
      <c r="W866" s="39" t="str">
        <f>IF($V866=1,COUNTIF($V$2:$V866,1),"")</f>
        <v/>
      </c>
      <c r="X866" s="39" t="str">
        <f>IF($A866="","",IF(COUNTIF($A$2:$A866,$A866)=1,1,0))</f>
        <v/>
      </c>
      <c r="Y866" s="39" t="str">
        <f>IF($X866=1,COUNTIF($X$2:$X866,1),"")</f>
        <v/>
      </c>
      <c r="Z866" s="39">
        <f>IF(AND($E866="timed",$N866&gt;Settings!$C$8),1,0)</f>
        <v>0</v>
      </c>
      <c r="AA866" s="39">
        <f t="shared" si="238"/>
        <v>0</v>
      </c>
      <c r="AB866" s="39">
        <f t="shared" si="239"/>
        <v>0</v>
      </c>
      <c r="AC866" s="39" t="str">
        <f t="shared" si="240"/>
        <v/>
      </c>
      <c r="AD866" s="39" t="str">
        <f t="shared" si="241"/>
        <v/>
      </c>
      <c r="AE866" s="39" t="str">
        <f t="shared" si="242"/>
        <v/>
      </c>
      <c r="AF866" s="106" t="str">
        <f t="shared" si="243"/>
        <v/>
      </c>
      <c r="AG866" s="39">
        <f t="shared" si="244"/>
        <v>0</v>
      </c>
      <c r="AH866" s="39" t="str">
        <f t="shared" si="245"/>
        <v/>
      </c>
      <c r="AI866" s="39">
        <f>IF(AND($E866="timed",$N866&gt;=Settings!$C$9),1,0)</f>
        <v>0</v>
      </c>
      <c r="AJ866" s="39" t="str">
        <f>IF(OR($S866="",Settings!$C$16=""),"",IF($S866&lt;=Settings!$C$16,1,2))</f>
        <v/>
      </c>
      <c r="AK866" s="39" t="str">
        <f>IF($C866="","",IFERROR(IF(INDEX(Settings!$C$20:$C$59,MATCH($C866,Settings!$B$20:$B$59,0))="",Settings!$C$10,INDEX(Settings!$C$20:$C$59,MATCH($C866,Settings!$B$20:$B$59,0))),Settings!$C$10))</f>
        <v/>
      </c>
      <c r="AL866" s="108">
        <f t="shared" si="246"/>
        <v>0</v>
      </c>
      <c r="AM866" s="39" t="str">
        <f t="shared" si="247"/>
        <v/>
      </c>
      <c r="AN866" s="39" t="str">
        <f t="shared" si="248"/>
        <v/>
      </c>
      <c r="AO866" s="39" t="str">
        <f t="shared" si="249"/>
        <v/>
      </c>
      <c r="AP866" s="39">
        <f t="shared" si="250"/>
        <v>0</v>
      </c>
      <c r="AQ866" s="39">
        <f t="shared" si="251"/>
        <v>0</v>
      </c>
    </row>
    <row r="867" spans="14:43" x14ac:dyDescent="0.25">
      <c r="N867" s="105">
        <f t="shared" si="234"/>
        <v>0</v>
      </c>
      <c r="O867" s="106" t="str">
        <f>IF($F867="","",IF(ISNUMBER($F867),$F867+Settings!$C$7/24,IFERROR(DATEVALUE(LEFT($F867,10))+TIMEVALUE(MID($F867,12,8))+Settings!$C$7/24,"")))</f>
        <v/>
      </c>
      <c r="P867" s="106" t="str">
        <f>IF($G867="","",IF(ISNUMBER($G867),$G867+Settings!$C$7/24,IFERROR(DATEVALUE(LEFT($G867,10))+TIMEVALUE(MID($G867,12,8))+Settings!$C$7/24,"")))</f>
        <v/>
      </c>
      <c r="Q867" s="39" t="str">
        <f t="shared" si="235"/>
        <v/>
      </c>
      <c r="R867" s="39" t="str">
        <f t="shared" si="236"/>
        <v/>
      </c>
      <c r="S867" s="107" t="str">
        <f t="shared" si="237"/>
        <v/>
      </c>
      <c r="T867" s="39" t="str">
        <f>IF($C867="","",IF(COUNTIF($C$2:$C867,$C867)=1,1,0))</f>
        <v/>
      </c>
      <c r="U867" s="39" t="str">
        <f>IF($T867=1,COUNTIF($T$2:$T867,1),"")</f>
        <v/>
      </c>
      <c r="V867" s="39" t="str">
        <f>IF($B867="","",IF(COUNTIF($B$2:$B867,$B867)=1,1,0))</f>
        <v/>
      </c>
      <c r="W867" s="39" t="str">
        <f>IF($V867=1,COUNTIF($V$2:$V867,1),"")</f>
        <v/>
      </c>
      <c r="X867" s="39" t="str">
        <f>IF($A867="","",IF(COUNTIF($A$2:$A867,$A867)=1,1,0))</f>
        <v/>
      </c>
      <c r="Y867" s="39" t="str">
        <f>IF($X867=1,COUNTIF($X$2:$X867,1),"")</f>
        <v/>
      </c>
      <c r="Z867" s="39">
        <f>IF(AND($E867="timed",$N867&gt;Settings!$C$8),1,0)</f>
        <v>0</v>
      </c>
      <c r="AA867" s="39">
        <f t="shared" si="238"/>
        <v>0</v>
      </c>
      <c r="AB867" s="39">
        <f t="shared" si="239"/>
        <v>0</v>
      </c>
      <c r="AC867" s="39" t="str">
        <f t="shared" si="240"/>
        <v/>
      </c>
      <c r="AD867" s="39" t="str">
        <f t="shared" si="241"/>
        <v/>
      </c>
      <c r="AE867" s="39" t="str">
        <f t="shared" si="242"/>
        <v/>
      </c>
      <c r="AF867" s="106" t="str">
        <f t="shared" si="243"/>
        <v/>
      </c>
      <c r="AG867" s="39">
        <f t="shared" si="244"/>
        <v>0</v>
      </c>
      <c r="AH867" s="39" t="str">
        <f t="shared" si="245"/>
        <v/>
      </c>
      <c r="AI867" s="39">
        <f>IF(AND($E867="timed",$N867&gt;=Settings!$C$9),1,0)</f>
        <v>0</v>
      </c>
      <c r="AJ867" s="39" t="str">
        <f>IF(OR($S867="",Settings!$C$16=""),"",IF($S867&lt;=Settings!$C$16,1,2))</f>
        <v/>
      </c>
      <c r="AK867" s="39" t="str">
        <f>IF($C867="","",IFERROR(IF(INDEX(Settings!$C$20:$C$59,MATCH($C867,Settings!$B$20:$B$59,0))="",Settings!$C$10,INDEX(Settings!$C$20:$C$59,MATCH($C867,Settings!$B$20:$B$59,0))),Settings!$C$10))</f>
        <v/>
      </c>
      <c r="AL867" s="108">
        <f t="shared" si="246"/>
        <v>0</v>
      </c>
      <c r="AM867" s="39" t="str">
        <f t="shared" si="247"/>
        <v/>
      </c>
      <c r="AN867" s="39" t="str">
        <f t="shared" si="248"/>
        <v/>
      </c>
      <c r="AO867" s="39" t="str">
        <f t="shared" si="249"/>
        <v/>
      </c>
      <c r="AP867" s="39">
        <f t="shared" si="250"/>
        <v>0</v>
      </c>
      <c r="AQ867" s="39">
        <f t="shared" si="251"/>
        <v>0</v>
      </c>
    </row>
    <row r="868" spans="14:43" x14ac:dyDescent="0.25">
      <c r="N868" s="105">
        <f t="shared" si="234"/>
        <v>0</v>
      </c>
      <c r="O868" s="106" t="str">
        <f>IF($F868="","",IF(ISNUMBER($F868),$F868+Settings!$C$7/24,IFERROR(DATEVALUE(LEFT($F868,10))+TIMEVALUE(MID($F868,12,8))+Settings!$C$7/24,"")))</f>
        <v/>
      </c>
      <c r="P868" s="106" t="str">
        <f>IF($G868="","",IF(ISNUMBER($G868),$G868+Settings!$C$7/24,IFERROR(DATEVALUE(LEFT($G868,10))+TIMEVALUE(MID($G868,12,8))+Settings!$C$7/24,"")))</f>
        <v/>
      </c>
      <c r="Q868" s="39" t="str">
        <f t="shared" si="235"/>
        <v/>
      </c>
      <c r="R868" s="39" t="str">
        <f t="shared" si="236"/>
        <v/>
      </c>
      <c r="S868" s="107" t="str">
        <f t="shared" si="237"/>
        <v/>
      </c>
      <c r="T868" s="39" t="str">
        <f>IF($C868="","",IF(COUNTIF($C$2:$C868,$C868)=1,1,0))</f>
        <v/>
      </c>
      <c r="U868" s="39" t="str">
        <f>IF($T868=1,COUNTIF($T$2:$T868,1),"")</f>
        <v/>
      </c>
      <c r="V868" s="39" t="str">
        <f>IF($B868="","",IF(COUNTIF($B$2:$B868,$B868)=1,1,0))</f>
        <v/>
      </c>
      <c r="W868" s="39" t="str">
        <f>IF($V868=1,COUNTIF($V$2:$V868,1),"")</f>
        <v/>
      </c>
      <c r="X868" s="39" t="str">
        <f>IF($A868="","",IF(COUNTIF($A$2:$A868,$A868)=1,1,0))</f>
        <v/>
      </c>
      <c r="Y868" s="39" t="str">
        <f>IF($X868=1,COUNTIF($X$2:$X868,1),"")</f>
        <v/>
      </c>
      <c r="Z868" s="39">
        <f>IF(AND($E868="timed",$N868&gt;Settings!$C$8),1,0)</f>
        <v>0</v>
      </c>
      <c r="AA868" s="39">
        <f t="shared" si="238"/>
        <v>0</v>
      </c>
      <c r="AB868" s="39">
        <f t="shared" si="239"/>
        <v>0</v>
      </c>
      <c r="AC868" s="39" t="str">
        <f t="shared" si="240"/>
        <v/>
      </c>
      <c r="AD868" s="39" t="str">
        <f t="shared" si="241"/>
        <v/>
      </c>
      <c r="AE868" s="39" t="str">
        <f t="shared" si="242"/>
        <v/>
      </c>
      <c r="AF868" s="106" t="str">
        <f t="shared" si="243"/>
        <v/>
      </c>
      <c r="AG868" s="39">
        <f t="shared" si="244"/>
        <v>0</v>
      </c>
      <c r="AH868" s="39" t="str">
        <f t="shared" si="245"/>
        <v/>
      </c>
      <c r="AI868" s="39">
        <f>IF(AND($E868="timed",$N868&gt;=Settings!$C$9),1,0)</f>
        <v>0</v>
      </c>
      <c r="AJ868" s="39" t="str">
        <f>IF(OR($S868="",Settings!$C$16=""),"",IF($S868&lt;=Settings!$C$16,1,2))</f>
        <v/>
      </c>
      <c r="AK868" s="39" t="str">
        <f>IF($C868="","",IFERROR(IF(INDEX(Settings!$C$20:$C$59,MATCH($C868,Settings!$B$20:$B$59,0))="",Settings!$C$10,INDEX(Settings!$C$20:$C$59,MATCH($C868,Settings!$B$20:$B$59,0))),Settings!$C$10))</f>
        <v/>
      </c>
      <c r="AL868" s="108">
        <f t="shared" si="246"/>
        <v>0</v>
      </c>
      <c r="AM868" s="39" t="str">
        <f t="shared" si="247"/>
        <v/>
      </c>
      <c r="AN868" s="39" t="str">
        <f t="shared" si="248"/>
        <v/>
      </c>
      <c r="AO868" s="39" t="str">
        <f t="shared" si="249"/>
        <v/>
      </c>
      <c r="AP868" s="39">
        <f t="shared" si="250"/>
        <v>0</v>
      </c>
      <c r="AQ868" s="39">
        <f t="shared" si="251"/>
        <v>0</v>
      </c>
    </row>
    <row r="869" spans="14:43" x14ac:dyDescent="0.25">
      <c r="N869" s="105">
        <f t="shared" si="234"/>
        <v>0</v>
      </c>
      <c r="O869" s="106" t="str">
        <f>IF($F869="","",IF(ISNUMBER($F869),$F869+Settings!$C$7/24,IFERROR(DATEVALUE(LEFT($F869,10))+TIMEVALUE(MID($F869,12,8))+Settings!$C$7/24,"")))</f>
        <v/>
      </c>
      <c r="P869" s="106" t="str">
        <f>IF($G869="","",IF(ISNUMBER($G869),$G869+Settings!$C$7/24,IFERROR(DATEVALUE(LEFT($G869,10))+TIMEVALUE(MID($G869,12,8))+Settings!$C$7/24,"")))</f>
        <v/>
      </c>
      <c r="Q869" s="39" t="str">
        <f t="shared" si="235"/>
        <v/>
      </c>
      <c r="R869" s="39" t="str">
        <f t="shared" si="236"/>
        <v/>
      </c>
      <c r="S869" s="107" t="str">
        <f t="shared" si="237"/>
        <v/>
      </c>
      <c r="T869" s="39" t="str">
        <f>IF($C869="","",IF(COUNTIF($C$2:$C869,$C869)=1,1,0))</f>
        <v/>
      </c>
      <c r="U869" s="39" t="str">
        <f>IF($T869=1,COUNTIF($T$2:$T869,1),"")</f>
        <v/>
      </c>
      <c r="V869" s="39" t="str">
        <f>IF($B869="","",IF(COUNTIF($B$2:$B869,$B869)=1,1,0))</f>
        <v/>
      </c>
      <c r="W869" s="39" t="str">
        <f>IF($V869=1,COUNTIF($V$2:$V869,1),"")</f>
        <v/>
      </c>
      <c r="X869" s="39" t="str">
        <f>IF($A869="","",IF(COUNTIF($A$2:$A869,$A869)=1,1,0))</f>
        <v/>
      </c>
      <c r="Y869" s="39" t="str">
        <f>IF($X869=1,COUNTIF($X$2:$X869,1),"")</f>
        <v/>
      </c>
      <c r="Z869" s="39">
        <f>IF(AND($E869="timed",$N869&gt;Settings!$C$8),1,0)</f>
        <v>0</v>
      </c>
      <c r="AA869" s="39">
        <f t="shared" si="238"/>
        <v>0</v>
      </c>
      <c r="AB869" s="39">
        <f t="shared" si="239"/>
        <v>0</v>
      </c>
      <c r="AC869" s="39" t="str">
        <f t="shared" si="240"/>
        <v/>
      </c>
      <c r="AD869" s="39" t="str">
        <f t="shared" si="241"/>
        <v/>
      </c>
      <c r="AE869" s="39" t="str">
        <f t="shared" si="242"/>
        <v/>
      </c>
      <c r="AF869" s="106" t="str">
        <f t="shared" si="243"/>
        <v/>
      </c>
      <c r="AG869" s="39">
        <f t="shared" si="244"/>
        <v>0</v>
      </c>
      <c r="AH869" s="39" t="str">
        <f t="shared" si="245"/>
        <v/>
      </c>
      <c r="AI869" s="39">
        <f>IF(AND($E869="timed",$N869&gt;=Settings!$C$9),1,0)</f>
        <v>0</v>
      </c>
      <c r="AJ869" s="39" t="str">
        <f>IF(OR($S869="",Settings!$C$16=""),"",IF($S869&lt;=Settings!$C$16,1,2))</f>
        <v/>
      </c>
      <c r="AK869" s="39" t="str">
        <f>IF($C869="","",IFERROR(IF(INDEX(Settings!$C$20:$C$59,MATCH($C869,Settings!$B$20:$B$59,0))="",Settings!$C$10,INDEX(Settings!$C$20:$C$59,MATCH($C869,Settings!$B$20:$B$59,0))),Settings!$C$10))</f>
        <v/>
      </c>
      <c r="AL869" s="108">
        <f t="shared" si="246"/>
        <v>0</v>
      </c>
      <c r="AM869" s="39" t="str">
        <f t="shared" si="247"/>
        <v/>
      </c>
      <c r="AN869" s="39" t="str">
        <f t="shared" si="248"/>
        <v/>
      </c>
      <c r="AO869" s="39" t="str">
        <f t="shared" si="249"/>
        <v/>
      </c>
      <c r="AP869" s="39">
        <f t="shared" si="250"/>
        <v>0</v>
      </c>
      <c r="AQ869" s="39">
        <f t="shared" si="251"/>
        <v>0</v>
      </c>
    </row>
    <row r="870" spans="14:43" x14ac:dyDescent="0.25">
      <c r="N870" s="105">
        <f t="shared" si="234"/>
        <v>0</v>
      </c>
      <c r="O870" s="106" t="str">
        <f>IF($F870="","",IF(ISNUMBER($F870),$F870+Settings!$C$7/24,IFERROR(DATEVALUE(LEFT($F870,10))+TIMEVALUE(MID($F870,12,8))+Settings!$C$7/24,"")))</f>
        <v/>
      </c>
      <c r="P870" s="106" t="str">
        <f>IF($G870="","",IF(ISNUMBER($G870),$G870+Settings!$C$7/24,IFERROR(DATEVALUE(LEFT($G870,10))+TIMEVALUE(MID($G870,12,8))+Settings!$C$7/24,"")))</f>
        <v/>
      </c>
      <c r="Q870" s="39" t="str">
        <f t="shared" si="235"/>
        <v/>
      </c>
      <c r="R870" s="39" t="str">
        <f t="shared" si="236"/>
        <v/>
      </c>
      <c r="S870" s="107" t="str">
        <f t="shared" si="237"/>
        <v/>
      </c>
      <c r="T870" s="39" t="str">
        <f>IF($C870="","",IF(COUNTIF($C$2:$C870,$C870)=1,1,0))</f>
        <v/>
      </c>
      <c r="U870" s="39" t="str">
        <f>IF($T870=1,COUNTIF($T$2:$T870,1),"")</f>
        <v/>
      </c>
      <c r="V870" s="39" t="str">
        <f>IF($B870="","",IF(COUNTIF($B$2:$B870,$B870)=1,1,0))</f>
        <v/>
      </c>
      <c r="W870" s="39" t="str">
        <f>IF($V870=1,COUNTIF($V$2:$V870,1),"")</f>
        <v/>
      </c>
      <c r="X870" s="39" t="str">
        <f>IF($A870="","",IF(COUNTIF($A$2:$A870,$A870)=1,1,0))</f>
        <v/>
      </c>
      <c r="Y870" s="39" t="str">
        <f>IF($X870=1,COUNTIF($X$2:$X870,1),"")</f>
        <v/>
      </c>
      <c r="Z870" s="39">
        <f>IF(AND($E870="timed",$N870&gt;Settings!$C$8),1,0)</f>
        <v>0</v>
      </c>
      <c r="AA870" s="39">
        <f t="shared" si="238"/>
        <v>0</v>
      </c>
      <c r="AB870" s="39">
        <f t="shared" si="239"/>
        <v>0</v>
      </c>
      <c r="AC870" s="39" t="str">
        <f t="shared" si="240"/>
        <v/>
      </c>
      <c r="AD870" s="39" t="str">
        <f t="shared" si="241"/>
        <v/>
      </c>
      <c r="AE870" s="39" t="str">
        <f t="shared" si="242"/>
        <v/>
      </c>
      <c r="AF870" s="106" t="str">
        <f t="shared" si="243"/>
        <v/>
      </c>
      <c r="AG870" s="39">
        <f t="shared" si="244"/>
        <v>0</v>
      </c>
      <c r="AH870" s="39" t="str">
        <f t="shared" si="245"/>
        <v/>
      </c>
      <c r="AI870" s="39">
        <f>IF(AND($E870="timed",$N870&gt;=Settings!$C$9),1,0)</f>
        <v>0</v>
      </c>
      <c r="AJ870" s="39" t="str">
        <f>IF(OR($S870="",Settings!$C$16=""),"",IF($S870&lt;=Settings!$C$16,1,2))</f>
        <v/>
      </c>
      <c r="AK870" s="39" t="str">
        <f>IF($C870="","",IFERROR(IF(INDEX(Settings!$C$20:$C$59,MATCH($C870,Settings!$B$20:$B$59,0))="",Settings!$C$10,INDEX(Settings!$C$20:$C$59,MATCH($C870,Settings!$B$20:$B$59,0))),Settings!$C$10))</f>
        <v/>
      </c>
      <c r="AL870" s="108">
        <f t="shared" si="246"/>
        <v>0</v>
      </c>
      <c r="AM870" s="39" t="str">
        <f t="shared" si="247"/>
        <v/>
      </c>
      <c r="AN870" s="39" t="str">
        <f t="shared" si="248"/>
        <v/>
      </c>
      <c r="AO870" s="39" t="str">
        <f t="shared" si="249"/>
        <v/>
      </c>
      <c r="AP870" s="39">
        <f t="shared" si="250"/>
        <v>0</v>
      </c>
      <c r="AQ870" s="39">
        <f t="shared" si="251"/>
        <v>0</v>
      </c>
    </row>
    <row r="871" spans="14:43" x14ac:dyDescent="0.25">
      <c r="N871" s="105">
        <f t="shared" si="234"/>
        <v>0</v>
      </c>
      <c r="O871" s="106" t="str">
        <f>IF($F871="","",IF(ISNUMBER($F871),$F871+Settings!$C$7/24,IFERROR(DATEVALUE(LEFT($F871,10))+TIMEVALUE(MID($F871,12,8))+Settings!$C$7/24,"")))</f>
        <v/>
      </c>
      <c r="P871" s="106" t="str">
        <f>IF($G871="","",IF(ISNUMBER($G871),$G871+Settings!$C$7/24,IFERROR(DATEVALUE(LEFT($G871,10))+TIMEVALUE(MID($G871,12,8))+Settings!$C$7/24,"")))</f>
        <v/>
      </c>
      <c r="Q871" s="39" t="str">
        <f t="shared" si="235"/>
        <v/>
      </c>
      <c r="R871" s="39" t="str">
        <f t="shared" si="236"/>
        <v/>
      </c>
      <c r="S871" s="107" t="str">
        <f t="shared" si="237"/>
        <v/>
      </c>
      <c r="T871" s="39" t="str">
        <f>IF($C871="","",IF(COUNTIF($C$2:$C871,$C871)=1,1,0))</f>
        <v/>
      </c>
      <c r="U871" s="39" t="str">
        <f>IF($T871=1,COUNTIF($T$2:$T871,1),"")</f>
        <v/>
      </c>
      <c r="V871" s="39" t="str">
        <f>IF($B871="","",IF(COUNTIF($B$2:$B871,$B871)=1,1,0))</f>
        <v/>
      </c>
      <c r="W871" s="39" t="str">
        <f>IF($V871=1,COUNTIF($V$2:$V871,1),"")</f>
        <v/>
      </c>
      <c r="X871" s="39" t="str">
        <f>IF($A871="","",IF(COUNTIF($A$2:$A871,$A871)=1,1,0))</f>
        <v/>
      </c>
      <c r="Y871" s="39" t="str">
        <f>IF($X871=1,COUNTIF($X$2:$X871,1),"")</f>
        <v/>
      </c>
      <c r="Z871" s="39">
        <f>IF(AND($E871="timed",$N871&gt;Settings!$C$8),1,0)</f>
        <v>0</v>
      </c>
      <c r="AA871" s="39">
        <f t="shared" si="238"/>
        <v>0</v>
      </c>
      <c r="AB871" s="39">
        <f t="shared" si="239"/>
        <v>0</v>
      </c>
      <c r="AC871" s="39" t="str">
        <f t="shared" si="240"/>
        <v/>
      </c>
      <c r="AD871" s="39" t="str">
        <f t="shared" si="241"/>
        <v/>
      </c>
      <c r="AE871" s="39" t="str">
        <f t="shared" si="242"/>
        <v/>
      </c>
      <c r="AF871" s="106" t="str">
        <f t="shared" si="243"/>
        <v/>
      </c>
      <c r="AG871" s="39">
        <f t="shared" si="244"/>
        <v>0</v>
      </c>
      <c r="AH871" s="39" t="str">
        <f t="shared" si="245"/>
        <v/>
      </c>
      <c r="AI871" s="39">
        <f>IF(AND($E871="timed",$N871&gt;=Settings!$C$9),1,0)</f>
        <v>0</v>
      </c>
      <c r="AJ871" s="39" t="str">
        <f>IF(OR($S871="",Settings!$C$16=""),"",IF($S871&lt;=Settings!$C$16,1,2))</f>
        <v/>
      </c>
      <c r="AK871" s="39" t="str">
        <f>IF($C871="","",IFERROR(IF(INDEX(Settings!$C$20:$C$59,MATCH($C871,Settings!$B$20:$B$59,0))="",Settings!$C$10,INDEX(Settings!$C$20:$C$59,MATCH($C871,Settings!$B$20:$B$59,0))),Settings!$C$10))</f>
        <v/>
      </c>
      <c r="AL871" s="108">
        <f t="shared" si="246"/>
        <v>0</v>
      </c>
      <c r="AM871" s="39" t="str">
        <f t="shared" si="247"/>
        <v/>
      </c>
      <c r="AN871" s="39" t="str">
        <f t="shared" si="248"/>
        <v/>
      </c>
      <c r="AO871" s="39" t="str">
        <f t="shared" si="249"/>
        <v/>
      </c>
      <c r="AP871" s="39">
        <f t="shared" si="250"/>
        <v>0</v>
      </c>
      <c r="AQ871" s="39">
        <f t="shared" si="251"/>
        <v>0</v>
      </c>
    </row>
    <row r="872" spans="14:43" x14ac:dyDescent="0.25">
      <c r="N872" s="105">
        <f t="shared" si="234"/>
        <v>0</v>
      </c>
      <c r="O872" s="106" t="str">
        <f>IF($F872="","",IF(ISNUMBER($F872),$F872+Settings!$C$7/24,IFERROR(DATEVALUE(LEFT($F872,10))+TIMEVALUE(MID($F872,12,8))+Settings!$C$7/24,"")))</f>
        <v/>
      </c>
      <c r="P872" s="106" t="str">
        <f>IF($G872="","",IF(ISNUMBER($G872),$G872+Settings!$C$7/24,IFERROR(DATEVALUE(LEFT($G872,10))+TIMEVALUE(MID($G872,12,8))+Settings!$C$7/24,"")))</f>
        <v/>
      </c>
      <c r="Q872" s="39" t="str">
        <f t="shared" si="235"/>
        <v/>
      </c>
      <c r="R872" s="39" t="str">
        <f t="shared" si="236"/>
        <v/>
      </c>
      <c r="S872" s="107" t="str">
        <f t="shared" si="237"/>
        <v/>
      </c>
      <c r="T872" s="39" t="str">
        <f>IF($C872="","",IF(COUNTIF($C$2:$C872,$C872)=1,1,0))</f>
        <v/>
      </c>
      <c r="U872" s="39" t="str">
        <f>IF($T872=1,COUNTIF($T$2:$T872,1),"")</f>
        <v/>
      </c>
      <c r="V872" s="39" t="str">
        <f>IF($B872="","",IF(COUNTIF($B$2:$B872,$B872)=1,1,0))</f>
        <v/>
      </c>
      <c r="W872" s="39" t="str">
        <f>IF($V872=1,COUNTIF($V$2:$V872,1),"")</f>
        <v/>
      </c>
      <c r="X872" s="39" t="str">
        <f>IF($A872="","",IF(COUNTIF($A$2:$A872,$A872)=1,1,0))</f>
        <v/>
      </c>
      <c r="Y872" s="39" t="str">
        <f>IF($X872=1,COUNTIF($X$2:$X872,1),"")</f>
        <v/>
      </c>
      <c r="Z872" s="39">
        <f>IF(AND($E872="timed",$N872&gt;Settings!$C$8),1,0)</f>
        <v>0</v>
      </c>
      <c r="AA872" s="39">
        <f t="shared" si="238"/>
        <v>0</v>
      </c>
      <c r="AB872" s="39">
        <f t="shared" si="239"/>
        <v>0</v>
      </c>
      <c r="AC872" s="39" t="str">
        <f t="shared" si="240"/>
        <v/>
      </c>
      <c r="AD872" s="39" t="str">
        <f t="shared" si="241"/>
        <v/>
      </c>
      <c r="AE872" s="39" t="str">
        <f t="shared" si="242"/>
        <v/>
      </c>
      <c r="AF872" s="106" t="str">
        <f t="shared" si="243"/>
        <v/>
      </c>
      <c r="AG872" s="39">
        <f t="shared" si="244"/>
        <v>0</v>
      </c>
      <c r="AH872" s="39" t="str">
        <f t="shared" si="245"/>
        <v/>
      </c>
      <c r="AI872" s="39">
        <f>IF(AND($E872="timed",$N872&gt;=Settings!$C$9),1,0)</f>
        <v>0</v>
      </c>
      <c r="AJ872" s="39" t="str">
        <f>IF(OR($S872="",Settings!$C$16=""),"",IF($S872&lt;=Settings!$C$16,1,2))</f>
        <v/>
      </c>
      <c r="AK872" s="39" t="str">
        <f>IF($C872="","",IFERROR(IF(INDEX(Settings!$C$20:$C$59,MATCH($C872,Settings!$B$20:$B$59,0))="",Settings!$C$10,INDEX(Settings!$C$20:$C$59,MATCH($C872,Settings!$B$20:$B$59,0))),Settings!$C$10))</f>
        <v/>
      </c>
      <c r="AL872" s="108">
        <f t="shared" si="246"/>
        <v>0</v>
      </c>
      <c r="AM872" s="39" t="str">
        <f t="shared" si="247"/>
        <v/>
      </c>
      <c r="AN872" s="39" t="str">
        <f t="shared" si="248"/>
        <v/>
      </c>
      <c r="AO872" s="39" t="str">
        <f t="shared" si="249"/>
        <v/>
      </c>
      <c r="AP872" s="39">
        <f t="shared" si="250"/>
        <v>0</v>
      </c>
      <c r="AQ872" s="39">
        <f t="shared" si="251"/>
        <v>0</v>
      </c>
    </row>
    <row r="873" spans="14:43" x14ac:dyDescent="0.25">
      <c r="N873" s="105">
        <f t="shared" si="234"/>
        <v>0</v>
      </c>
      <c r="O873" s="106" t="str">
        <f>IF($F873="","",IF(ISNUMBER($F873),$F873+Settings!$C$7/24,IFERROR(DATEVALUE(LEFT($F873,10))+TIMEVALUE(MID($F873,12,8))+Settings!$C$7/24,"")))</f>
        <v/>
      </c>
      <c r="P873" s="106" t="str">
        <f>IF($G873="","",IF(ISNUMBER($G873),$G873+Settings!$C$7/24,IFERROR(DATEVALUE(LEFT($G873,10))+TIMEVALUE(MID($G873,12,8))+Settings!$C$7/24,"")))</f>
        <v/>
      </c>
      <c r="Q873" s="39" t="str">
        <f t="shared" si="235"/>
        <v/>
      </c>
      <c r="R873" s="39" t="str">
        <f t="shared" si="236"/>
        <v/>
      </c>
      <c r="S873" s="107" t="str">
        <f t="shared" si="237"/>
        <v/>
      </c>
      <c r="T873" s="39" t="str">
        <f>IF($C873="","",IF(COUNTIF($C$2:$C873,$C873)=1,1,0))</f>
        <v/>
      </c>
      <c r="U873" s="39" t="str">
        <f>IF($T873=1,COUNTIF($T$2:$T873,1),"")</f>
        <v/>
      </c>
      <c r="V873" s="39" t="str">
        <f>IF($B873="","",IF(COUNTIF($B$2:$B873,$B873)=1,1,0))</f>
        <v/>
      </c>
      <c r="W873" s="39" t="str">
        <f>IF($V873=1,COUNTIF($V$2:$V873,1),"")</f>
        <v/>
      </c>
      <c r="X873" s="39" t="str">
        <f>IF($A873="","",IF(COUNTIF($A$2:$A873,$A873)=1,1,0))</f>
        <v/>
      </c>
      <c r="Y873" s="39" t="str">
        <f>IF($X873=1,COUNTIF($X$2:$X873,1),"")</f>
        <v/>
      </c>
      <c r="Z873" s="39">
        <f>IF(AND($E873="timed",$N873&gt;Settings!$C$8),1,0)</f>
        <v>0</v>
      </c>
      <c r="AA873" s="39">
        <f t="shared" si="238"/>
        <v>0</v>
      </c>
      <c r="AB873" s="39">
        <f t="shared" si="239"/>
        <v>0</v>
      </c>
      <c r="AC873" s="39" t="str">
        <f t="shared" si="240"/>
        <v/>
      </c>
      <c r="AD873" s="39" t="str">
        <f t="shared" si="241"/>
        <v/>
      </c>
      <c r="AE873" s="39" t="str">
        <f t="shared" si="242"/>
        <v/>
      </c>
      <c r="AF873" s="106" t="str">
        <f t="shared" si="243"/>
        <v/>
      </c>
      <c r="AG873" s="39">
        <f t="shared" si="244"/>
        <v>0</v>
      </c>
      <c r="AH873" s="39" t="str">
        <f t="shared" si="245"/>
        <v/>
      </c>
      <c r="AI873" s="39">
        <f>IF(AND($E873="timed",$N873&gt;=Settings!$C$9),1,0)</f>
        <v>0</v>
      </c>
      <c r="AJ873" s="39" t="str">
        <f>IF(OR($S873="",Settings!$C$16=""),"",IF($S873&lt;=Settings!$C$16,1,2))</f>
        <v/>
      </c>
      <c r="AK873" s="39" t="str">
        <f>IF($C873="","",IFERROR(IF(INDEX(Settings!$C$20:$C$59,MATCH($C873,Settings!$B$20:$B$59,0))="",Settings!$C$10,INDEX(Settings!$C$20:$C$59,MATCH($C873,Settings!$B$20:$B$59,0))),Settings!$C$10))</f>
        <v/>
      </c>
      <c r="AL873" s="108">
        <f t="shared" si="246"/>
        <v>0</v>
      </c>
      <c r="AM873" s="39" t="str">
        <f t="shared" si="247"/>
        <v/>
      </c>
      <c r="AN873" s="39" t="str">
        <f t="shared" si="248"/>
        <v/>
      </c>
      <c r="AO873" s="39" t="str">
        <f t="shared" si="249"/>
        <v/>
      </c>
      <c r="AP873" s="39">
        <f t="shared" si="250"/>
        <v>0</v>
      </c>
      <c r="AQ873" s="39">
        <f t="shared" si="251"/>
        <v>0</v>
      </c>
    </row>
    <row r="874" spans="14:43" x14ac:dyDescent="0.25">
      <c r="N874" s="105">
        <f t="shared" si="234"/>
        <v>0</v>
      </c>
      <c r="O874" s="106" t="str">
        <f>IF($F874="","",IF(ISNUMBER($F874),$F874+Settings!$C$7/24,IFERROR(DATEVALUE(LEFT($F874,10))+TIMEVALUE(MID($F874,12,8))+Settings!$C$7/24,"")))</f>
        <v/>
      </c>
      <c r="P874" s="106" t="str">
        <f>IF($G874="","",IF(ISNUMBER($G874),$G874+Settings!$C$7/24,IFERROR(DATEVALUE(LEFT($G874,10))+TIMEVALUE(MID($G874,12,8))+Settings!$C$7/24,"")))</f>
        <v/>
      </c>
      <c r="Q874" s="39" t="str">
        <f t="shared" si="235"/>
        <v/>
      </c>
      <c r="R874" s="39" t="str">
        <f t="shared" si="236"/>
        <v/>
      </c>
      <c r="S874" s="107" t="str">
        <f t="shared" si="237"/>
        <v/>
      </c>
      <c r="T874" s="39" t="str">
        <f>IF($C874="","",IF(COUNTIF($C$2:$C874,$C874)=1,1,0))</f>
        <v/>
      </c>
      <c r="U874" s="39" t="str">
        <f>IF($T874=1,COUNTIF($T$2:$T874,1),"")</f>
        <v/>
      </c>
      <c r="V874" s="39" t="str">
        <f>IF($B874="","",IF(COUNTIF($B$2:$B874,$B874)=1,1,0))</f>
        <v/>
      </c>
      <c r="W874" s="39" t="str">
        <f>IF($V874=1,COUNTIF($V$2:$V874,1),"")</f>
        <v/>
      </c>
      <c r="X874" s="39" t="str">
        <f>IF($A874="","",IF(COUNTIF($A$2:$A874,$A874)=1,1,0))</f>
        <v/>
      </c>
      <c r="Y874" s="39" t="str">
        <f>IF($X874=1,COUNTIF($X$2:$X874,1),"")</f>
        <v/>
      </c>
      <c r="Z874" s="39">
        <f>IF(AND($E874="timed",$N874&gt;Settings!$C$8),1,0)</f>
        <v>0</v>
      </c>
      <c r="AA874" s="39">
        <f t="shared" si="238"/>
        <v>0</v>
      </c>
      <c r="AB874" s="39">
        <f t="shared" si="239"/>
        <v>0</v>
      </c>
      <c r="AC874" s="39" t="str">
        <f t="shared" si="240"/>
        <v/>
      </c>
      <c r="AD874" s="39" t="str">
        <f t="shared" si="241"/>
        <v/>
      </c>
      <c r="AE874" s="39" t="str">
        <f t="shared" si="242"/>
        <v/>
      </c>
      <c r="AF874" s="106" t="str">
        <f t="shared" si="243"/>
        <v/>
      </c>
      <c r="AG874" s="39">
        <f t="shared" si="244"/>
        <v>0</v>
      </c>
      <c r="AH874" s="39" t="str">
        <f t="shared" si="245"/>
        <v/>
      </c>
      <c r="AI874" s="39">
        <f>IF(AND($E874="timed",$N874&gt;=Settings!$C$9),1,0)</f>
        <v>0</v>
      </c>
      <c r="AJ874" s="39" t="str">
        <f>IF(OR($S874="",Settings!$C$16=""),"",IF($S874&lt;=Settings!$C$16,1,2))</f>
        <v/>
      </c>
      <c r="AK874" s="39" t="str">
        <f>IF($C874="","",IFERROR(IF(INDEX(Settings!$C$20:$C$59,MATCH($C874,Settings!$B$20:$B$59,0))="",Settings!$C$10,INDEX(Settings!$C$20:$C$59,MATCH($C874,Settings!$B$20:$B$59,0))),Settings!$C$10))</f>
        <v/>
      </c>
      <c r="AL874" s="108">
        <f t="shared" si="246"/>
        <v>0</v>
      </c>
      <c r="AM874" s="39" t="str">
        <f t="shared" si="247"/>
        <v/>
      </c>
      <c r="AN874" s="39" t="str">
        <f t="shared" si="248"/>
        <v/>
      </c>
      <c r="AO874" s="39" t="str">
        <f t="shared" si="249"/>
        <v/>
      </c>
      <c r="AP874" s="39">
        <f t="shared" si="250"/>
        <v>0</v>
      </c>
      <c r="AQ874" s="39">
        <f t="shared" si="251"/>
        <v>0</v>
      </c>
    </row>
    <row r="875" spans="14:43" x14ac:dyDescent="0.25">
      <c r="N875" s="105">
        <f t="shared" si="234"/>
        <v>0</v>
      </c>
      <c r="O875" s="106" t="str">
        <f>IF($F875="","",IF(ISNUMBER($F875),$F875+Settings!$C$7/24,IFERROR(DATEVALUE(LEFT($F875,10))+TIMEVALUE(MID($F875,12,8))+Settings!$C$7/24,"")))</f>
        <v/>
      </c>
      <c r="P875" s="106" t="str">
        <f>IF($G875="","",IF(ISNUMBER($G875),$G875+Settings!$C$7/24,IFERROR(DATEVALUE(LEFT($G875,10))+TIMEVALUE(MID($G875,12,8))+Settings!$C$7/24,"")))</f>
        <v/>
      </c>
      <c r="Q875" s="39" t="str">
        <f t="shared" si="235"/>
        <v/>
      </c>
      <c r="R875" s="39" t="str">
        <f t="shared" si="236"/>
        <v/>
      </c>
      <c r="S875" s="107" t="str">
        <f t="shared" si="237"/>
        <v/>
      </c>
      <c r="T875" s="39" t="str">
        <f>IF($C875="","",IF(COUNTIF($C$2:$C875,$C875)=1,1,0))</f>
        <v/>
      </c>
      <c r="U875" s="39" t="str">
        <f>IF($T875=1,COUNTIF($T$2:$T875,1),"")</f>
        <v/>
      </c>
      <c r="V875" s="39" t="str">
        <f>IF($B875="","",IF(COUNTIF($B$2:$B875,$B875)=1,1,0))</f>
        <v/>
      </c>
      <c r="W875" s="39" t="str">
        <f>IF($V875=1,COUNTIF($V$2:$V875,1),"")</f>
        <v/>
      </c>
      <c r="X875" s="39" t="str">
        <f>IF($A875="","",IF(COUNTIF($A$2:$A875,$A875)=1,1,0))</f>
        <v/>
      </c>
      <c r="Y875" s="39" t="str">
        <f>IF($X875=1,COUNTIF($X$2:$X875,1),"")</f>
        <v/>
      </c>
      <c r="Z875" s="39">
        <f>IF(AND($E875="timed",$N875&gt;Settings!$C$8),1,0)</f>
        <v>0</v>
      </c>
      <c r="AA875" s="39">
        <f t="shared" si="238"/>
        <v>0</v>
      </c>
      <c r="AB875" s="39">
        <f t="shared" si="239"/>
        <v>0</v>
      </c>
      <c r="AC875" s="39" t="str">
        <f t="shared" si="240"/>
        <v/>
      </c>
      <c r="AD875" s="39" t="str">
        <f t="shared" si="241"/>
        <v/>
      </c>
      <c r="AE875" s="39" t="str">
        <f t="shared" si="242"/>
        <v/>
      </c>
      <c r="AF875" s="106" t="str">
        <f t="shared" si="243"/>
        <v/>
      </c>
      <c r="AG875" s="39">
        <f t="shared" si="244"/>
        <v>0</v>
      </c>
      <c r="AH875" s="39" t="str">
        <f t="shared" si="245"/>
        <v/>
      </c>
      <c r="AI875" s="39">
        <f>IF(AND($E875="timed",$N875&gt;=Settings!$C$9),1,0)</f>
        <v>0</v>
      </c>
      <c r="AJ875" s="39" t="str">
        <f>IF(OR($S875="",Settings!$C$16=""),"",IF($S875&lt;=Settings!$C$16,1,2))</f>
        <v/>
      </c>
      <c r="AK875" s="39" t="str">
        <f>IF($C875="","",IFERROR(IF(INDEX(Settings!$C$20:$C$59,MATCH($C875,Settings!$B$20:$B$59,0))="",Settings!$C$10,INDEX(Settings!$C$20:$C$59,MATCH($C875,Settings!$B$20:$B$59,0))),Settings!$C$10))</f>
        <v/>
      </c>
      <c r="AL875" s="108">
        <f t="shared" si="246"/>
        <v>0</v>
      </c>
      <c r="AM875" s="39" t="str">
        <f t="shared" si="247"/>
        <v/>
      </c>
      <c r="AN875" s="39" t="str">
        <f t="shared" si="248"/>
        <v/>
      </c>
      <c r="AO875" s="39" t="str">
        <f t="shared" si="249"/>
        <v/>
      </c>
      <c r="AP875" s="39">
        <f t="shared" si="250"/>
        <v>0</v>
      </c>
      <c r="AQ875" s="39">
        <f t="shared" si="251"/>
        <v>0</v>
      </c>
    </row>
    <row r="876" spans="14:43" x14ac:dyDescent="0.25">
      <c r="N876" s="105">
        <f t="shared" si="234"/>
        <v>0</v>
      </c>
      <c r="O876" s="106" t="str">
        <f>IF($F876="","",IF(ISNUMBER($F876),$F876+Settings!$C$7/24,IFERROR(DATEVALUE(LEFT($F876,10))+TIMEVALUE(MID($F876,12,8))+Settings!$C$7/24,"")))</f>
        <v/>
      </c>
      <c r="P876" s="106" t="str">
        <f>IF($G876="","",IF(ISNUMBER($G876),$G876+Settings!$C$7/24,IFERROR(DATEVALUE(LEFT($G876,10))+TIMEVALUE(MID($G876,12,8))+Settings!$C$7/24,"")))</f>
        <v/>
      </c>
      <c r="Q876" s="39" t="str">
        <f t="shared" si="235"/>
        <v/>
      </c>
      <c r="R876" s="39" t="str">
        <f t="shared" si="236"/>
        <v/>
      </c>
      <c r="S876" s="107" t="str">
        <f t="shared" si="237"/>
        <v/>
      </c>
      <c r="T876" s="39" t="str">
        <f>IF($C876="","",IF(COUNTIF($C$2:$C876,$C876)=1,1,0))</f>
        <v/>
      </c>
      <c r="U876" s="39" t="str">
        <f>IF($T876=1,COUNTIF($T$2:$T876,1),"")</f>
        <v/>
      </c>
      <c r="V876" s="39" t="str">
        <f>IF($B876="","",IF(COUNTIF($B$2:$B876,$B876)=1,1,0))</f>
        <v/>
      </c>
      <c r="W876" s="39" t="str">
        <f>IF($V876=1,COUNTIF($V$2:$V876,1),"")</f>
        <v/>
      </c>
      <c r="X876" s="39" t="str">
        <f>IF($A876="","",IF(COUNTIF($A$2:$A876,$A876)=1,1,0))</f>
        <v/>
      </c>
      <c r="Y876" s="39" t="str">
        <f>IF($X876=1,COUNTIF($X$2:$X876,1),"")</f>
        <v/>
      </c>
      <c r="Z876" s="39">
        <f>IF(AND($E876="timed",$N876&gt;Settings!$C$8),1,0)</f>
        <v>0</v>
      </c>
      <c r="AA876" s="39">
        <f t="shared" si="238"/>
        <v>0</v>
      </c>
      <c r="AB876" s="39">
        <f t="shared" si="239"/>
        <v>0</v>
      </c>
      <c r="AC876" s="39" t="str">
        <f t="shared" si="240"/>
        <v/>
      </c>
      <c r="AD876" s="39" t="str">
        <f t="shared" si="241"/>
        <v/>
      </c>
      <c r="AE876" s="39" t="str">
        <f t="shared" si="242"/>
        <v/>
      </c>
      <c r="AF876" s="106" t="str">
        <f t="shared" si="243"/>
        <v/>
      </c>
      <c r="AG876" s="39">
        <f t="shared" si="244"/>
        <v>0</v>
      </c>
      <c r="AH876" s="39" t="str">
        <f t="shared" si="245"/>
        <v/>
      </c>
      <c r="AI876" s="39">
        <f>IF(AND($E876="timed",$N876&gt;=Settings!$C$9),1,0)</f>
        <v>0</v>
      </c>
      <c r="AJ876" s="39" t="str">
        <f>IF(OR($S876="",Settings!$C$16=""),"",IF($S876&lt;=Settings!$C$16,1,2))</f>
        <v/>
      </c>
      <c r="AK876" s="39" t="str">
        <f>IF($C876="","",IFERROR(IF(INDEX(Settings!$C$20:$C$59,MATCH($C876,Settings!$B$20:$B$59,0))="",Settings!$C$10,INDEX(Settings!$C$20:$C$59,MATCH($C876,Settings!$B$20:$B$59,0))),Settings!$C$10))</f>
        <v/>
      </c>
      <c r="AL876" s="108">
        <f t="shared" si="246"/>
        <v>0</v>
      </c>
      <c r="AM876" s="39" t="str">
        <f t="shared" si="247"/>
        <v/>
      </c>
      <c r="AN876" s="39" t="str">
        <f t="shared" si="248"/>
        <v/>
      </c>
      <c r="AO876" s="39" t="str">
        <f t="shared" si="249"/>
        <v/>
      </c>
      <c r="AP876" s="39">
        <f t="shared" si="250"/>
        <v>0</v>
      </c>
      <c r="AQ876" s="39">
        <f t="shared" si="251"/>
        <v>0</v>
      </c>
    </row>
    <row r="877" spans="14:43" x14ac:dyDescent="0.25">
      <c r="N877" s="105">
        <f t="shared" si="234"/>
        <v>0</v>
      </c>
      <c r="O877" s="106" t="str">
        <f>IF($F877="","",IF(ISNUMBER($F877),$F877+Settings!$C$7/24,IFERROR(DATEVALUE(LEFT($F877,10))+TIMEVALUE(MID($F877,12,8))+Settings!$C$7/24,"")))</f>
        <v/>
      </c>
      <c r="P877" s="106" t="str">
        <f>IF($G877="","",IF(ISNUMBER($G877),$G877+Settings!$C$7/24,IFERROR(DATEVALUE(LEFT($G877,10))+TIMEVALUE(MID($G877,12,8))+Settings!$C$7/24,"")))</f>
        <v/>
      </c>
      <c r="Q877" s="39" t="str">
        <f t="shared" si="235"/>
        <v/>
      </c>
      <c r="R877" s="39" t="str">
        <f t="shared" si="236"/>
        <v/>
      </c>
      <c r="S877" s="107" t="str">
        <f t="shared" si="237"/>
        <v/>
      </c>
      <c r="T877" s="39" t="str">
        <f>IF($C877="","",IF(COUNTIF($C$2:$C877,$C877)=1,1,0))</f>
        <v/>
      </c>
      <c r="U877" s="39" t="str">
        <f>IF($T877=1,COUNTIF($T$2:$T877,1),"")</f>
        <v/>
      </c>
      <c r="V877" s="39" t="str">
        <f>IF($B877="","",IF(COUNTIF($B$2:$B877,$B877)=1,1,0))</f>
        <v/>
      </c>
      <c r="W877" s="39" t="str">
        <f>IF($V877=1,COUNTIF($V$2:$V877,1),"")</f>
        <v/>
      </c>
      <c r="X877" s="39" t="str">
        <f>IF($A877="","",IF(COUNTIF($A$2:$A877,$A877)=1,1,0))</f>
        <v/>
      </c>
      <c r="Y877" s="39" t="str">
        <f>IF($X877=1,COUNTIF($X$2:$X877,1),"")</f>
        <v/>
      </c>
      <c r="Z877" s="39">
        <f>IF(AND($E877="timed",$N877&gt;Settings!$C$8),1,0)</f>
        <v>0</v>
      </c>
      <c r="AA877" s="39">
        <f t="shared" si="238"/>
        <v>0</v>
      </c>
      <c r="AB877" s="39">
        <f t="shared" si="239"/>
        <v>0</v>
      </c>
      <c r="AC877" s="39" t="str">
        <f t="shared" si="240"/>
        <v/>
      </c>
      <c r="AD877" s="39" t="str">
        <f t="shared" si="241"/>
        <v/>
      </c>
      <c r="AE877" s="39" t="str">
        <f t="shared" si="242"/>
        <v/>
      </c>
      <c r="AF877" s="106" t="str">
        <f t="shared" si="243"/>
        <v/>
      </c>
      <c r="AG877" s="39">
        <f t="shared" si="244"/>
        <v>0</v>
      </c>
      <c r="AH877" s="39" t="str">
        <f t="shared" si="245"/>
        <v/>
      </c>
      <c r="AI877" s="39">
        <f>IF(AND($E877="timed",$N877&gt;=Settings!$C$9),1,0)</f>
        <v>0</v>
      </c>
      <c r="AJ877" s="39" t="str">
        <f>IF(OR($S877="",Settings!$C$16=""),"",IF($S877&lt;=Settings!$C$16,1,2))</f>
        <v/>
      </c>
      <c r="AK877" s="39" t="str">
        <f>IF($C877="","",IFERROR(IF(INDEX(Settings!$C$20:$C$59,MATCH($C877,Settings!$B$20:$B$59,0))="",Settings!$C$10,INDEX(Settings!$C$20:$C$59,MATCH($C877,Settings!$B$20:$B$59,0))),Settings!$C$10))</f>
        <v/>
      </c>
      <c r="AL877" s="108">
        <f t="shared" si="246"/>
        <v>0</v>
      </c>
      <c r="AM877" s="39" t="str">
        <f t="shared" si="247"/>
        <v/>
      </c>
      <c r="AN877" s="39" t="str">
        <f t="shared" si="248"/>
        <v/>
      </c>
      <c r="AO877" s="39" t="str">
        <f t="shared" si="249"/>
        <v/>
      </c>
      <c r="AP877" s="39">
        <f t="shared" si="250"/>
        <v>0</v>
      </c>
      <c r="AQ877" s="39">
        <f t="shared" si="251"/>
        <v>0</v>
      </c>
    </row>
    <row r="878" spans="14:43" x14ac:dyDescent="0.25">
      <c r="N878" s="105">
        <f t="shared" si="234"/>
        <v>0</v>
      </c>
      <c r="O878" s="106" t="str">
        <f>IF($F878="","",IF(ISNUMBER($F878),$F878+Settings!$C$7/24,IFERROR(DATEVALUE(LEFT($F878,10))+TIMEVALUE(MID($F878,12,8))+Settings!$C$7/24,"")))</f>
        <v/>
      </c>
      <c r="P878" s="106" t="str">
        <f>IF($G878="","",IF(ISNUMBER($G878),$G878+Settings!$C$7/24,IFERROR(DATEVALUE(LEFT($G878,10))+TIMEVALUE(MID($G878,12,8))+Settings!$C$7/24,"")))</f>
        <v/>
      </c>
      <c r="Q878" s="39" t="str">
        <f t="shared" si="235"/>
        <v/>
      </c>
      <c r="R878" s="39" t="str">
        <f t="shared" si="236"/>
        <v/>
      </c>
      <c r="S878" s="107" t="str">
        <f t="shared" si="237"/>
        <v/>
      </c>
      <c r="T878" s="39" t="str">
        <f>IF($C878="","",IF(COUNTIF($C$2:$C878,$C878)=1,1,0))</f>
        <v/>
      </c>
      <c r="U878" s="39" t="str">
        <f>IF($T878=1,COUNTIF($T$2:$T878,1),"")</f>
        <v/>
      </c>
      <c r="V878" s="39" t="str">
        <f>IF($B878="","",IF(COUNTIF($B$2:$B878,$B878)=1,1,0))</f>
        <v/>
      </c>
      <c r="W878" s="39" t="str">
        <f>IF($V878=1,COUNTIF($V$2:$V878,1),"")</f>
        <v/>
      </c>
      <c r="X878" s="39" t="str">
        <f>IF($A878="","",IF(COUNTIF($A$2:$A878,$A878)=1,1,0))</f>
        <v/>
      </c>
      <c r="Y878" s="39" t="str">
        <f>IF($X878=1,COUNTIF($X$2:$X878,1),"")</f>
        <v/>
      </c>
      <c r="Z878" s="39">
        <f>IF(AND($E878="timed",$N878&gt;Settings!$C$8),1,0)</f>
        <v>0</v>
      </c>
      <c r="AA878" s="39">
        <f t="shared" si="238"/>
        <v>0</v>
      </c>
      <c r="AB878" s="39">
        <f t="shared" si="239"/>
        <v>0</v>
      </c>
      <c r="AC878" s="39" t="str">
        <f t="shared" si="240"/>
        <v/>
      </c>
      <c r="AD878" s="39" t="str">
        <f t="shared" si="241"/>
        <v/>
      </c>
      <c r="AE878" s="39" t="str">
        <f t="shared" si="242"/>
        <v/>
      </c>
      <c r="AF878" s="106" t="str">
        <f t="shared" si="243"/>
        <v/>
      </c>
      <c r="AG878" s="39">
        <f t="shared" si="244"/>
        <v>0</v>
      </c>
      <c r="AH878" s="39" t="str">
        <f t="shared" si="245"/>
        <v/>
      </c>
      <c r="AI878" s="39">
        <f>IF(AND($E878="timed",$N878&gt;=Settings!$C$9),1,0)</f>
        <v>0</v>
      </c>
      <c r="AJ878" s="39" t="str">
        <f>IF(OR($S878="",Settings!$C$16=""),"",IF($S878&lt;=Settings!$C$16,1,2))</f>
        <v/>
      </c>
      <c r="AK878" s="39" t="str">
        <f>IF($C878="","",IFERROR(IF(INDEX(Settings!$C$20:$C$59,MATCH($C878,Settings!$B$20:$B$59,0))="",Settings!$C$10,INDEX(Settings!$C$20:$C$59,MATCH($C878,Settings!$B$20:$B$59,0))),Settings!$C$10))</f>
        <v/>
      </c>
      <c r="AL878" s="108">
        <f t="shared" si="246"/>
        <v>0</v>
      </c>
      <c r="AM878" s="39" t="str">
        <f t="shared" si="247"/>
        <v/>
      </c>
      <c r="AN878" s="39" t="str">
        <f t="shared" si="248"/>
        <v/>
      </c>
      <c r="AO878" s="39" t="str">
        <f t="shared" si="249"/>
        <v/>
      </c>
      <c r="AP878" s="39">
        <f t="shared" si="250"/>
        <v>0</v>
      </c>
      <c r="AQ878" s="39">
        <f t="shared" si="251"/>
        <v>0</v>
      </c>
    </row>
    <row r="879" spans="14:43" x14ac:dyDescent="0.25">
      <c r="N879" s="105">
        <f t="shared" si="234"/>
        <v>0</v>
      </c>
      <c r="O879" s="106" t="str">
        <f>IF($F879="","",IF(ISNUMBER($F879),$F879+Settings!$C$7/24,IFERROR(DATEVALUE(LEFT($F879,10))+TIMEVALUE(MID($F879,12,8))+Settings!$C$7/24,"")))</f>
        <v/>
      </c>
      <c r="P879" s="106" t="str">
        <f>IF($G879="","",IF(ISNUMBER($G879),$G879+Settings!$C$7/24,IFERROR(DATEVALUE(LEFT($G879,10))+TIMEVALUE(MID($G879,12,8))+Settings!$C$7/24,"")))</f>
        <v/>
      </c>
      <c r="Q879" s="39" t="str">
        <f t="shared" si="235"/>
        <v/>
      </c>
      <c r="R879" s="39" t="str">
        <f t="shared" si="236"/>
        <v/>
      </c>
      <c r="S879" s="107" t="str">
        <f t="shared" si="237"/>
        <v/>
      </c>
      <c r="T879" s="39" t="str">
        <f>IF($C879="","",IF(COUNTIF($C$2:$C879,$C879)=1,1,0))</f>
        <v/>
      </c>
      <c r="U879" s="39" t="str">
        <f>IF($T879=1,COUNTIF($T$2:$T879,1),"")</f>
        <v/>
      </c>
      <c r="V879" s="39" t="str">
        <f>IF($B879="","",IF(COUNTIF($B$2:$B879,$B879)=1,1,0))</f>
        <v/>
      </c>
      <c r="W879" s="39" t="str">
        <f>IF($V879=1,COUNTIF($V$2:$V879,1),"")</f>
        <v/>
      </c>
      <c r="X879" s="39" t="str">
        <f>IF($A879="","",IF(COUNTIF($A$2:$A879,$A879)=1,1,0))</f>
        <v/>
      </c>
      <c r="Y879" s="39" t="str">
        <f>IF($X879=1,COUNTIF($X$2:$X879,1),"")</f>
        <v/>
      </c>
      <c r="Z879" s="39">
        <f>IF(AND($E879="timed",$N879&gt;Settings!$C$8),1,0)</f>
        <v>0</v>
      </c>
      <c r="AA879" s="39">
        <f t="shared" si="238"/>
        <v>0</v>
      </c>
      <c r="AB879" s="39">
        <f t="shared" si="239"/>
        <v>0</v>
      </c>
      <c r="AC879" s="39" t="str">
        <f t="shared" si="240"/>
        <v/>
      </c>
      <c r="AD879" s="39" t="str">
        <f t="shared" si="241"/>
        <v/>
      </c>
      <c r="AE879" s="39" t="str">
        <f t="shared" si="242"/>
        <v/>
      </c>
      <c r="AF879" s="106" t="str">
        <f t="shared" si="243"/>
        <v/>
      </c>
      <c r="AG879" s="39">
        <f t="shared" si="244"/>
        <v>0</v>
      </c>
      <c r="AH879" s="39" t="str">
        <f t="shared" si="245"/>
        <v/>
      </c>
      <c r="AI879" s="39">
        <f>IF(AND($E879="timed",$N879&gt;=Settings!$C$9),1,0)</f>
        <v>0</v>
      </c>
      <c r="AJ879" s="39" t="str">
        <f>IF(OR($S879="",Settings!$C$16=""),"",IF($S879&lt;=Settings!$C$16,1,2))</f>
        <v/>
      </c>
      <c r="AK879" s="39" t="str">
        <f>IF($C879="","",IFERROR(IF(INDEX(Settings!$C$20:$C$59,MATCH($C879,Settings!$B$20:$B$59,0))="",Settings!$C$10,INDEX(Settings!$C$20:$C$59,MATCH($C879,Settings!$B$20:$B$59,0))),Settings!$C$10))</f>
        <v/>
      </c>
      <c r="AL879" s="108">
        <f t="shared" si="246"/>
        <v>0</v>
      </c>
      <c r="AM879" s="39" t="str">
        <f t="shared" si="247"/>
        <v/>
      </c>
      <c r="AN879" s="39" t="str">
        <f t="shared" si="248"/>
        <v/>
      </c>
      <c r="AO879" s="39" t="str">
        <f t="shared" si="249"/>
        <v/>
      </c>
      <c r="AP879" s="39">
        <f t="shared" si="250"/>
        <v>0</v>
      </c>
      <c r="AQ879" s="39">
        <f t="shared" si="251"/>
        <v>0</v>
      </c>
    </row>
    <row r="880" spans="14:43" x14ac:dyDescent="0.25">
      <c r="N880" s="105">
        <f t="shared" si="234"/>
        <v>0</v>
      </c>
      <c r="O880" s="106" t="str">
        <f>IF($F880="","",IF(ISNUMBER($F880),$F880+Settings!$C$7/24,IFERROR(DATEVALUE(LEFT($F880,10))+TIMEVALUE(MID($F880,12,8))+Settings!$C$7/24,"")))</f>
        <v/>
      </c>
      <c r="P880" s="106" t="str">
        <f>IF($G880="","",IF(ISNUMBER($G880),$G880+Settings!$C$7/24,IFERROR(DATEVALUE(LEFT($G880,10))+TIMEVALUE(MID($G880,12,8))+Settings!$C$7/24,"")))</f>
        <v/>
      </c>
      <c r="Q880" s="39" t="str">
        <f t="shared" si="235"/>
        <v/>
      </c>
      <c r="R880" s="39" t="str">
        <f t="shared" si="236"/>
        <v/>
      </c>
      <c r="S880" s="107" t="str">
        <f t="shared" si="237"/>
        <v/>
      </c>
      <c r="T880" s="39" t="str">
        <f>IF($C880="","",IF(COUNTIF($C$2:$C880,$C880)=1,1,0))</f>
        <v/>
      </c>
      <c r="U880" s="39" t="str">
        <f>IF($T880=1,COUNTIF($T$2:$T880,1),"")</f>
        <v/>
      </c>
      <c r="V880" s="39" t="str">
        <f>IF($B880="","",IF(COUNTIF($B$2:$B880,$B880)=1,1,0))</f>
        <v/>
      </c>
      <c r="W880" s="39" t="str">
        <f>IF($V880=1,COUNTIF($V$2:$V880,1),"")</f>
        <v/>
      </c>
      <c r="X880" s="39" t="str">
        <f>IF($A880="","",IF(COUNTIF($A$2:$A880,$A880)=1,1,0))</f>
        <v/>
      </c>
      <c r="Y880" s="39" t="str">
        <f>IF($X880=1,COUNTIF($X$2:$X880,1),"")</f>
        <v/>
      </c>
      <c r="Z880" s="39">
        <f>IF(AND($E880="timed",$N880&gt;Settings!$C$8),1,0)</f>
        <v>0</v>
      </c>
      <c r="AA880" s="39">
        <f t="shared" si="238"/>
        <v>0</v>
      </c>
      <c r="AB880" s="39">
        <f t="shared" si="239"/>
        <v>0</v>
      </c>
      <c r="AC880" s="39" t="str">
        <f t="shared" si="240"/>
        <v/>
      </c>
      <c r="AD880" s="39" t="str">
        <f t="shared" si="241"/>
        <v/>
      </c>
      <c r="AE880" s="39" t="str">
        <f t="shared" si="242"/>
        <v/>
      </c>
      <c r="AF880" s="106" t="str">
        <f t="shared" si="243"/>
        <v/>
      </c>
      <c r="AG880" s="39">
        <f t="shared" si="244"/>
        <v>0</v>
      </c>
      <c r="AH880" s="39" t="str">
        <f t="shared" si="245"/>
        <v/>
      </c>
      <c r="AI880" s="39">
        <f>IF(AND($E880="timed",$N880&gt;=Settings!$C$9),1,0)</f>
        <v>0</v>
      </c>
      <c r="AJ880" s="39" t="str">
        <f>IF(OR($S880="",Settings!$C$16=""),"",IF($S880&lt;=Settings!$C$16,1,2))</f>
        <v/>
      </c>
      <c r="AK880" s="39" t="str">
        <f>IF($C880="","",IFERROR(IF(INDEX(Settings!$C$20:$C$59,MATCH($C880,Settings!$B$20:$B$59,0))="",Settings!$C$10,INDEX(Settings!$C$20:$C$59,MATCH($C880,Settings!$B$20:$B$59,0))),Settings!$C$10))</f>
        <v/>
      </c>
      <c r="AL880" s="108">
        <f t="shared" si="246"/>
        <v>0</v>
      </c>
      <c r="AM880" s="39" t="str">
        <f t="shared" si="247"/>
        <v/>
      </c>
      <c r="AN880" s="39" t="str">
        <f t="shared" si="248"/>
        <v/>
      </c>
      <c r="AO880" s="39" t="str">
        <f t="shared" si="249"/>
        <v/>
      </c>
      <c r="AP880" s="39">
        <f t="shared" si="250"/>
        <v>0</v>
      </c>
      <c r="AQ880" s="39">
        <f t="shared" si="251"/>
        <v>0</v>
      </c>
    </row>
    <row r="881" spans="14:43" x14ac:dyDescent="0.25">
      <c r="N881" s="105">
        <f t="shared" si="234"/>
        <v>0</v>
      </c>
      <c r="O881" s="106" t="str">
        <f>IF($F881="","",IF(ISNUMBER($F881),$F881+Settings!$C$7/24,IFERROR(DATEVALUE(LEFT($F881,10))+TIMEVALUE(MID($F881,12,8))+Settings!$C$7/24,"")))</f>
        <v/>
      </c>
      <c r="P881" s="106" t="str">
        <f>IF($G881="","",IF(ISNUMBER($G881),$G881+Settings!$C$7/24,IFERROR(DATEVALUE(LEFT($G881,10))+TIMEVALUE(MID($G881,12,8))+Settings!$C$7/24,"")))</f>
        <v/>
      </c>
      <c r="Q881" s="39" t="str">
        <f t="shared" si="235"/>
        <v/>
      </c>
      <c r="R881" s="39" t="str">
        <f t="shared" si="236"/>
        <v/>
      </c>
      <c r="S881" s="107" t="str">
        <f t="shared" si="237"/>
        <v/>
      </c>
      <c r="T881" s="39" t="str">
        <f>IF($C881="","",IF(COUNTIF($C$2:$C881,$C881)=1,1,0))</f>
        <v/>
      </c>
      <c r="U881" s="39" t="str">
        <f>IF($T881=1,COUNTIF($T$2:$T881,1),"")</f>
        <v/>
      </c>
      <c r="V881" s="39" t="str">
        <f>IF($B881="","",IF(COUNTIF($B$2:$B881,$B881)=1,1,0))</f>
        <v/>
      </c>
      <c r="W881" s="39" t="str">
        <f>IF($V881=1,COUNTIF($V$2:$V881,1),"")</f>
        <v/>
      </c>
      <c r="X881" s="39" t="str">
        <f>IF($A881="","",IF(COUNTIF($A$2:$A881,$A881)=1,1,0))</f>
        <v/>
      </c>
      <c r="Y881" s="39" t="str">
        <f>IF($X881=1,COUNTIF($X$2:$X881,1),"")</f>
        <v/>
      </c>
      <c r="Z881" s="39">
        <f>IF(AND($E881="timed",$N881&gt;Settings!$C$8),1,0)</f>
        <v>0</v>
      </c>
      <c r="AA881" s="39">
        <f t="shared" si="238"/>
        <v>0</v>
      </c>
      <c r="AB881" s="39">
        <f t="shared" si="239"/>
        <v>0</v>
      </c>
      <c r="AC881" s="39" t="str">
        <f t="shared" si="240"/>
        <v/>
      </c>
      <c r="AD881" s="39" t="str">
        <f t="shared" si="241"/>
        <v/>
      </c>
      <c r="AE881" s="39" t="str">
        <f t="shared" si="242"/>
        <v/>
      </c>
      <c r="AF881" s="106" t="str">
        <f t="shared" si="243"/>
        <v/>
      </c>
      <c r="AG881" s="39">
        <f t="shared" si="244"/>
        <v>0</v>
      </c>
      <c r="AH881" s="39" t="str">
        <f t="shared" si="245"/>
        <v/>
      </c>
      <c r="AI881" s="39">
        <f>IF(AND($E881="timed",$N881&gt;=Settings!$C$9),1,0)</f>
        <v>0</v>
      </c>
      <c r="AJ881" s="39" t="str">
        <f>IF(OR($S881="",Settings!$C$16=""),"",IF($S881&lt;=Settings!$C$16,1,2))</f>
        <v/>
      </c>
      <c r="AK881" s="39" t="str">
        <f>IF($C881="","",IFERROR(IF(INDEX(Settings!$C$20:$C$59,MATCH($C881,Settings!$B$20:$B$59,0))="",Settings!$C$10,INDEX(Settings!$C$20:$C$59,MATCH($C881,Settings!$B$20:$B$59,0))),Settings!$C$10))</f>
        <v/>
      </c>
      <c r="AL881" s="108">
        <f t="shared" si="246"/>
        <v>0</v>
      </c>
      <c r="AM881" s="39" t="str">
        <f t="shared" si="247"/>
        <v/>
      </c>
      <c r="AN881" s="39" t="str">
        <f t="shared" si="248"/>
        <v/>
      </c>
      <c r="AO881" s="39" t="str">
        <f t="shared" si="249"/>
        <v/>
      </c>
      <c r="AP881" s="39">
        <f t="shared" si="250"/>
        <v>0</v>
      </c>
      <c r="AQ881" s="39">
        <f t="shared" si="251"/>
        <v>0</v>
      </c>
    </row>
    <row r="882" spans="14:43" x14ac:dyDescent="0.25">
      <c r="N882" s="105">
        <f t="shared" si="234"/>
        <v>0</v>
      </c>
      <c r="O882" s="106" t="str">
        <f>IF($F882="","",IF(ISNUMBER($F882),$F882+Settings!$C$7/24,IFERROR(DATEVALUE(LEFT($F882,10))+TIMEVALUE(MID($F882,12,8))+Settings!$C$7/24,"")))</f>
        <v/>
      </c>
      <c r="P882" s="106" t="str">
        <f>IF($G882="","",IF(ISNUMBER($G882),$G882+Settings!$C$7/24,IFERROR(DATEVALUE(LEFT($G882,10))+TIMEVALUE(MID($G882,12,8))+Settings!$C$7/24,"")))</f>
        <v/>
      </c>
      <c r="Q882" s="39" t="str">
        <f t="shared" si="235"/>
        <v/>
      </c>
      <c r="R882" s="39" t="str">
        <f t="shared" si="236"/>
        <v/>
      </c>
      <c r="S882" s="107" t="str">
        <f t="shared" si="237"/>
        <v/>
      </c>
      <c r="T882" s="39" t="str">
        <f>IF($C882="","",IF(COUNTIF($C$2:$C882,$C882)=1,1,0))</f>
        <v/>
      </c>
      <c r="U882" s="39" t="str">
        <f>IF($T882=1,COUNTIF($T$2:$T882,1),"")</f>
        <v/>
      </c>
      <c r="V882" s="39" t="str">
        <f>IF($B882="","",IF(COUNTIF($B$2:$B882,$B882)=1,1,0))</f>
        <v/>
      </c>
      <c r="W882" s="39" t="str">
        <f>IF($V882=1,COUNTIF($V$2:$V882,1),"")</f>
        <v/>
      </c>
      <c r="X882" s="39" t="str">
        <f>IF($A882="","",IF(COUNTIF($A$2:$A882,$A882)=1,1,0))</f>
        <v/>
      </c>
      <c r="Y882" s="39" t="str">
        <f>IF($X882=1,COUNTIF($X$2:$X882,1),"")</f>
        <v/>
      </c>
      <c r="Z882" s="39">
        <f>IF(AND($E882="timed",$N882&gt;Settings!$C$8),1,0)</f>
        <v>0</v>
      </c>
      <c r="AA882" s="39">
        <f t="shared" si="238"/>
        <v>0</v>
      </c>
      <c r="AB882" s="39">
        <f t="shared" si="239"/>
        <v>0</v>
      </c>
      <c r="AC882" s="39" t="str">
        <f t="shared" si="240"/>
        <v/>
      </c>
      <c r="AD882" s="39" t="str">
        <f t="shared" si="241"/>
        <v/>
      </c>
      <c r="AE882" s="39" t="str">
        <f t="shared" si="242"/>
        <v/>
      </c>
      <c r="AF882" s="106" t="str">
        <f t="shared" si="243"/>
        <v/>
      </c>
      <c r="AG882" s="39">
        <f t="shared" si="244"/>
        <v>0</v>
      </c>
      <c r="AH882" s="39" t="str">
        <f t="shared" si="245"/>
        <v/>
      </c>
      <c r="AI882" s="39">
        <f>IF(AND($E882="timed",$N882&gt;=Settings!$C$9),1,0)</f>
        <v>0</v>
      </c>
      <c r="AJ882" s="39" t="str">
        <f>IF(OR($S882="",Settings!$C$16=""),"",IF($S882&lt;=Settings!$C$16,1,2))</f>
        <v/>
      </c>
      <c r="AK882" s="39" t="str">
        <f>IF($C882="","",IFERROR(IF(INDEX(Settings!$C$20:$C$59,MATCH($C882,Settings!$B$20:$B$59,0))="",Settings!$C$10,INDEX(Settings!$C$20:$C$59,MATCH($C882,Settings!$B$20:$B$59,0))),Settings!$C$10))</f>
        <v/>
      </c>
      <c r="AL882" s="108">
        <f t="shared" si="246"/>
        <v>0</v>
      </c>
      <c r="AM882" s="39" t="str">
        <f t="shared" si="247"/>
        <v/>
      </c>
      <c r="AN882" s="39" t="str">
        <f t="shared" si="248"/>
        <v/>
      </c>
      <c r="AO882" s="39" t="str">
        <f t="shared" si="249"/>
        <v/>
      </c>
      <c r="AP882" s="39">
        <f t="shared" si="250"/>
        <v>0</v>
      </c>
      <c r="AQ882" s="39">
        <f t="shared" si="251"/>
        <v>0</v>
      </c>
    </row>
    <row r="883" spans="14:43" x14ac:dyDescent="0.25">
      <c r="N883" s="105">
        <f t="shared" si="234"/>
        <v>0</v>
      </c>
      <c r="O883" s="106" t="str">
        <f>IF($F883="","",IF(ISNUMBER($F883),$F883+Settings!$C$7/24,IFERROR(DATEVALUE(LEFT($F883,10))+TIMEVALUE(MID($F883,12,8))+Settings!$C$7/24,"")))</f>
        <v/>
      </c>
      <c r="P883" s="106" t="str">
        <f>IF($G883="","",IF(ISNUMBER($G883),$G883+Settings!$C$7/24,IFERROR(DATEVALUE(LEFT($G883,10))+TIMEVALUE(MID($G883,12,8))+Settings!$C$7/24,"")))</f>
        <v/>
      </c>
      <c r="Q883" s="39" t="str">
        <f t="shared" si="235"/>
        <v/>
      </c>
      <c r="R883" s="39" t="str">
        <f t="shared" si="236"/>
        <v/>
      </c>
      <c r="S883" s="107" t="str">
        <f t="shared" si="237"/>
        <v/>
      </c>
      <c r="T883" s="39" t="str">
        <f>IF($C883="","",IF(COUNTIF($C$2:$C883,$C883)=1,1,0))</f>
        <v/>
      </c>
      <c r="U883" s="39" t="str">
        <f>IF($T883=1,COUNTIF($T$2:$T883,1),"")</f>
        <v/>
      </c>
      <c r="V883" s="39" t="str">
        <f>IF($B883="","",IF(COUNTIF($B$2:$B883,$B883)=1,1,0))</f>
        <v/>
      </c>
      <c r="W883" s="39" t="str">
        <f>IF($V883=1,COUNTIF($V$2:$V883,1),"")</f>
        <v/>
      </c>
      <c r="X883" s="39" t="str">
        <f>IF($A883="","",IF(COUNTIF($A$2:$A883,$A883)=1,1,0))</f>
        <v/>
      </c>
      <c r="Y883" s="39" t="str">
        <f>IF($X883=1,COUNTIF($X$2:$X883,1),"")</f>
        <v/>
      </c>
      <c r="Z883" s="39">
        <f>IF(AND($E883="timed",$N883&gt;Settings!$C$8),1,0)</f>
        <v>0</v>
      </c>
      <c r="AA883" s="39">
        <f t="shared" si="238"/>
        <v>0</v>
      </c>
      <c r="AB883" s="39">
        <f t="shared" si="239"/>
        <v>0</v>
      </c>
      <c r="AC883" s="39" t="str">
        <f t="shared" si="240"/>
        <v/>
      </c>
      <c r="AD883" s="39" t="str">
        <f t="shared" si="241"/>
        <v/>
      </c>
      <c r="AE883" s="39" t="str">
        <f t="shared" si="242"/>
        <v/>
      </c>
      <c r="AF883" s="106" t="str">
        <f t="shared" si="243"/>
        <v/>
      </c>
      <c r="AG883" s="39">
        <f t="shared" si="244"/>
        <v>0</v>
      </c>
      <c r="AH883" s="39" t="str">
        <f t="shared" si="245"/>
        <v/>
      </c>
      <c r="AI883" s="39">
        <f>IF(AND($E883="timed",$N883&gt;=Settings!$C$9),1,0)</f>
        <v>0</v>
      </c>
      <c r="AJ883" s="39" t="str">
        <f>IF(OR($S883="",Settings!$C$16=""),"",IF($S883&lt;=Settings!$C$16,1,2))</f>
        <v/>
      </c>
      <c r="AK883" s="39" t="str">
        <f>IF($C883="","",IFERROR(IF(INDEX(Settings!$C$20:$C$59,MATCH($C883,Settings!$B$20:$B$59,0))="",Settings!$C$10,INDEX(Settings!$C$20:$C$59,MATCH($C883,Settings!$B$20:$B$59,0))),Settings!$C$10))</f>
        <v/>
      </c>
      <c r="AL883" s="108">
        <f t="shared" si="246"/>
        <v>0</v>
      </c>
      <c r="AM883" s="39" t="str">
        <f t="shared" si="247"/>
        <v/>
      </c>
      <c r="AN883" s="39" t="str">
        <f t="shared" si="248"/>
        <v/>
      </c>
      <c r="AO883" s="39" t="str">
        <f t="shared" si="249"/>
        <v/>
      </c>
      <c r="AP883" s="39">
        <f t="shared" si="250"/>
        <v>0</v>
      </c>
      <c r="AQ883" s="39">
        <f t="shared" si="251"/>
        <v>0</v>
      </c>
    </row>
    <row r="884" spans="14:43" x14ac:dyDescent="0.25">
      <c r="N884" s="105">
        <f t="shared" si="234"/>
        <v>0</v>
      </c>
      <c r="O884" s="106" t="str">
        <f>IF($F884="","",IF(ISNUMBER($F884),$F884+Settings!$C$7/24,IFERROR(DATEVALUE(LEFT($F884,10))+TIMEVALUE(MID($F884,12,8))+Settings!$C$7/24,"")))</f>
        <v/>
      </c>
      <c r="P884" s="106" t="str">
        <f>IF($G884="","",IF(ISNUMBER($G884),$G884+Settings!$C$7/24,IFERROR(DATEVALUE(LEFT($G884,10))+TIMEVALUE(MID($G884,12,8))+Settings!$C$7/24,"")))</f>
        <v/>
      </c>
      <c r="Q884" s="39" t="str">
        <f t="shared" si="235"/>
        <v/>
      </c>
      <c r="R884" s="39" t="str">
        <f t="shared" si="236"/>
        <v/>
      </c>
      <c r="S884" s="107" t="str">
        <f t="shared" si="237"/>
        <v/>
      </c>
      <c r="T884" s="39" t="str">
        <f>IF($C884="","",IF(COUNTIF($C$2:$C884,$C884)=1,1,0))</f>
        <v/>
      </c>
      <c r="U884" s="39" t="str">
        <f>IF($T884=1,COUNTIF($T$2:$T884,1),"")</f>
        <v/>
      </c>
      <c r="V884" s="39" t="str">
        <f>IF($B884="","",IF(COUNTIF($B$2:$B884,$B884)=1,1,0))</f>
        <v/>
      </c>
      <c r="W884" s="39" t="str">
        <f>IF($V884=1,COUNTIF($V$2:$V884,1),"")</f>
        <v/>
      </c>
      <c r="X884" s="39" t="str">
        <f>IF($A884="","",IF(COUNTIF($A$2:$A884,$A884)=1,1,0))</f>
        <v/>
      </c>
      <c r="Y884" s="39" t="str">
        <f>IF($X884=1,COUNTIF($X$2:$X884,1),"")</f>
        <v/>
      </c>
      <c r="Z884" s="39">
        <f>IF(AND($E884="timed",$N884&gt;Settings!$C$8),1,0)</f>
        <v>0</v>
      </c>
      <c r="AA884" s="39">
        <f t="shared" si="238"/>
        <v>0</v>
      </c>
      <c r="AB884" s="39">
        <f t="shared" si="239"/>
        <v>0</v>
      </c>
      <c r="AC884" s="39" t="str">
        <f t="shared" si="240"/>
        <v/>
      </c>
      <c r="AD884" s="39" t="str">
        <f t="shared" si="241"/>
        <v/>
      </c>
      <c r="AE884" s="39" t="str">
        <f t="shared" si="242"/>
        <v/>
      </c>
      <c r="AF884" s="106" t="str">
        <f t="shared" si="243"/>
        <v/>
      </c>
      <c r="AG884" s="39">
        <f t="shared" si="244"/>
        <v>0</v>
      </c>
      <c r="AH884" s="39" t="str">
        <f t="shared" si="245"/>
        <v/>
      </c>
      <c r="AI884" s="39">
        <f>IF(AND($E884="timed",$N884&gt;=Settings!$C$9),1,0)</f>
        <v>0</v>
      </c>
      <c r="AJ884" s="39" t="str">
        <f>IF(OR($S884="",Settings!$C$16=""),"",IF($S884&lt;=Settings!$C$16,1,2))</f>
        <v/>
      </c>
      <c r="AK884" s="39" t="str">
        <f>IF($C884="","",IFERROR(IF(INDEX(Settings!$C$20:$C$59,MATCH($C884,Settings!$B$20:$B$59,0))="",Settings!$C$10,INDEX(Settings!$C$20:$C$59,MATCH($C884,Settings!$B$20:$B$59,0))),Settings!$C$10))</f>
        <v/>
      </c>
      <c r="AL884" s="108">
        <f t="shared" si="246"/>
        <v>0</v>
      </c>
      <c r="AM884" s="39" t="str">
        <f t="shared" si="247"/>
        <v/>
      </c>
      <c r="AN884" s="39" t="str">
        <f t="shared" si="248"/>
        <v/>
      </c>
      <c r="AO884" s="39" t="str">
        <f t="shared" si="249"/>
        <v/>
      </c>
      <c r="AP884" s="39">
        <f t="shared" si="250"/>
        <v>0</v>
      </c>
      <c r="AQ884" s="39">
        <f t="shared" si="251"/>
        <v>0</v>
      </c>
    </row>
    <row r="885" spans="14:43" x14ac:dyDescent="0.25">
      <c r="N885" s="105">
        <f t="shared" si="234"/>
        <v>0</v>
      </c>
      <c r="O885" s="106" t="str">
        <f>IF($F885="","",IF(ISNUMBER($F885),$F885+Settings!$C$7/24,IFERROR(DATEVALUE(LEFT($F885,10))+TIMEVALUE(MID($F885,12,8))+Settings!$C$7/24,"")))</f>
        <v/>
      </c>
      <c r="P885" s="106" t="str">
        <f>IF($G885="","",IF(ISNUMBER($G885),$G885+Settings!$C$7/24,IFERROR(DATEVALUE(LEFT($G885,10))+TIMEVALUE(MID($G885,12,8))+Settings!$C$7/24,"")))</f>
        <v/>
      </c>
      <c r="Q885" s="39" t="str">
        <f t="shared" si="235"/>
        <v/>
      </c>
      <c r="R885" s="39" t="str">
        <f t="shared" si="236"/>
        <v/>
      </c>
      <c r="S885" s="107" t="str">
        <f t="shared" si="237"/>
        <v/>
      </c>
      <c r="T885" s="39" t="str">
        <f>IF($C885="","",IF(COUNTIF($C$2:$C885,$C885)=1,1,0))</f>
        <v/>
      </c>
      <c r="U885" s="39" t="str">
        <f>IF($T885=1,COUNTIF($T$2:$T885,1),"")</f>
        <v/>
      </c>
      <c r="V885" s="39" t="str">
        <f>IF($B885="","",IF(COUNTIF($B$2:$B885,$B885)=1,1,0))</f>
        <v/>
      </c>
      <c r="W885" s="39" t="str">
        <f>IF($V885=1,COUNTIF($V$2:$V885,1),"")</f>
        <v/>
      </c>
      <c r="X885" s="39" t="str">
        <f>IF($A885="","",IF(COUNTIF($A$2:$A885,$A885)=1,1,0))</f>
        <v/>
      </c>
      <c r="Y885" s="39" t="str">
        <f>IF($X885=1,COUNTIF($X$2:$X885,1),"")</f>
        <v/>
      </c>
      <c r="Z885" s="39">
        <f>IF(AND($E885="timed",$N885&gt;Settings!$C$8),1,0)</f>
        <v>0</v>
      </c>
      <c r="AA885" s="39">
        <f t="shared" si="238"/>
        <v>0</v>
      </c>
      <c r="AB885" s="39">
        <f t="shared" si="239"/>
        <v>0</v>
      </c>
      <c r="AC885" s="39" t="str">
        <f t="shared" si="240"/>
        <v/>
      </c>
      <c r="AD885" s="39" t="str">
        <f t="shared" si="241"/>
        <v/>
      </c>
      <c r="AE885" s="39" t="str">
        <f t="shared" si="242"/>
        <v/>
      </c>
      <c r="AF885" s="106" t="str">
        <f t="shared" si="243"/>
        <v/>
      </c>
      <c r="AG885" s="39">
        <f t="shared" si="244"/>
        <v>0</v>
      </c>
      <c r="AH885" s="39" t="str">
        <f t="shared" si="245"/>
        <v/>
      </c>
      <c r="AI885" s="39">
        <f>IF(AND($E885="timed",$N885&gt;=Settings!$C$9),1,0)</f>
        <v>0</v>
      </c>
      <c r="AJ885" s="39" t="str">
        <f>IF(OR($S885="",Settings!$C$16=""),"",IF($S885&lt;=Settings!$C$16,1,2))</f>
        <v/>
      </c>
      <c r="AK885" s="39" t="str">
        <f>IF($C885="","",IFERROR(IF(INDEX(Settings!$C$20:$C$59,MATCH($C885,Settings!$B$20:$B$59,0))="",Settings!$C$10,INDEX(Settings!$C$20:$C$59,MATCH($C885,Settings!$B$20:$B$59,0))),Settings!$C$10))</f>
        <v/>
      </c>
      <c r="AL885" s="108">
        <f t="shared" si="246"/>
        <v>0</v>
      </c>
      <c r="AM885" s="39" t="str">
        <f t="shared" si="247"/>
        <v/>
      </c>
      <c r="AN885" s="39" t="str">
        <f t="shared" si="248"/>
        <v/>
      </c>
      <c r="AO885" s="39" t="str">
        <f t="shared" si="249"/>
        <v/>
      </c>
      <c r="AP885" s="39">
        <f t="shared" si="250"/>
        <v>0</v>
      </c>
      <c r="AQ885" s="39">
        <f t="shared" si="251"/>
        <v>0</v>
      </c>
    </row>
    <row r="886" spans="14:43" x14ac:dyDescent="0.25">
      <c r="N886" s="105">
        <f t="shared" si="234"/>
        <v>0</v>
      </c>
      <c r="O886" s="106" t="str">
        <f>IF($F886="","",IF(ISNUMBER($F886),$F886+Settings!$C$7/24,IFERROR(DATEVALUE(LEFT($F886,10))+TIMEVALUE(MID($F886,12,8))+Settings!$C$7/24,"")))</f>
        <v/>
      </c>
      <c r="P886" s="106" t="str">
        <f>IF($G886="","",IF(ISNUMBER($G886),$G886+Settings!$C$7/24,IFERROR(DATEVALUE(LEFT($G886,10))+TIMEVALUE(MID($G886,12,8))+Settings!$C$7/24,"")))</f>
        <v/>
      </c>
      <c r="Q886" s="39" t="str">
        <f t="shared" si="235"/>
        <v/>
      </c>
      <c r="R886" s="39" t="str">
        <f t="shared" si="236"/>
        <v/>
      </c>
      <c r="S886" s="107" t="str">
        <f t="shared" si="237"/>
        <v/>
      </c>
      <c r="T886" s="39" t="str">
        <f>IF($C886="","",IF(COUNTIF($C$2:$C886,$C886)=1,1,0))</f>
        <v/>
      </c>
      <c r="U886" s="39" t="str">
        <f>IF($T886=1,COUNTIF($T$2:$T886,1),"")</f>
        <v/>
      </c>
      <c r="V886" s="39" t="str">
        <f>IF($B886="","",IF(COUNTIF($B$2:$B886,$B886)=1,1,0))</f>
        <v/>
      </c>
      <c r="W886" s="39" t="str">
        <f>IF($V886=1,COUNTIF($V$2:$V886,1),"")</f>
        <v/>
      </c>
      <c r="X886" s="39" t="str">
        <f>IF($A886="","",IF(COUNTIF($A$2:$A886,$A886)=1,1,0))</f>
        <v/>
      </c>
      <c r="Y886" s="39" t="str">
        <f>IF($X886=1,COUNTIF($X$2:$X886,1),"")</f>
        <v/>
      </c>
      <c r="Z886" s="39">
        <f>IF(AND($E886="timed",$N886&gt;Settings!$C$8),1,0)</f>
        <v>0</v>
      </c>
      <c r="AA886" s="39">
        <f t="shared" si="238"/>
        <v>0</v>
      </c>
      <c r="AB886" s="39">
        <f t="shared" si="239"/>
        <v>0</v>
      </c>
      <c r="AC886" s="39" t="str">
        <f t="shared" si="240"/>
        <v/>
      </c>
      <c r="AD886" s="39" t="str">
        <f t="shared" si="241"/>
        <v/>
      </c>
      <c r="AE886" s="39" t="str">
        <f t="shared" si="242"/>
        <v/>
      </c>
      <c r="AF886" s="106" t="str">
        <f t="shared" si="243"/>
        <v/>
      </c>
      <c r="AG886" s="39">
        <f t="shared" si="244"/>
        <v>0</v>
      </c>
      <c r="AH886" s="39" t="str">
        <f t="shared" si="245"/>
        <v/>
      </c>
      <c r="AI886" s="39">
        <f>IF(AND($E886="timed",$N886&gt;=Settings!$C$9),1,0)</f>
        <v>0</v>
      </c>
      <c r="AJ886" s="39" t="str">
        <f>IF(OR($S886="",Settings!$C$16=""),"",IF($S886&lt;=Settings!$C$16,1,2))</f>
        <v/>
      </c>
      <c r="AK886" s="39" t="str">
        <f>IF($C886="","",IFERROR(IF(INDEX(Settings!$C$20:$C$59,MATCH($C886,Settings!$B$20:$B$59,0))="",Settings!$C$10,INDEX(Settings!$C$20:$C$59,MATCH($C886,Settings!$B$20:$B$59,0))),Settings!$C$10))</f>
        <v/>
      </c>
      <c r="AL886" s="108">
        <f t="shared" si="246"/>
        <v>0</v>
      </c>
      <c r="AM886" s="39" t="str">
        <f t="shared" si="247"/>
        <v/>
      </c>
      <c r="AN886" s="39" t="str">
        <f t="shared" si="248"/>
        <v/>
      </c>
      <c r="AO886" s="39" t="str">
        <f t="shared" si="249"/>
        <v/>
      </c>
      <c r="AP886" s="39">
        <f t="shared" si="250"/>
        <v>0</v>
      </c>
      <c r="AQ886" s="39">
        <f t="shared" si="251"/>
        <v>0</v>
      </c>
    </row>
    <row r="887" spans="14:43" x14ac:dyDescent="0.25">
      <c r="N887" s="105">
        <f t="shared" si="234"/>
        <v>0</v>
      </c>
      <c r="O887" s="106" t="str">
        <f>IF($F887="","",IF(ISNUMBER($F887),$F887+Settings!$C$7/24,IFERROR(DATEVALUE(LEFT($F887,10))+TIMEVALUE(MID($F887,12,8))+Settings!$C$7/24,"")))</f>
        <v/>
      </c>
      <c r="P887" s="106" t="str">
        <f>IF($G887="","",IF(ISNUMBER($G887),$G887+Settings!$C$7/24,IFERROR(DATEVALUE(LEFT($G887,10))+TIMEVALUE(MID($G887,12,8))+Settings!$C$7/24,"")))</f>
        <v/>
      </c>
      <c r="Q887" s="39" t="str">
        <f t="shared" si="235"/>
        <v/>
      </c>
      <c r="R887" s="39" t="str">
        <f t="shared" si="236"/>
        <v/>
      </c>
      <c r="S887" s="107" t="str">
        <f t="shared" si="237"/>
        <v/>
      </c>
      <c r="T887" s="39" t="str">
        <f>IF($C887="","",IF(COUNTIF($C$2:$C887,$C887)=1,1,0))</f>
        <v/>
      </c>
      <c r="U887" s="39" t="str">
        <f>IF($T887=1,COUNTIF($T$2:$T887,1),"")</f>
        <v/>
      </c>
      <c r="V887" s="39" t="str">
        <f>IF($B887="","",IF(COUNTIF($B$2:$B887,$B887)=1,1,0))</f>
        <v/>
      </c>
      <c r="W887" s="39" t="str">
        <f>IF($V887=1,COUNTIF($V$2:$V887,1),"")</f>
        <v/>
      </c>
      <c r="X887" s="39" t="str">
        <f>IF($A887="","",IF(COUNTIF($A$2:$A887,$A887)=1,1,0))</f>
        <v/>
      </c>
      <c r="Y887" s="39" t="str">
        <f>IF($X887=1,COUNTIF($X$2:$X887,1),"")</f>
        <v/>
      </c>
      <c r="Z887" s="39">
        <f>IF(AND($E887="timed",$N887&gt;Settings!$C$8),1,0)</f>
        <v>0</v>
      </c>
      <c r="AA887" s="39">
        <f t="shared" si="238"/>
        <v>0</v>
      </c>
      <c r="AB887" s="39">
        <f t="shared" si="239"/>
        <v>0</v>
      </c>
      <c r="AC887" s="39" t="str">
        <f t="shared" si="240"/>
        <v/>
      </c>
      <c r="AD887" s="39" t="str">
        <f t="shared" si="241"/>
        <v/>
      </c>
      <c r="AE887" s="39" t="str">
        <f t="shared" si="242"/>
        <v/>
      </c>
      <c r="AF887" s="106" t="str">
        <f t="shared" si="243"/>
        <v/>
      </c>
      <c r="AG887" s="39">
        <f t="shared" si="244"/>
        <v>0</v>
      </c>
      <c r="AH887" s="39" t="str">
        <f t="shared" si="245"/>
        <v/>
      </c>
      <c r="AI887" s="39">
        <f>IF(AND($E887="timed",$N887&gt;=Settings!$C$9),1,0)</f>
        <v>0</v>
      </c>
      <c r="AJ887" s="39" t="str">
        <f>IF(OR($S887="",Settings!$C$16=""),"",IF($S887&lt;=Settings!$C$16,1,2))</f>
        <v/>
      </c>
      <c r="AK887" s="39" t="str">
        <f>IF($C887="","",IFERROR(IF(INDEX(Settings!$C$20:$C$59,MATCH($C887,Settings!$B$20:$B$59,0))="",Settings!$C$10,INDEX(Settings!$C$20:$C$59,MATCH($C887,Settings!$B$20:$B$59,0))),Settings!$C$10))</f>
        <v/>
      </c>
      <c r="AL887" s="108">
        <f t="shared" si="246"/>
        <v>0</v>
      </c>
      <c r="AM887" s="39" t="str">
        <f t="shared" si="247"/>
        <v/>
      </c>
      <c r="AN887" s="39" t="str">
        <f t="shared" si="248"/>
        <v/>
      </c>
      <c r="AO887" s="39" t="str">
        <f t="shared" si="249"/>
        <v/>
      </c>
      <c r="AP887" s="39">
        <f t="shared" si="250"/>
        <v>0</v>
      </c>
      <c r="AQ887" s="39">
        <f t="shared" si="251"/>
        <v>0</v>
      </c>
    </row>
    <row r="888" spans="14:43" x14ac:dyDescent="0.25">
      <c r="N888" s="105">
        <f t="shared" si="234"/>
        <v>0</v>
      </c>
      <c r="O888" s="106" t="str">
        <f>IF($F888="","",IF(ISNUMBER($F888),$F888+Settings!$C$7/24,IFERROR(DATEVALUE(LEFT($F888,10))+TIMEVALUE(MID($F888,12,8))+Settings!$C$7/24,"")))</f>
        <v/>
      </c>
      <c r="P888" s="106" t="str">
        <f>IF($G888="","",IF(ISNUMBER($G888),$G888+Settings!$C$7/24,IFERROR(DATEVALUE(LEFT($G888,10))+TIMEVALUE(MID($G888,12,8))+Settings!$C$7/24,"")))</f>
        <v/>
      </c>
      <c r="Q888" s="39" t="str">
        <f t="shared" si="235"/>
        <v/>
      </c>
      <c r="R888" s="39" t="str">
        <f t="shared" si="236"/>
        <v/>
      </c>
      <c r="S888" s="107" t="str">
        <f t="shared" si="237"/>
        <v/>
      </c>
      <c r="T888" s="39" t="str">
        <f>IF($C888="","",IF(COUNTIF($C$2:$C888,$C888)=1,1,0))</f>
        <v/>
      </c>
      <c r="U888" s="39" t="str">
        <f>IF($T888=1,COUNTIF($T$2:$T888,1),"")</f>
        <v/>
      </c>
      <c r="V888" s="39" t="str">
        <f>IF($B888="","",IF(COUNTIF($B$2:$B888,$B888)=1,1,0))</f>
        <v/>
      </c>
      <c r="W888" s="39" t="str">
        <f>IF($V888=1,COUNTIF($V$2:$V888,1),"")</f>
        <v/>
      </c>
      <c r="X888" s="39" t="str">
        <f>IF($A888="","",IF(COUNTIF($A$2:$A888,$A888)=1,1,0))</f>
        <v/>
      </c>
      <c r="Y888" s="39" t="str">
        <f>IF($X888=1,COUNTIF($X$2:$X888,1),"")</f>
        <v/>
      </c>
      <c r="Z888" s="39">
        <f>IF(AND($E888="timed",$N888&gt;Settings!$C$8),1,0)</f>
        <v>0</v>
      </c>
      <c r="AA888" s="39">
        <f t="shared" si="238"/>
        <v>0</v>
      </c>
      <c r="AB888" s="39">
        <f t="shared" si="239"/>
        <v>0</v>
      </c>
      <c r="AC888" s="39" t="str">
        <f t="shared" si="240"/>
        <v/>
      </c>
      <c r="AD888" s="39" t="str">
        <f t="shared" si="241"/>
        <v/>
      </c>
      <c r="AE888" s="39" t="str">
        <f t="shared" si="242"/>
        <v/>
      </c>
      <c r="AF888" s="106" t="str">
        <f t="shared" si="243"/>
        <v/>
      </c>
      <c r="AG888" s="39">
        <f t="shared" si="244"/>
        <v>0</v>
      </c>
      <c r="AH888" s="39" t="str">
        <f t="shared" si="245"/>
        <v/>
      </c>
      <c r="AI888" s="39">
        <f>IF(AND($E888="timed",$N888&gt;=Settings!$C$9),1,0)</f>
        <v>0</v>
      </c>
      <c r="AJ888" s="39" t="str">
        <f>IF(OR($S888="",Settings!$C$16=""),"",IF($S888&lt;=Settings!$C$16,1,2))</f>
        <v/>
      </c>
      <c r="AK888" s="39" t="str">
        <f>IF($C888="","",IFERROR(IF(INDEX(Settings!$C$20:$C$59,MATCH($C888,Settings!$B$20:$B$59,0))="",Settings!$C$10,INDEX(Settings!$C$20:$C$59,MATCH($C888,Settings!$B$20:$B$59,0))),Settings!$C$10))</f>
        <v/>
      </c>
      <c r="AL888" s="108">
        <f t="shared" si="246"/>
        <v>0</v>
      </c>
      <c r="AM888" s="39" t="str">
        <f t="shared" si="247"/>
        <v/>
      </c>
      <c r="AN888" s="39" t="str">
        <f t="shared" si="248"/>
        <v/>
      </c>
      <c r="AO888" s="39" t="str">
        <f t="shared" si="249"/>
        <v/>
      </c>
      <c r="AP888" s="39">
        <f t="shared" si="250"/>
        <v>0</v>
      </c>
      <c r="AQ888" s="39">
        <f t="shared" si="251"/>
        <v>0</v>
      </c>
    </row>
    <row r="889" spans="14:43" x14ac:dyDescent="0.25">
      <c r="N889" s="105">
        <f t="shared" si="234"/>
        <v>0</v>
      </c>
      <c r="O889" s="106" t="str">
        <f>IF($F889="","",IF(ISNUMBER($F889),$F889+Settings!$C$7/24,IFERROR(DATEVALUE(LEFT($F889,10))+TIMEVALUE(MID($F889,12,8))+Settings!$C$7/24,"")))</f>
        <v/>
      </c>
      <c r="P889" s="106" t="str">
        <f>IF($G889="","",IF(ISNUMBER($G889),$G889+Settings!$C$7/24,IFERROR(DATEVALUE(LEFT($G889,10))+TIMEVALUE(MID($G889,12,8))+Settings!$C$7/24,"")))</f>
        <v/>
      </c>
      <c r="Q889" s="39" t="str">
        <f t="shared" si="235"/>
        <v/>
      </c>
      <c r="R889" s="39" t="str">
        <f t="shared" si="236"/>
        <v/>
      </c>
      <c r="S889" s="107" t="str">
        <f t="shared" si="237"/>
        <v/>
      </c>
      <c r="T889" s="39" t="str">
        <f>IF($C889="","",IF(COUNTIF($C$2:$C889,$C889)=1,1,0))</f>
        <v/>
      </c>
      <c r="U889" s="39" t="str">
        <f>IF($T889=1,COUNTIF($T$2:$T889,1),"")</f>
        <v/>
      </c>
      <c r="V889" s="39" t="str">
        <f>IF($B889="","",IF(COUNTIF($B$2:$B889,$B889)=1,1,0))</f>
        <v/>
      </c>
      <c r="W889" s="39" t="str">
        <f>IF($V889=1,COUNTIF($V$2:$V889,1),"")</f>
        <v/>
      </c>
      <c r="X889" s="39" t="str">
        <f>IF($A889="","",IF(COUNTIF($A$2:$A889,$A889)=1,1,0))</f>
        <v/>
      </c>
      <c r="Y889" s="39" t="str">
        <f>IF($X889=1,COUNTIF($X$2:$X889,1),"")</f>
        <v/>
      </c>
      <c r="Z889" s="39">
        <f>IF(AND($E889="timed",$N889&gt;Settings!$C$8),1,0)</f>
        <v>0</v>
      </c>
      <c r="AA889" s="39">
        <f t="shared" si="238"/>
        <v>0</v>
      </c>
      <c r="AB889" s="39">
        <f t="shared" si="239"/>
        <v>0</v>
      </c>
      <c r="AC889" s="39" t="str">
        <f t="shared" si="240"/>
        <v/>
      </c>
      <c r="AD889" s="39" t="str">
        <f t="shared" si="241"/>
        <v/>
      </c>
      <c r="AE889" s="39" t="str">
        <f t="shared" si="242"/>
        <v/>
      </c>
      <c r="AF889" s="106" t="str">
        <f t="shared" si="243"/>
        <v/>
      </c>
      <c r="AG889" s="39">
        <f t="shared" si="244"/>
        <v>0</v>
      </c>
      <c r="AH889" s="39" t="str">
        <f t="shared" si="245"/>
        <v/>
      </c>
      <c r="AI889" s="39">
        <f>IF(AND($E889="timed",$N889&gt;=Settings!$C$9),1,0)</f>
        <v>0</v>
      </c>
      <c r="AJ889" s="39" t="str">
        <f>IF(OR($S889="",Settings!$C$16=""),"",IF($S889&lt;=Settings!$C$16,1,2))</f>
        <v/>
      </c>
      <c r="AK889" s="39" t="str">
        <f>IF($C889="","",IFERROR(IF(INDEX(Settings!$C$20:$C$59,MATCH($C889,Settings!$B$20:$B$59,0))="",Settings!$C$10,INDEX(Settings!$C$20:$C$59,MATCH($C889,Settings!$B$20:$B$59,0))),Settings!$C$10))</f>
        <v/>
      </c>
      <c r="AL889" s="108">
        <f t="shared" si="246"/>
        <v>0</v>
      </c>
      <c r="AM889" s="39" t="str">
        <f t="shared" si="247"/>
        <v/>
      </c>
      <c r="AN889" s="39" t="str">
        <f t="shared" si="248"/>
        <v/>
      </c>
      <c r="AO889" s="39" t="str">
        <f t="shared" si="249"/>
        <v/>
      </c>
      <c r="AP889" s="39">
        <f t="shared" si="250"/>
        <v>0</v>
      </c>
      <c r="AQ889" s="39">
        <f t="shared" si="251"/>
        <v>0</v>
      </c>
    </row>
    <row r="890" spans="14:43" x14ac:dyDescent="0.25">
      <c r="N890" s="105">
        <f t="shared" si="234"/>
        <v>0</v>
      </c>
      <c r="O890" s="106" t="str">
        <f>IF($F890="","",IF(ISNUMBER($F890),$F890+Settings!$C$7/24,IFERROR(DATEVALUE(LEFT($F890,10))+TIMEVALUE(MID($F890,12,8))+Settings!$C$7/24,"")))</f>
        <v/>
      </c>
      <c r="P890" s="106" t="str">
        <f>IF($G890="","",IF(ISNUMBER($G890),$G890+Settings!$C$7/24,IFERROR(DATEVALUE(LEFT($G890,10))+TIMEVALUE(MID($G890,12,8))+Settings!$C$7/24,"")))</f>
        <v/>
      </c>
      <c r="Q890" s="39" t="str">
        <f t="shared" si="235"/>
        <v/>
      </c>
      <c r="R890" s="39" t="str">
        <f t="shared" si="236"/>
        <v/>
      </c>
      <c r="S890" s="107" t="str">
        <f t="shared" si="237"/>
        <v/>
      </c>
      <c r="T890" s="39" t="str">
        <f>IF($C890="","",IF(COUNTIF($C$2:$C890,$C890)=1,1,0))</f>
        <v/>
      </c>
      <c r="U890" s="39" t="str">
        <f>IF($T890=1,COUNTIF($T$2:$T890,1),"")</f>
        <v/>
      </c>
      <c r="V890" s="39" t="str">
        <f>IF($B890="","",IF(COUNTIF($B$2:$B890,$B890)=1,1,0))</f>
        <v/>
      </c>
      <c r="W890" s="39" t="str">
        <f>IF($V890=1,COUNTIF($V$2:$V890,1),"")</f>
        <v/>
      </c>
      <c r="X890" s="39" t="str">
        <f>IF($A890="","",IF(COUNTIF($A$2:$A890,$A890)=1,1,0))</f>
        <v/>
      </c>
      <c r="Y890" s="39" t="str">
        <f>IF($X890=1,COUNTIF($X$2:$X890,1),"")</f>
        <v/>
      </c>
      <c r="Z890" s="39">
        <f>IF(AND($E890="timed",$N890&gt;Settings!$C$8),1,0)</f>
        <v>0</v>
      </c>
      <c r="AA890" s="39">
        <f t="shared" si="238"/>
        <v>0</v>
      </c>
      <c r="AB890" s="39">
        <f t="shared" si="239"/>
        <v>0</v>
      </c>
      <c r="AC890" s="39" t="str">
        <f t="shared" si="240"/>
        <v/>
      </c>
      <c r="AD890" s="39" t="str">
        <f t="shared" si="241"/>
        <v/>
      </c>
      <c r="AE890" s="39" t="str">
        <f t="shared" si="242"/>
        <v/>
      </c>
      <c r="AF890" s="106" t="str">
        <f t="shared" si="243"/>
        <v/>
      </c>
      <c r="AG890" s="39">
        <f t="shared" si="244"/>
        <v>0</v>
      </c>
      <c r="AH890" s="39" t="str">
        <f t="shared" si="245"/>
        <v/>
      </c>
      <c r="AI890" s="39">
        <f>IF(AND($E890="timed",$N890&gt;=Settings!$C$9),1,0)</f>
        <v>0</v>
      </c>
      <c r="AJ890" s="39" t="str">
        <f>IF(OR($S890="",Settings!$C$16=""),"",IF($S890&lt;=Settings!$C$16,1,2))</f>
        <v/>
      </c>
      <c r="AK890" s="39" t="str">
        <f>IF($C890="","",IFERROR(IF(INDEX(Settings!$C$20:$C$59,MATCH($C890,Settings!$B$20:$B$59,0))="",Settings!$C$10,INDEX(Settings!$C$20:$C$59,MATCH($C890,Settings!$B$20:$B$59,0))),Settings!$C$10))</f>
        <v/>
      </c>
      <c r="AL890" s="108">
        <f t="shared" si="246"/>
        <v>0</v>
      </c>
      <c r="AM890" s="39" t="str">
        <f t="shared" si="247"/>
        <v/>
      </c>
      <c r="AN890" s="39" t="str">
        <f t="shared" si="248"/>
        <v/>
      </c>
      <c r="AO890" s="39" t="str">
        <f t="shared" si="249"/>
        <v/>
      </c>
      <c r="AP890" s="39">
        <f t="shared" si="250"/>
        <v>0</v>
      </c>
      <c r="AQ890" s="39">
        <f t="shared" si="251"/>
        <v>0</v>
      </c>
    </row>
    <row r="891" spans="14:43" x14ac:dyDescent="0.25">
      <c r="N891" s="105">
        <f t="shared" si="234"/>
        <v>0</v>
      </c>
      <c r="O891" s="106" t="str">
        <f>IF($F891="","",IF(ISNUMBER($F891),$F891+Settings!$C$7/24,IFERROR(DATEVALUE(LEFT($F891,10))+TIMEVALUE(MID($F891,12,8))+Settings!$C$7/24,"")))</f>
        <v/>
      </c>
      <c r="P891" s="106" t="str">
        <f>IF($G891="","",IF(ISNUMBER($G891),$G891+Settings!$C$7/24,IFERROR(DATEVALUE(LEFT($G891,10))+TIMEVALUE(MID($G891,12,8))+Settings!$C$7/24,"")))</f>
        <v/>
      </c>
      <c r="Q891" s="39" t="str">
        <f t="shared" si="235"/>
        <v/>
      </c>
      <c r="R891" s="39" t="str">
        <f t="shared" si="236"/>
        <v/>
      </c>
      <c r="S891" s="107" t="str">
        <f t="shared" si="237"/>
        <v/>
      </c>
      <c r="T891" s="39" t="str">
        <f>IF($C891="","",IF(COUNTIF($C$2:$C891,$C891)=1,1,0))</f>
        <v/>
      </c>
      <c r="U891" s="39" t="str">
        <f>IF($T891=1,COUNTIF($T$2:$T891,1),"")</f>
        <v/>
      </c>
      <c r="V891" s="39" t="str">
        <f>IF($B891="","",IF(COUNTIF($B$2:$B891,$B891)=1,1,0))</f>
        <v/>
      </c>
      <c r="W891" s="39" t="str">
        <f>IF($V891=1,COUNTIF($V$2:$V891,1),"")</f>
        <v/>
      </c>
      <c r="X891" s="39" t="str">
        <f>IF($A891="","",IF(COUNTIF($A$2:$A891,$A891)=1,1,0))</f>
        <v/>
      </c>
      <c r="Y891" s="39" t="str">
        <f>IF($X891=1,COUNTIF($X$2:$X891,1),"")</f>
        <v/>
      </c>
      <c r="Z891" s="39">
        <f>IF(AND($E891="timed",$N891&gt;Settings!$C$8),1,0)</f>
        <v>0</v>
      </c>
      <c r="AA891" s="39">
        <f t="shared" si="238"/>
        <v>0</v>
      </c>
      <c r="AB891" s="39">
        <f t="shared" si="239"/>
        <v>0</v>
      </c>
      <c r="AC891" s="39" t="str">
        <f t="shared" si="240"/>
        <v/>
      </c>
      <c r="AD891" s="39" t="str">
        <f t="shared" si="241"/>
        <v/>
      </c>
      <c r="AE891" s="39" t="str">
        <f t="shared" si="242"/>
        <v/>
      </c>
      <c r="AF891" s="106" t="str">
        <f t="shared" si="243"/>
        <v/>
      </c>
      <c r="AG891" s="39">
        <f t="shared" si="244"/>
        <v>0</v>
      </c>
      <c r="AH891" s="39" t="str">
        <f t="shared" si="245"/>
        <v/>
      </c>
      <c r="AI891" s="39">
        <f>IF(AND($E891="timed",$N891&gt;=Settings!$C$9),1,0)</f>
        <v>0</v>
      </c>
      <c r="AJ891" s="39" t="str">
        <f>IF(OR($S891="",Settings!$C$16=""),"",IF($S891&lt;=Settings!$C$16,1,2))</f>
        <v/>
      </c>
      <c r="AK891" s="39" t="str">
        <f>IF($C891="","",IFERROR(IF(INDEX(Settings!$C$20:$C$59,MATCH($C891,Settings!$B$20:$B$59,0))="",Settings!$C$10,INDEX(Settings!$C$20:$C$59,MATCH($C891,Settings!$B$20:$B$59,0))),Settings!$C$10))</f>
        <v/>
      </c>
      <c r="AL891" s="108">
        <f t="shared" si="246"/>
        <v>0</v>
      </c>
      <c r="AM891" s="39" t="str">
        <f t="shared" si="247"/>
        <v/>
      </c>
      <c r="AN891" s="39" t="str">
        <f t="shared" si="248"/>
        <v/>
      </c>
      <c r="AO891" s="39" t="str">
        <f t="shared" si="249"/>
        <v/>
      </c>
      <c r="AP891" s="39">
        <f t="shared" si="250"/>
        <v>0</v>
      </c>
      <c r="AQ891" s="39">
        <f t="shared" si="251"/>
        <v>0</v>
      </c>
    </row>
    <row r="892" spans="14:43" x14ac:dyDescent="0.25">
      <c r="N892" s="105">
        <f t="shared" si="234"/>
        <v>0</v>
      </c>
      <c r="O892" s="106" t="str">
        <f>IF($F892="","",IF(ISNUMBER($F892),$F892+Settings!$C$7/24,IFERROR(DATEVALUE(LEFT($F892,10))+TIMEVALUE(MID($F892,12,8))+Settings!$C$7/24,"")))</f>
        <v/>
      </c>
      <c r="P892" s="106" t="str">
        <f>IF($G892="","",IF(ISNUMBER($G892),$G892+Settings!$C$7/24,IFERROR(DATEVALUE(LEFT($G892,10))+TIMEVALUE(MID($G892,12,8))+Settings!$C$7/24,"")))</f>
        <v/>
      </c>
      <c r="Q892" s="39" t="str">
        <f t="shared" si="235"/>
        <v/>
      </c>
      <c r="R892" s="39" t="str">
        <f t="shared" si="236"/>
        <v/>
      </c>
      <c r="S892" s="107" t="str">
        <f t="shared" si="237"/>
        <v/>
      </c>
      <c r="T892" s="39" t="str">
        <f>IF($C892="","",IF(COUNTIF($C$2:$C892,$C892)=1,1,0))</f>
        <v/>
      </c>
      <c r="U892" s="39" t="str">
        <f>IF($T892=1,COUNTIF($T$2:$T892,1),"")</f>
        <v/>
      </c>
      <c r="V892" s="39" t="str">
        <f>IF($B892="","",IF(COUNTIF($B$2:$B892,$B892)=1,1,0))</f>
        <v/>
      </c>
      <c r="W892" s="39" t="str">
        <f>IF($V892=1,COUNTIF($V$2:$V892,1),"")</f>
        <v/>
      </c>
      <c r="X892" s="39" t="str">
        <f>IF($A892="","",IF(COUNTIF($A$2:$A892,$A892)=1,1,0))</f>
        <v/>
      </c>
      <c r="Y892" s="39" t="str">
        <f>IF($X892=1,COUNTIF($X$2:$X892,1),"")</f>
        <v/>
      </c>
      <c r="Z892" s="39">
        <f>IF(AND($E892="timed",$N892&gt;Settings!$C$8),1,0)</f>
        <v>0</v>
      </c>
      <c r="AA892" s="39">
        <f t="shared" si="238"/>
        <v>0</v>
      </c>
      <c r="AB892" s="39">
        <f t="shared" si="239"/>
        <v>0</v>
      </c>
      <c r="AC892" s="39" t="str">
        <f t="shared" si="240"/>
        <v/>
      </c>
      <c r="AD892" s="39" t="str">
        <f t="shared" si="241"/>
        <v/>
      </c>
      <c r="AE892" s="39" t="str">
        <f t="shared" si="242"/>
        <v/>
      </c>
      <c r="AF892" s="106" t="str">
        <f t="shared" si="243"/>
        <v/>
      </c>
      <c r="AG892" s="39">
        <f t="shared" si="244"/>
        <v>0</v>
      </c>
      <c r="AH892" s="39" t="str">
        <f t="shared" si="245"/>
        <v/>
      </c>
      <c r="AI892" s="39">
        <f>IF(AND($E892="timed",$N892&gt;=Settings!$C$9),1,0)</f>
        <v>0</v>
      </c>
      <c r="AJ892" s="39" t="str">
        <f>IF(OR($S892="",Settings!$C$16=""),"",IF($S892&lt;=Settings!$C$16,1,2))</f>
        <v/>
      </c>
      <c r="AK892" s="39" t="str">
        <f>IF($C892="","",IFERROR(IF(INDEX(Settings!$C$20:$C$59,MATCH($C892,Settings!$B$20:$B$59,0))="",Settings!$C$10,INDEX(Settings!$C$20:$C$59,MATCH($C892,Settings!$B$20:$B$59,0))),Settings!$C$10))</f>
        <v/>
      </c>
      <c r="AL892" s="108">
        <f t="shared" si="246"/>
        <v>0</v>
      </c>
      <c r="AM892" s="39" t="str">
        <f t="shared" si="247"/>
        <v/>
      </c>
      <c r="AN892" s="39" t="str">
        <f t="shared" si="248"/>
        <v/>
      </c>
      <c r="AO892" s="39" t="str">
        <f t="shared" si="249"/>
        <v/>
      </c>
      <c r="AP892" s="39">
        <f t="shared" si="250"/>
        <v>0</v>
      </c>
      <c r="AQ892" s="39">
        <f t="shared" si="251"/>
        <v>0</v>
      </c>
    </row>
    <row r="893" spans="14:43" x14ac:dyDescent="0.25">
      <c r="N893" s="105">
        <f t="shared" si="234"/>
        <v>0</v>
      </c>
      <c r="O893" s="106" t="str">
        <f>IF($F893="","",IF(ISNUMBER($F893),$F893+Settings!$C$7/24,IFERROR(DATEVALUE(LEFT($F893,10))+TIMEVALUE(MID($F893,12,8))+Settings!$C$7/24,"")))</f>
        <v/>
      </c>
      <c r="P893" s="106" t="str">
        <f>IF($G893="","",IF(ISNUMBER($G893),$G893+Settings!$C$7/24,IFERROR(DATEVALUE(LEFT($G893,10))+TIMEVALUE(MID($G893,12,8))+Settings!$C$7/24,"")))</f>
        <v/>
      </c>
      <c r="Q893" s="39" t="str">
        <f t="shared" si="235"/>
        <v/>
      </c>
      <c r="R893" s="39" t="str">
        <f t="shared" si="236"/>
        <v/>
      </c>
      <c r="S893" s="107" t="str">
        <f t="shared" si="237"/>
        <v/>
      </c>
      <c r="T893" s="39" t="str">
        <f>IF($C893="","",IF(COUNTIF($C$2:$C893,$C893)=1,1,0))</f>
        <v/>
      </c>
      <c r="U893" s="39" t="str">
        <f>IF($T893=1,COUNTIF($T$2:$T893,1),"")</f>
        <v/>
      </c>
      <c r="V893" s="39" t="str">
        <f>IF($B893="","",IF(COUNTIF($B$2:$B893,$B893)=1,1,0))</f>
        <v/>
      </c>
      <c r="W893" s="39" t="str">
        <f>IF($V893=1,COUNTIF($V$2:$V893,1),"")</f>
        <v/>
      </c>
      <c r="X893" s="39" t="str">
        <f>IF($A893="","",IF(COUNTIF($A$2:$A893,$A893)=1,1,0))</f>
        <v/>
      </c>
      <c r="Y893" s="39" t="str">
        <f>IF($X893=1,COUNTIF($X$2:$X893,1),"")</f>
        <v/>
      </c>
      <c r="Z893" s="39">
        <f>IF(AND($E893="timed",$N893&gt;Settings!$C$8),1,0)</f>
        <v>0</v>
      </c>
      <c r="AA893" s="39">
        <f t="shared" si="238"/>
        <v>0</v>
      </c>
      <c r="AB893" s="39">
        <f t="shared" si="239"/>
        <v>0</v>
      </c>
      <c r="AC893" s="39" t="str">
        <f t="shared" si="240"/>
        <v/>
      </c>
      <c r="AD893" s="39" t="str">
        <f t="shared" si="241"/>
        <v/>
      </c>
      <c r="AE893" s="39" t="str">
        <f t="shared" si="242"/>
        <v/>
      </c>
      <c r="AF893" s="106" t="str">
        <f t="shared" si="243"/>
        <v/>
      </c>
      <c r="AG893" s="39">
        <f t="shared" si="244"/>
        <v>0</v>
      </c>
      <c r="AH893" s="39" t="str">
        <f t="shared" si="245"/>
        <v/>
      </c>
      <c r="AI893" s="39">
        <f>IF(AND($E893="timed",$N893&gt;=Settings!$C$9),1,0)</f>
        <v>0</v>
      </c>
      <c r="AJ893" s="39" t="str">
        <f>IF(OR($S893="",Settings!$C$16=""),"",IF($S893&lt;=Settings!$C$16,1,2))</f>
        <v/>
      </c>
      <c r="AK893" s="39" t="str">
        <f>IF($C893="","",IFERROR(IF(INDEX(Settings!$C$20:$C$59,MATCH($C893,Settings!$B$20:$B$59,0))="",Settings!$C$10,INDEX(Settings!$C$20:$C$59,MATCH($C893,Settings!$B$20:$B$59,0))),Settings!$C$10))</f>
        <v/>
      </c>
      <c r="AL893" s="108">
        <f t="shared" si="246"/>
        <v>0</v>
      </c>
      <c r="AM893" s="39" t="str">
        <f t="shared" si="247"/>
        <v/>
      </c>
      <c r="AN893" s="39" t="str">
        <f t="shared" si="248"/>
        <v/>
      </c>
      <c r="AO893" s="39" t="str">
        <f t="shared" si="249"/>
        <v/>
      </c>
      <c r="AP893" s="39">
        <f t="shared" si="250"/>
        <v>0</v>
      </c>
      <c r="AQ893" s="39">
        <f t="shared" si="251"/>
        <v>0</v>
      </c>
    </row>
    <row r="894" spans="14:43" x14ac:dyDescent="0.25">
      <c r="N894" s="105">
        <f t="shared" si="234"/>
        <v>0</v>
      </c>
      <c r="O894" s="106" t="str">
        <f>IF($F894="","",IF(ISNUMBER($F894),$F894+Settings!$C$7/24,IFERROR(DATEVALUE(LEFT($F894,10))+TIMEVALUE(MID($F894,12,8))+Settings!$C$7/24,"")))</f>
        <v/>
      </c>
      <c r="P894" s="106" t="str">
        <f>IF($G894="","",IF(ISNUMBER($G894),$G894+Settings!$C$7/24,IFERROR(DATEVALUE(LEFT($G894,10))+TIMEVALUE(MID($G894,12,8))+Settings!$C$7/24,"")))</f>
        <v/>
      </c>
      <c r="Q894" s="39" t="str">
        <f t="shared" si="235"/>
        <v/>
      </c>
      <c r="R894" s="39" t="str">
        <f t="shared" si="236"/>
        <v/>
      </c>
      <c r="S894" s="107" t="str">
        <f t="shared" si="237"/>
        <v/>
      </c>
      <c r="T894" s="39" t="str">
        <f>IF($C894="","",IF(COUNTIF($C$2:$C894,$C894)=1,1,0))</f>
        <v/>
      </c>
      <c r="U894" s="39" t="str">
        <f>IF($T894=1,COUNTIF($T$2:$T894,1),"")</f>
        <v/>
      </c>
      <c r="V894" s="39" t="str">
        <f>IF($B894="","",IF(COUNTIF($B$2:$B894,$B894)=1,1,0))</f>
        <v/>
      </c>
      <c r="W894" s="39" t="str">
        <f>IF($V894=1,COUNTIF($V$2:$V894,1),"")</f>
        <v/>
      </c>
      <c r="X894" s="39" t="str">
        <f>IF($A894="","",IF(COUNTIF($A$2:$A894,$A894)=1,1,0))</f>
        <v/>
      </c>
      <c r="Y894" s="39" t="str">
        <f>IF($X894=1,COUNTIF($X$2:$X894,1),"")</f>
        <v/>
      </c>
      <c r="Z894" s="39">
        <f>IF(AND($E894="timed",$N894&gt;Settings!$C$8),1,0)</f>
        <v>0</v>
      </c>
      <c r="AA894" s="39">
        <f t="shared" si="238"/>
        <v>0</v>
      </c>
      <c r="AB894" s="39">
        <f t="shared" si="239"/>
        <v>0</v>
      </c>
      <c r="AC894" s="39" t="str">
        <f t="shared" si="240"/>
        <v/>
      </c>
      <c r="AD894" s="39" t="str">
        <f t="shared" si="241"/>
        <v/>
      </c>
      <c r="AE894" s="39" t="str">
        <f t="shared" si="242"/>
        <v/>
      </c>
      <c r="AF894" s="106" t="str">
        <f t="shared" si="243"/>
        <v/>
      </c>
      <c r="AG894" s="39">
        <f t="shared" si="244"/>
        <v>0</v>
      </c>
      <c r="AH894" s="39" t="str">
        <f t="shared" si="245"/>
        <v/>
      </c>
      <c r="AI894" s="39">
        <f>IF(AND($E894="timed",$N894&gt;=Settings!$C$9),1,0)</f>
        <v>0</v>
      </c>
      <c r="AJ894" s="39" t="str">
        <f>IF(OR($S894="",Settings!$C$16=""),"",IF($S894&lt;=Settings!$C$16,1,2))</f>
        <v/>
      </c>
      <c r="AK894" s="39" t="str">
        <f>IF($C894="","",IFERROR(IF(INDEX(Settings!$C$20:$C$59,MATCH($C894,Settings!$B$20:$B$59,0))="",Settings!$C$10,INDEX(Settings!$C$20:$C$59,MATCH($C894,Settings!$B$20:$B$59,0))),Settings!$C$10))</f>
        <v/>
      </c>
      <c r="AL894" s="108">
        <f t="shared" si="246"/>
        <v>0</v>
      </c>
      <c r="AM894" s="39" t="str">
        <f t="shared" si="247"/>
        <v/>
      </c>
      <c r="AN894" s="39" t="str">
        <f t="shared" si="248"/>
        <v/>
      </c>
      <c r="AO894" s="39" t="str">
        <f t="shared" si="249"/>
        <v/>
      </c>
      <c r="AP894" s="39">
        <f t="shared" si="250"/>
        <v>0</v>
      </c>
      <c r="AQ894" s="39">
        <f t="shared" si="251"/>
        <v>0</v>
      </c>
    </row>
    <row r="895" spans="14:43" x14ac:dyDescent="0.25">
      <c r="N895" s="105">
        <f t="shared" si="234"/>
        <v>0</v>
      </c>
      <c r="O895" s="106" t="str">
        <f>IF($F895="","",IF(ISNUMBER($F895),$F895+Settings!$C$7/24,IFERROR(DATEVALUE(LEFT($F895,10))+TIMEVALUE(MID($F895,12,8))+Settings!$C$7/24,"")))</f>
        <v/>
      </c>
      <c r="P895" s="106" t="str">
        <f>IF($G895="","",IF(ISNUMBER($G895),$G895+Settings!$C$7/24,IFERROR(DATEVALUE(LEFT($G895,10))+TIMEVALUE(MID($G895,12,8))+Settings!$C$7/24,"")))</f>
        <v/>
      </c>
      <c r="Q895" s="39" t="str">
        <f t="shared" si="235"/>
        <v/>
      </c>
      <c r="R895" s="39" t="str">
        <f t="shared" si="236"/>
        <v/>
      </c>
      <c r="S895" s="107" t="str">
        <f t="shared" si="237"/>
        <v/>
      </c>
      <c r="T895" s="39" t="str">
        <f>IF($C895="","",IF(COUNTIF($C$2:$C895,$C895)=1,1,0))</f>
        <v/>
      </c>
      <c r="U895" s="39" t="str">
        <f>IF($T895=1,COUNTIF($T$2:$T895,1),"")</f>
        <v/>
      </c>
      <c r="V895" s="39" t="str">
        <f>IF($B895="","",IF(COUNTIF($B$2:$B895,$B895)=1,1,0))</f>
        <v/>
      </c>
      <c r="W895" s="39" t="str">
        <f>IF($V895=1,COUNTIF($V$2:$V895,1),"")</f>
        <v/>
      </c>
      <c r="X895" s="39" t="str">
        <f>IF($A895="","",IF(COUNTIF($A$2:$A895,$A895)=1,1,0))</f>
        <v/>
      </c>
      <c r="Y895" s="39" t="str">
        <f>IF($X895=1,COUNTIF($X$2:$X895,1),"")</f>
        <v/>
      </c>
      <c r="Z895" s="39">
        <f>IF(AND($E895="timed",$N895&gt;Settings!$C$8),1,0)</f>
        <v>0</v>
      </c>
      <c r="AA895" s="39">
        <f t="shared" si="238"/>
        <v>0</v>
      </c>
      <c r="AB895" s="39">
        <f t="shared" si="239"/>
        <v>0</v>
      </c>
      <c r="AC895" s="39" t="str">
        <f t="shared" si="240"/>
        <v/>
      </c>
      <c r="AD895" s="39" t="str">
        <f t="shared" si="241"/>
        <v/>
      </c>
      <c r="AE895" s="39" t="str">
        <f t="shared" si="242"/>
        <v/>
      </c>
      <c r="AF895" s="106" t="str">
        <f t="shared" si="243"/>
        <v/>
      </c>
      <c r="AG895" s="39">
        <f t="shared" si="244"/>
        <v>0</v>
      </c>
      <c r="AH895" s="39" t="str">
        <f t="shared" si="245"/>
        <v/>
      </c>
      <c r="AI895" s="39">
        <f>IF(AND($E895="timed",$N895&gt;=Settings!$C$9),1,0)</f>
        <v>0</v>
      </c>
      <c r="AJ895" s="39" t="str">
        <f>IF(OR($S895="",Settings!$C$16=""),"",IF($S895&lt;=Settings!$C$16,1,2))</f>
        <v/>
      </c>
      <c r="AK895" s="39" t="str">
        <f>IF($C895="","",IFERROR(IF(INDEX(Settings!$C$20:$C$59,MATCH($C895,Settings!$B$20:$B$59,0))="",Settings!$C$10,INDEX(Settings!$C$20:$C$59,MATCH($C895,Settings!$B$20:$B$59,0))),Settings!$C$10))</f>
        <v/>
      </c>
      <c r="AL895" s="108">
        <f t="shared" si="246"/>
        <v>0</v>
      </c>
      <c r="AM895" s="39" t="str">
        <f t="shared" si="247"/>
        <v/>
      </c>
      <c r="AN895" s="39" t="str">
        <f t="shared" si="248"/>
        <v/>
      </c>
      <c r="AO895" s="39" t="str">
        <f t="shared" si="249"/>
        <v/>
      </c>
      <c r="AP895" s="39">
        <f t="shared" si="250"/>
        <v>0</v>
      </c>
      <c r="AQ895" s="39">
        <f t="shared" si="251"/>
        <v>0</v>
      </c>
    </row>
    <row r="896" spans="14:43" x14ac:dyDescent="0.25">
      <c r="N896" s="105">
        <f t="shared" si="234"/>
        <v>0</v>
      </c>
      <c r="O896" s="106" t="str">
        <f>IF($F896="","",IF(ISNUMBER($F896),$F896+Settings!$C$7/24,IFERROR(DATEVALUE(LEFT($F896,10))+TIMEVALUE(MID($F896,12,8))+Settings!$C$7/24,"")))</f>
        <v/>
      </c>
      <c r="P896" s="106" t="str">
        <f>IF($G896="","",IF(ISNUMBER($G896),$G896+Settings!$C$7/24,IFERROR(DATEVALUE(LEFT($G896,10))+TIMEVALUE(MID($G896,12,8))+Settings!$C$7/24,"")))</f>
        <v/>
      </c>
      <c r="Q896" s="39" t="str">
        <f t="shared" si="235"/>
        <v/>
      </c>
      <c r="R896" s="39" t="str">
        <f t="shared" si="236"/>
        <v/>
      </c>
      <c r="S896" s="107" t="str">
        <f t="shared" si="237"/>
        <v/>
      </c>
      <c r="T896" s="39" t="str">
        <f>IF($C896="","",IF(COUNTIF($C$2:$C896,$C896)=1,1,0))</f>
        <v/>
      </c>
      <c r="U896" s="39" t="str">
        <f>IF($T896=1,COUNTIF($T$2:$T896,1),"")</f>
        <v/>
      </c>
      <c r="V896" s="39" t="str">
        <f>IF($B896="","",IF(COUNTIF($B$2:$B896,$B896)=1,1,0))</f>
        <v/>
      </c>
      <c r="W896" s="39" t="str">
        <f>IF($V896=1,COUNTIF($V$2:$V896,1),"")</f>
        <v/>
      </c>
      <c r="X896" s="39" t="str">
        <f>IF($A896="","",IF(COUNTIF($A$2:$A896,$A896)=1,1,0))</f>
        <v/>
      </c>
      <c r="Y896" s="39" t="str">
        <f>IF($X896=1,COUNTIF($X$2:$X896,1),"")</f>
        <v/>
      </c>
      <c r="Z896" s="39">
        <f>IF(AND($E896="timed",$N896&gt;Settings!$C$8),1,0)</f>
        <v>0</v>
      </c>
      <c r="AA896" s="39">
        <f t="shared" si="238"/>
        <v>0</v>
      </c>
      <c r="AB896" s="39">
        <f t="shared" si="239"/>
        <v>0</v>
      </c>
      <c r="AC896" s="39" t="str">
        <f t="shared" si="240"/>
        <v/>
      </c>
      <c r="AD896" s="39" t="str">
        <f t="shared" si="241"/>
        <v/>
      </c>
      <c r="AE896" s="39" t="str">
        <f t="shared" si="242"/>
        <v/>
      </c>
      <c r="AF896" s="106" t="str">
        <f t="shared" si="243"/>
        <v/>
      </c>
      <c r="AG896" s="39">
        <f t="shared" si="244"/>
        <v>0</v>
      </c>
      <c r="AH896" s="39" t="str">
        <f t="shared" si="245"/>
        <v/>
      </c>
      <c r="AI896" s="39">
        <f>IF(AND($E896="timed",$N896&gt;=Settings!$C$9),1,0)</f>
        <v>0</v>
      </c>
      <c r="AJ896" s="39" t="str">
        <f>IF(OR($S896="",Settings!$C$16=""),"",IF($S896&lt;=Settings!$C$16,1,2))</f>
        <v/>
      </c>
      <c r="AK896" s="39" t="str">
        <f>IF($C896="","",IFERROR(IF(INDEX(Settings!$C$20:$C$59,MATCH($C896,Settings!$B$20:$B$59,0))="",Settings!$C$10,INDEX(Settings!$C$20:$C$59,MATCH($C896,Settings!$B$20:$B$59,0))),Settings!$C$10))</f>
        <v/>
      </c>
      <c r="AL896" s="108">
        <f t="shared" si="246"/>
        <v>0</v>
      </c>
      <c r="AM896" s="39" t="str">
        <f t="shared" si="247"/>
        <v/>
      </c>
      <c r="AN896" s="39" t="str">
        <f t="shared" si="248"/>
        <v/>
      </c>
      <c r="AO896" s="39" t="str">
        <f t="shared" si="249"/>
        <v/>
      </c>
      <c r="AP896" s="39">
        <f t="shared" si="250"/>
        <v>0</v>
      </c>
      <c r="AQ896" s="39">
        <f t="shared" si="251"/>
        <v>0</v>
      </c>
    </row>
    <row r="897" spans="14:43" x14ac:dyDescent="0.25">
      <c r="N897" s="105">
        <f t="shared" si="234"/>
        <v>0</v>
      </c>
      <c r="O897" s="106" t="str">
        <f>IF($F897="","",IF(ISNUMBER($F897),$F897+Settings!$C$7/24,IFERROR(DATEVALUE(LEFT($F897,10))+TIMEVALUE(MID($F897,12,8))+Settings!$C$7/24,"")))</f>
        <v/>
      </c>
      <c r="P897" s="106" t="str">
        <f>IF($G897="","",IF(ISNUMBER($G897),$G897+Settings!$C$7/24,IFERROR(DATEVALUE(LEFT($G897,10))+TIMEVALUE(MID($G897,12,8))+Settings!$C$7/24,"")))</f>
        <v/>
      </c>
      <c r="Q897" s="39" t="str">
        <f t="shared" si="235"/>
        <v/>
      </c>
      <c r="R897" s="39" t="str">
        <f t="shared" si="236"/>
        <v/>
      </c>
      <c r="S897" s="107" t="str">
        <f t="shared" si="237"/>
        <v/>
      </c>
      <c r="T897" s="39" t="str">
        <f>IF($C897="","",IF(COUNTIF($C$2:$C897,$C897)=1,1,0))</f>
        <v/>
      </c>
      <c r="U897" s="39" t="str">
        <f>IF($T897=1,COUNTIF($T$2:$T897,1),"")</f>
        <v/>
      </c>
      <c r="V897" s="39" t="str">
        <f>IF($B897="","",IF(COUNTIF($B$2:$B897,$B897)=1,1,0))</f>
        <v/>
      </c>
      <c r="W897" s="39" t="str">
        <f>IF($V897=1,COUNTIF($V$2:$V897,1),"")</f>
        <v/>
      </c>
      <c r="X897" s="39" t="str">
        <f>IF($A897="","",IF(COUNTIF($A$2:$A897,$A897)=1,1,0))</f>
        <v/>
      </c>
      <c r="Y897" s="39" t="str">
        <f>IF($X897=1,COUNTIF($X$2:$X897,1),"")</f>
        <v/>
      </c>
      <c r="Z897" s="39">
        <f>IF(AND($E897="timed",$N897&gt;Settings!$C$8),1,0)</f>
        <v>0</v>
      </c>
      <c r="AA897" s="39">
        <f t="shared" si="238"/>
        <v>0</v>
      </c>
      <c r="AB897" s="39">
        <f t="shared" si="239"/>
        <v>0</v>
      </c>
      <c r="AC897" s="39" t="str">
        <f t="shared" si="240"/>
        <v/>
      </c>
      <c r="AD897" s="39" t="str">
        <f t="shared" si="241"/>
        <v/>
      </c>
      <c r="AE897" s="39" t="str">
        <f t="shared" si="242"/>
        <v/>
      </c>
      <c r="AF897" s="106" t="str">
        <f t="shared" si="243"/>
        <v/>
      </c>
      <c r="AG897" s="39">
        <f t="shared" si="244"/>
        <v>0</v>
      </c>
      <c r="AH897" s="39" t="str">
        <f t="shared" si="245"/>
        <v/>
      </c>
      <c r="AI897" s="39">
        <f>IF(AND($E897="timed",$N897&gt;=Settings!$C$9),1,0)</f>
        <v>0</v>
      </c>
      <c r="AJ897" s="39" t="str">
        <f>IF(OR($S897="",Settings!$C$16=""),"",IF($S897&lt;=Settings!$C$16,1,2))</f>
        <v/>
      </c>
      <c r="AK897" s="39" t="str">
        <f>IF($C897="","",IFERROR(IF(INDEX(Settings!$C$20:$C$59,MATCH($C897,Settings!$B$20:$B$59,0))="",Settings!$C$10,INDEX(Settings!$C$20:$C$59,MATCH($C897,Settings!$B$20:$B$59,0))),Settings!$C$10))</f>
        <v/>
      </c>
      <c r="AL897" s="108">
        <f t="shared" si="246"/>
        <v>0</v>
      </c>
      <c r="AM897" s="39" t="str">
        <f t="shared" si="247"/>
        <v/>
      </c>
      <c r="AN897" s="39" t="str">
        <f t="shared" si="248"/>
        <v/>
      </c>
      <c r="AO897" s="39" t="str">
        <f t="shared" si="249"/>
        <v/>
      </c>
      <c r="AP897" s="39">
        <f t="shared" si="250"/>
        <v>0</v>
      </c>
      <c r="AQ897" s="39">
        <f t="shared" si="251"/>
        <v>0</v>
      </c>
    </row>
    <row r="898" spans="14:43" x14ac:dyDescent="0.25">
      <c r="N898" s="105">
        <f t="shared" ref="N898:N961" si="252">IF($E898&lt;&gt;"timed",0,IF(ISNUMBER($H898),$H898,IFERROR(VALUE($H898),0)))</f>
        <v>0</v>
      </c>
      <c r="O898" s="106" t="str">
        <f>IF($F898="","",IF(ISNUMBER($F898),$F898+Settings!$C$7/24,IFERROR(DATEVALUE(LEFT($F898,10))+TIMEVALUE(MID($F898,12,8))+Settings!$C$7/24,"")))</f>
        <v/>
      </c>
      <c r="P898" s="106" t="str">
        <f>IF($G898="","",IF(ISNUMBER($G898),$G898+Settings!$C$7/24,IFERROR(DATEVALUE(LEFT($G898,10))+TIMEVALUE(MID($G898,12,8))+Settings!$C$7/24,"")))</f>
        <v/>
      </c>
      <c r="Q898" s="39" t="str">
        <f t="shared" ref="Q898:Q961" si="253">IF($O898="","",HOUR($O898))</f>
        <v/>
      </c>
      <c r="R898" s="39" t="str">
        <f t="shared" ref="R898:R961" si="254">IF($O898="","",WEEKDAY($O898,2))</f>
        <v/>
      </c>
      <c r="S898" s="107" t="str">
        <f t="shared" ref="S898:S961" si="255">IF($A898="","",IF(ISNUMBER($A898),INT($A898),IFERROR(DATEVALUE($A898),"")))</f>
        <v/>
      </c>
      <c r="T898" s="39" t="str">
        <f>IF($C898="","",IF(COUNTIF($C$2:$C898,$C898)=1,1,0))</f>
        <v/>
      </c>
      <c r="U898" s="39" t="str">
        <f>IF($T898=1,COUNTIF($T$2:$T898,1),"")</f>
        <v/>
      </c>
      <c r="V898" s="39" t="str">
        <f>IF($B898="","",IF(COUNTIF($B$2:$B898,$B898)=1,1,0))</f>
        <v/>
      </c>
      <c r="W898" s="39" t="str">
        <f>IF($V898=1,COUNTIF($V$2:$V898,1),"")</f>
        <v/>
      </c>
      <c r="X898" s="39" t="str">
        <f>IF($A898="","",IF(COUNTIF($A$2:$A898,$A898)=1,1,0))</f>
        <v/>
      </c>
      <c r="Y898" s="39" t="str">
        <f>IF($X898=1,COUNTIF($X$2:$X898,1),"")</f>
        <v/>
      </c>
      <c r="Z898" s="39">
        <f>IF(AND($E898="timed",$N898&gt;Settings!$C$8),1,0)</f>
        <v>0</v>
      </c>
      <c r="AA898" s="39">
        <f t="shared" ref="AA898:AA961" si="256">IF(AND($E898="timed",$G898=""),1,0)</f>
        <v>0</v>
      </c>
      <c r="AB898" s="39">
        <f t="shared" ref="AB898:AB961" si="257">IF($E898&lt;&gt;"timed",0,IF(ISNUMBER($I898),$I898,IFERROR(VALUE($I898),0)))</f>
        <v>0</v>
      </c>
      <c r="AC898" s="39" t="str">
        <f t="shared" ref="AC898:AC961" si="258">IF(OR($E898&lt;&gt;"timed",$O898=""),"",ROUND($O898*86400,0)*10000+ROW())</f>
        <v/>
      </c>
      <c r="AD898" s="39" t="str">
        <f t="shared" ref="AD898:AD961" si="259">IF($AC898="","",COUNTIF($AC$2:$AC$1201,"&lt;"&amp;$AC898)+1)</f>
        <v/>
      </c>
      <c r="AE898" s="39" t="str">
        <f t="shared" ref="AE898:AE961" si="260">IF($AD898="","",IFERROR(IF(INDEX($S$2:$S$1201,MATCH($AD898-1,$AD$2:$AD$1201,0))=$S898,INDEX($C$2:$C$1201,MATCH($AD898-1,$AD$2:$AD$1201,0)),""),""))</f>
        <v/>
      </c>
      <c r="AF898" s="106" t="str">
        <f t="shared" ref="AF898:AF961" si="261">IF($AD898="","",IFERROR(IF(INDEX($S$2:$S$1201,MATCH($AD898-1,$AD$2:$AD$1201,0))=$S898,INDEX($P$2:$P$1201,MATCH($AD898-1,$AD$2:$AD$1201,0)),""),""))</f>
        <v/>
      </c>
      <c r="AG898" s="39">
        <f t="shared" ref="AG898:AG961" si="262">IF(OR($E898&lt;&gt;"timed",$AE898=""),0,IF($AE898=$C898,0,1))</f>
        <v>0</v>
      </c>
      <c r="AH898" s="39" t="str">
        <f t="shared" ref="AH898:AH961" si="263">IF(OR($AF898="",$O898=""),"",MAX(0,ROUND(($O898-$AF898)*1440,0)))</f>
        <v/>
      </c>
      <c r="AI898" s="39">
        <f>IF(AND($E898="timed",$N898&gt;=Settings!$C$9),1,0)</f>
        <v>0</v>
      </c>
      <c r="AJ898" s="39" t="str">
        <f>IF(OR($S898="",Settings!$C$16=""),"",IF($S898&lt;=Settings!$C$16,1,2))</f>
        <v/>
      </c>
      <c r="AK898" s="39" t="str">
        <f>IF($C898="","",IFERROR(IF(INDEX(Settings!$C$20:$C$59,MATCH($C898,Settings!$B$20:$B$59,0))="",Settings!$C$10,INDEX(Settings!$C$20:$C$59,MATCH($C898,Settings!$B$20:$B$59,0))),Settings!$C$10))</f>
        <v/>
      </c>
      <c r="AL898" s="108">
        <f t="shared" ref="AL898:AL961" si="264">IF(OR($N898=0,$AK898=""),0,ROUND($N898/60*$AK898,2))</f>
        <v>0</v>
      </c>
      <c r="AM898" s="39" t="str">
        <f t="shared" ref="AM898:AM961" si="265">IF($AD898="","",IFERROR(INDEX($S$2:$S$1201,MATCH($AD898-1,$AD$2:$AD$1201,0)),""))</f>
        <v/>
      </c>
      <c r="AN898" s="39" t="str">
        <f t="shared" ref="AN898:AN961" si="266">IF($Z898=1,$N898+ROW()/1000000,"")</f>
        <v/>
      </c>
      <c r="AO898" s="39" t="str">
        <f t="shared" ref="AO898:AO961" si="267">IF(OR($E898&lt;&gt;"timed",$P898=""),"",ROUND($P898*86400,0)*10000+ROW())</f>
        <v/>
      </c>
      <c r="AP898" s="39">
        <f t="shared" ref="AP898:AP961" si="268">IF($AC898="",0,IF(COUNTIFS($S$2:$S$1201,$S898,$AC$2:$AC$1201,"&lt;"&amp;$AC898)=0,1,0))</f>
        <v>0</v>
      </c>
      <c r="AQ898" s="39">
        <f t="shared" ref="AQ898:AQ961" si="269">IF($AO898="",0,IF(COUNTIFS($S$2:$S$1201,$S898,$AO$2:$AO$1201,"&gt;"&amp;$AO898)=0,1,0))</f>
        <v>0</v>
      </c>
    </row>
    <row r="899" spans="14:43" x14ac:dyDescent="0.25">
      <c r="N899" s="105">
        <f t="shared" si="252"/>
        <v>0</v>
      </c>
      <c r="O899" s="106" t="str">
        <f>IF($F899="","",IF(ISNUMBER($F899),$F899+Settings!$C$7/24,IFERROR(DATEVALUE(LEFT($F899,10))+TIMEVALUE(MID($F899,12,8))+Settings!$C$7/24,"")))</f>
        <v/>
      </c>
      <c r="P899" s="106" t="str">
        <f>IF($G899="","",IF(ISNUMBER($G899),$G899+Settings!$C$7/24,IFERROR(DATEVALUE(LEFT($G899,10))+TIMEVALUE(MID($G899,12,8))+Settings!$C$7/24,"")))</f>
        <v/>
      </c>
      <c r="Q899" s="39" t="str">
        <f t="shared" si="253"/>
        <v/>
      </c>
      <c r="R899" s="39" t="str">
        <f t="shared" si="254"/>
        <v/>
      </c>
      <c r="S899" s="107" t="str">
        <f t="shared" si="255"/>
        <v/>
      </c>
      <c r="T899" s="39" t="str">
        <f>IF($C899="","",IF(COUNTIF($C$2:$C899,$C899)=1,1,0))</f>
        <v/>
      </c>
      <c r="U899" s="39" t="str">
        <f>IF($T899=1,COUNTIF($T$2:$T899,1),"")</f>
        <v/>
      </c>
      <c r="V899" s="39" t="str">
        <f>IF($B899="","",IF(COUNTIF($B$2:$B899,$B899)=1,1,0))</f>
        <v/>
      </c>
      <c r="W899" s="39" t="str">
        <f>IF($V899=1,COUNTIF($V$2:$V899,1),"")</f>
        <v/>
      </c>
      <c r="X899" s="39" t="str">
        <f>IF($A899="","",IF(COUNTIF($A$2:$A899,$A899)=1,1,0))</f>
        <v/>
      </c>
      <c r="Y899" s="39" t="str">
        <f>IF($X899=1,COUNTIF($X$2:$X899,1),"")</f>
        <v/>
      </c>
      <c r="Z899" s="39">
        <f>IF(AND($E899="timed",$N899&gt;Settings!$C$8),1,0)</f>
        <v>0</v>
      </c>
      <c r="AA899" s="39">
        <f t="shared" si="256"/>
        <v>0</v>
      </c>
      <c r="AB899" s="39">
        <f t="shared" si="257"/>
        <v>0</v>
      </c>
      <c r="AC899" s="39" t="str">
        <f t="shared" si="258"/>
        <v/>
      </c>
      <c r="AD899" s="39" t="str">
        <f t="shared" si="259"/>
        <v/>
      </c>
      <c r="AE899" s="39" t="str">
        <f t="shared" si="260"/>
        <v/>
      </c>
      <c r="AF899" s="106" t="str">
        <f t="shared" si="261"/>
        <v/>
      </c>
      <c r="AG899" s="39">
        <f t="shared" si="262"/>
        <v>0</v>
      </c>
      <c r="AH899" s="39" t="str">
        <f t="shared" si="263"/>
        <v/>
      </c>
      <c r="AI899" s="39">
        <f>IF(AND($E899="timed",$N899&gt;=Settings!$C$9),1,0)</f>
        <v>0</v>
      </c>
      <c r="AJ899" s="39" t="str">
        <f>IF(OR($S899="",Settings!$C$16=""),"",IF($S899&lt;=Settings!$C$16,1,2))</f>
        <v/>
      </c>
      <c r="AK899" s="39" t="str">
        <f>IF($C899="","",IFERROR(IF(INDEX(Settings!$C$20:$C$59,MATCH($C899,Settings!$B$20:$B$59,0))="",Settings!$C$10,INDEX(Settings!$C$20:$C$59,MATCH($C899,Settings!$B$20:$B$59,0))),Settings!$C$10))</f>
        <v/>
      </c>
      <c r="AL899" s="108">
        <f t="shared" si="264"/>
        <v>0</v>
      </c>
      <c r="AM899" s="39" t="str">
        <f t="shared" si="265"/>
        <v/>
      </c>
      <c r="AN899" s="39" t="str">
        <f t="shared" si="266"/>
        <v/>
      </c>
      <c r="AO899" s="39" t="str">
        <f t="shared" si="267"/>
        <v/>
      </c>
      <c r="AP899" s="39">
        <f t="shared" si="268"/>
        <v>0</v>
      </c>
      <c r="AQ899" s="39">
        <f t="shared" si="269"/>
        <v>0</v>
      </c>
    </row>
    <row r="900" spans="14:43" x14ac:dyDescent="0.25">
      <c r="N900" s="105">
        <f t="shared" si="252"/>
        <v>0</v>
      </c>
      <c r="O900" s="106" t="str">
        <f>IF($F900="","",IF(ISNUMBER($F900),$F900+Settings!$C$7/24,IFERROR(DATEVALUE(LEFT($F900,10))+TIMEVALUE(MID($F900,12,8))+Settings!$C$7/24,"")))</f>
        <v/>
      </c>
      <c r="P900" s="106" t="str">
        <f>IF($G900="","",IF(ISNUMBER($G900),$G900+Settings!$C$7/24,IFERROR(DATEVALUE(LEFT($G900,10))+TIMEVALUE(MID($G900,12,8))+Settings!$C$7/24,"")))</f>
        <v/>
      </c>
      <c r="Q900" s="39" t="str">
        <f t="shared" si="253"/>
        <v/>
      </c>
      <c r="R900" s="39" t="str">
        <f t="shared" si="254"/>
        <v/>
      </c>
      <c r="S900" s="107" t="str">
        <f t="shared" si="255"/>
        <v/>
      </c>
      <c r="T900" s="39" t="str">
        <f>IF($C900="","",IF(COUNTIF($C$2:$C900,$C900)=1,1,0))</f>
        <v/>
      </c>
      <c r="U900" s="39" t="str">
        <f>IF($T900=1,COUNTIF($T$2:$T900,1),"")</f>
        <v/>
      </c>
      <c r="V900" s="39" t="str">
        <f>IF($B900="","",IF(COUNTIF($B$2:$B900,$B900)=1,1,0))</f>
        <v/>
      </c>
      <c r="W900" s="39" t="str">
        <f>IF($V900=1,COUNTIF($V$2:$V900,1),"")</f>
        <v/>
      </c>
      <c r="X900" s="39" t="str">
        <f>IF($A900="","",IF(COUNTIF($A$2:$A900,$A900)=1,1,0))</f>
        <v/>
      </c>
      <c r="Y900" s="39" t="str">
        <f>IF($X900=1,COUNTIF($X$2:$X900,1),"")</f>
        <v/>
      </c>
      <c r="Z900" s="39">
        <f>IF(AND($E900="timed",$N900&gt;Settings!$C$8),1,0)</f>
        <v>0</v>
      </c>
      <c r="AA900" s="39">
        <f t="shared" si="256"/>
        <v>0</v>
      </c>
      <c r="AB900" s="39">
        <f t="shared" si="257"/>
        <v>0</v>
      </c>
      <c r="AC900" s="39" t="str">
        <f t="shared" si="258"/>
        <v/>
      </c>
      <c r="AD900" s="39" t="str">
        <f t="shared" si="259"/>
        <v/>
      </c>
      <c r="AE900" s="39" t="str">
        <f t="shared" si="260"/>
        <v/>
      </c>
      <c r="AF900" s="106" t="str">
        <f t="shared" si="261"/>
        <v/>
      </c>
      <c r="AG900" s="39">
        <f t="shared" si="262"/>
        <v>0</v>
      </c>
      <c r="AH900" s="39" t="str">
        <f t="shared" si="263"/>
        <v/>
      </c>
      <c r="AI900" s="39">
        <f>IF(AND($E900="timed",$N900&gt;=Settings!$C$9),1,0)</f>
        <v>0</v>
      </c>
      <c r="AJ900" s="39" t="str">
        <f>IF(OR($S900="",Settings!$C$16=""),"",IF($S900&lt;=Settings!$C$16,1,2))</f>
        <v/>
      </c>
      <c r="AK900" s="39" t="str">
        <f>IF($C900="","",IFERROR(IF(INDEX(Settings!$C$20:$C$59,MATCH($C900,Settings!$B$20:$B$59,0))="",Settings!$C$10,INDEX(Settings!$C$20:$C$59,MATCH($C900,Settings!$B$20:$B$59,0))),Settings!$C$10))</f>
        <v/>
      </c>
      <c r="AL900" s="108">
        <f t="shared" si="264"/>
        <v>0</v>
      </c>
      <c r="AM900" s="39" t="str">
        <f t="shared" si="265"/>
        <v/>
      </c>
      <c r="AN900" s="39" t="str">
        <f t="shared" si="266"/>
        <v/>
      </c>
      <c r="AO900" s="39" t="str">
        <f t="shared" si="267"/>
        <v/>
      </c>
      <c r="AP900" s="39">
        <f t="shared" si="268"/>
        <v>0</v>
      </c>
      <c r="AQ900" s="39">
        <f t="shared" si="269"/>
        <v>0</v>
      </c>
    </row>
    <row r="901" spans="14:43" x14ac:dyDescent="0.25">
      <c r="N901" s="105">
        <f t="shared" si="252"/>
        <v>0</v>
      </c>
      <c r="O901" s="106" t="str">
        <f>IF($F901="","",IF(ISNUMBER($F901),$F901+Settings!$C$7/24,IFERROR(DATEVALUE(LEFT($F901,10))+TIMEVALUE(MID($F901,12,8))+Settings!$C$7/24,"")))</f>
        <v/>
      </c>
      <c r="P901" s="106" t="str">
        <f>IF($G901="","",IF(ISNUMBER($G901),$G901+Settings!$C$7/24,IFERROR(DATEVALUE(LEFT($G901,10))+TIMEVALUE(MID($G901,12,8))+Settings!$C$7/24,"")))</f>
        <v/>
      </c>
      <c r="Q901" s="39" t="str">
        <f t="shared" si="253"/>
        <v/>
      </c>
      <c r="R901" s="39" t="str">
        <f t="shared" si="254"/>
        <v/>
      </c>
      <c r="S901" s="107" t="str">
        <f t="shared" si="255"/>
        <v/>
      </c>
      <c r="T901" s="39" t="str">
        <f>IF($C901="","",IF(COUNTIF($C$2:$C901,$C901)=1,1,0))</f>
        <v/>
      </c>
      <c r="U901" s="39" t="str">
        <f>IF($T901=1,COUNTIF($T$2:$T901,1),"")</f>
        <v/>
      </c>
      <c r="V901" s="39" t="str">
        <f>IF($B901="","",IF(COUNTIF($B$2:$B901,$B901)=1,1,0))</f>
        <v/>
      </c>
      <c r="W901" s="39" t="str">
        <f>IF($V901=1,COUNTIF($V$2:$V901,1),"")</f>
        <v/>
      </c>
      <c r="X901" s="39" t="str">
        <f>IF($A901="","",IF(COUNTIF($A$2:$A901,$A901)=1,1,0))</f>
        <v/>
      </c>
      <c r="Y901" s="39" t="str">
        <f>IF($X901=1,COUNTIF($X$2:$X901,1),"")</f>
        <v/>
      </c>
      <c r="Z901" s="39">
        <f>IF(AND($E901="timed",$N901&gt;Settings!$C$8),1,0)</f>
        <v>0</v>
      </c>
      <c r="AA901" s="39">
        <f t="shared" si="256"/>
        <v>0</v>
      </c>
      <c r="AB901" s="39">
        <f t="shared" si="257"/>
        <v>0</v>
      </c>
      <c r="AC901" s="39" t="str">
        <f t="shared" si="258"/>
        <v/>
      </c>
      <c r="AD901" s="39" t="str">
        <f t="shared" si="259"/>
        <v/>
      </c>
      <c r="AE901" s="39" t="str">
        <f t="shared" si="260"/>
        <v/>
      </c>
      <c r="AF901" s="106" t="str">
        <f t="shared" si="261"/>
        <v/>
      </c>
      <c r="AG901" s="39">
        <f t="shared" si="262"/>
        <v>0</v>
      </c>
      <c r="AH901" s="39" t="str">
        <f t="shared" si="263"/>
        <v/>
      </c>
      <c r="AI901" s="39">
        <f>IF(AND($E901="timed",$N901&gt;=Settings!$C$9),1,0)</f>
        <v>0</v>
      </c>
      <c r="AJ901" s="39" t="str">
        <f>IF(OR($S901="",Settings!$C$16=""),"",IF($S901&lt;=Settings!$C$16,1,2))</f>
        <v/>
      </c>
      <c r="AK901" s="39" t="str">
        <f>IF($C901="","",IFERROR(IF(INDEX(Settings!$C$20:$C$59,MATCH($C901,Settings!$B$20:$B$59,0))="",Settings!$C$10,INDEX(Settings!$C$20:$C$59,MATCH($C901,Settings!$B$20:$B$59,0))),Settings!$C$10))</f>
        <v/>
      </c>
      <c r="AL901" s="108">
        <f t="shared" si="264"/>
        <v>0</v>
      </c>
      <c r="AM901" s="39" t="str">
        <f t="shared" si="265"/>
        <v/>
      </c>
      <c r="AN901" s="39" t="str">
        <f t="shared" si="266"/>
        <v/>
      </c>
      <c r="AO901" s="39" t="str">
        <f t="shared" si="267"/>
        <v/>
      </c>
      <c r="AP901" s="39">
        <f t="shared" si="268"/>
        <v>0</v>
      </c>
      <c r="AQ901" s="39">
        <f t="shared" si="269"/>
        <v>0</v>
      </c>
    </row>
    <row r="902" spans="14:43" x14ac:dyDescent="0.25">
      <c r="N902" s="105">
        <f t="shared" si="252"/>
        <v>0</v>
      </c>
      <c r="O902" s="106" t="str">
        <f>IF($F902="","",IF(ISNUMBER($F902),$F902+Settings!$C$7/24,IFERROR(DATEVALUE(LEFT($F902,10))+TIMEVALUE(MID($F902,12,8))+Settings!$C$7/24,"")))</f>
        <v/>
      </c>
      <c r="P902" s="106" t="str">
        <f>IF($G902="","",IF(ISNUMBER($G902),$G902+Settings!$C$7/24,IFERROR(DATEVALUE(LEFT($G902,10))+TIMEVALUE(MID($G902,12,8))+Settings!$C$7/24,"")))</f>
        <v/>
      </c>
      <c r="Q902" s="39" t="str">
        <f t="shared" si="253"/>
        <v/>
      </c>
      <c r="R902" s="39" t="str">
        <f t="shared" si="254"/>
        <v/>
      </c>
      <c r="S902" s="107" t="str">
        <f t="shared" si="255"/>
        <v/>
      </c>
      <c r="T902" s="39" t="str">
        <f>IF($C902="","",IF(COUNTIF($C$2:$C902,$C902)=1,1,0))</f>
        <v/>
      </c>
      <c r="U902" s="39" t="str">
        <f>IF($T902=1,COUNTIF($T$2:$T902,1),"")</f>
        <v/>
      </c>
      <c r="V902" s="39" t="str">
        <f>IF($B902="","",IF(COUNTIF($B$2:$B902,$B902)=1,1,0))</f>
        <v/>
      </c>
      <c r="W902" s="39" t="str">
        <f>IF($V902=1,COUNTIF($V$2:$V902,1),"")</f>
        <v/>
      </c>
      <c r="X902" s="39" t="str">
        <f>IF($A902="","",IF(COUNTIF($A$2:$A902,$A902)=1,1,0))</f>
        <v/>
      </c>
      <c r="Y902" s="39" t="str">
        <f>IF($X902=1,COUNTIF($X$2:$X902,1),"")</f>
        <v/>
      </c>
      <c r="Z902" s="39">
        <f>IF(AND($E902="timed",$N902&gt;Settings!$C$8),1,0)</f>
        <v>0</v>
      </c>
      <c r="AA902" s="39">
        <f t="shared" si="256"/>
        <v>0</v>
      </c>
      <c r="AB902" s="39">
        <f t="shared" si="257"/>
        <v>0</v>
      </c>
      <c r="AC902" s="39" t="str">
        <f t="shared" si="258"/>
        <v/>
      </c>
      <c r="AD902" s="39" t="str">
        <f t="shared" si="259"/>
        <v/>
      </c>
      <c r="AE902" s="39" t="str">
        <f t="shared" si="260"/>
        <v/>
      </c>
      <c r="AF902" s="106" t="str">
        <f t="shared" si="261"/>
        <v/>
      </c>
      <c r="AG902" s="39">
        <f t="shared" si="262"/>
        <v>0</v>
      </c>
      <c r="AH902" s="39" t="str">
        <f t="shared" si="263"/>
        <v/>
      </c>
      <c r="AI902" s="39">
        <f>IF(AND($E902="timed",$N902&gt;=Settings!$C$9),1,0)</f>
        <v>0</v>
      </c>
      <c r="AJ902" s="39" t="str">
        <f>IF(OR($S902="",Settings!$C$16=""),"",IF($S902&lt;=Settings!$C$16,1,2))</f>
        <v/>
      </c>
      <c r="AK902" s="39" t="str">
        <f>IF($C902="","",IFERROR(IF(INDEX(Settings!$C$20:$C$59,MATCH($C902,Settings!$B$20:$B$59,0))="",Settings!$C$10,INDEX(Settings!$C$20:$C$59,MATCH($C902,Settings!$B$20:$B$59,0))),Settings!$C$10))</f>
        <v/>
      </c>
      <c r="AL902" s="108">
        <f t="shared" si="264"/>
        <v>0</v>
      </c>
      <c r="AM902" s="39" t="str">
        <f t="shared" si="265"/>
        <v/>
      </c>
      <c r="AN902" s="39" t="str">
        <f t="shared" si="266"/>
        <v/>
      </c>
      <c r="AO902" s="39" t="str">
        <f t="shared" si="267"/>
        <v/>
      </c>
      <c r="AP902" s="39">
        <f t="shared" si="268"/>
        <v>0</v>
      </c>
      <c r="AQ902" s="39">
        <f t="shared" si="269"/>
        <v>0</v>
      </c>
    </row>
    <row r="903" spans="14:43" x14ac:dyDescent="0.25">
      <c r="N903" s="105">
        <f t="shared" si="252"/>
        <v>0</v>
      </c>
      <c r="O903" s="106" t="str">
        <f>IF($F903="","",IF(ISNUMBER($F903),$F903+Settings!$C$7/24,IFERROR(DATEVALUE(LEFT($F903,10))+TIMEVALUE(MID($F903,12,8))+Settings!$C$7/24,"")))</f>
        <v/>
      </c>
      <c r="P903" s="106" t="str">
        <f>IF($G903="","",IF(ISNUMBER($G903),$G903+Settings!$C$7/24,IFERROR(DATEVALUE(LEFT($G903,10))+TIMEVALUE(MID($G903,12,8))+Settings!$C$7/24,"")))</f>
        <v/>
      </c>
      <c r="Q903" s="39" t="str">
        <f t="shared" si="253"/>
        <v/>
      </c>
      <c r="R903" s="39" t="str">
        <f t="shared" si="254"/>
        <v/>
      </c>
      <c r="S903" s="107" t="str">
        <f t="shared" si="255"/>
        <v/>
      </c>
      <c r="T903" s="39" t="str">
        <f>IF($C903="","",IF(COUNTIF($C$2:$C903,$C903)=1,1,0))</f>
        <v/>
      </c>
      <c r="U903" s="39" t="str">
        <f>IF($T903=1,COUNTIF($T$2:$T903,1),"")</f>
        <v/>
      </c>
      <c r="V903" s="39" t="str">
        <f>IF($B903="","",IF(COUNTIF($B$2:$B903,$B903)=1,1,0))</f>
        <v/>
      </c>
      <c r="W903" s="39" t="str">
        <f>IF($V903=1,COUNTIF($V$2:$V903,1),"")</f>
        <v/>
      </c>
      <c r="X903" s="39" t="str">
        <f>IF($A903="","",IF(COUNTIF($A$2:$A903,$A903)=1,1,0))</f>
        <v/>
      </c>
      <c r="Y903" s="39" t="str">
        <f>IF($X903=1,COUNTIF($X$2:$X903,1),"")</f>
        <v/>
      </c>
      <c r="Z903" s="39">
        <f>IF(AND($E903="timed",$N903&gt;Settings!$C$8),1,0)</f>
        <v>0</v>
      </c>
      <c r="AA903" s="39">
        <f t="shared" si="256"/>
        <v>0</v>
      </c>
      <c r="AB903" s="39">
        <f t="shared" si="257"/>
        <v>0</v>
      </c>
      <c r="AC903" s="39" t="str">
        <f t="shared" si="258"/>
        <v/>
      </c>
      <c r="AD903" s="39" t="str">
        <f t="shared" si="259"/>
        <v/>
      </c>
      <c r="AE903" s="39" t="str">
        <f t="shared" si="260"/>
        <v/>
      </c>
      <c r="AF903" s="106" t="str">
        <f t="shared" si="261"/>
        <v/>
      </c>
      <c r="AG903" s="39">
        <f t="shared" si="262"/>
        <v>0</v>
      </c>
      <c r="AH903" s="39" t="str">
        <f t="shared" si="263"/>
        <v/>
      </c>
      <c r="AI903" s="39">
        <f>IF(AND($E903="timed",$N903&gt;=Settings!$C$9),1,0)</f>
        <v>0</v>
      </c>
      <c r="AJ903" s="39" t="str">
        <f>IF(OR($S903="",Settings!$C$16=""),"",IF($S903&lt;=Settings!$C$16,1,2))</f>
        <v/>
      </c>
      <c r="AK903" s="39" t="str">
        <f>IF($C903="","",IFERROR(IF(INDEX(Settings!$C$20:$C$59,MATCH($C903,Settings!$B$20:$B$59,0))="",Settings!$C$10,INDEX(Settings!$C$20:$C$59,MATCH($C903,Settings!$B$20:$B$59,0))),Settings!$C$10))</f>
        <v/>
      </c>
      <c r="AL903" s="108">
        <f t="shared" si="264"/>
        <v>0</v>
      </c>
      <c r="AM903" s="39" t="str">
        <f t="shared" si="265"/>
        <v/>
      </c>
      <c r="AN903" s="39" t="str">
        <f t="shared" si="266"/>
        <v/>
      </c>
      <c r="AO903" s="39" t="str">
        <f t="shared" si="267"/>
        <v/>
      </c>
      <c r="AP903" s="39">
        <f t="shared" si="268"/>
        <v>0</v>
      </c>
      <c r="AQ903" s="39">
        <f t="shared" si="269"/>
        <v>0</v>
      </c>
    </row>
    <row r="904" spans="14:43" x14ac:dyDescent="0.25">
      <c r="N904" s="105">
        <f t="shared" si="252"/>
        <v>0</v>
      </c>
      <c r="O904" s="106" t="str">
        <f>IF($F904="","",IF(ISNUMBER($F904),$F904+Settings!$C$7/24,IFERROR(DATEVALUE(LEFT($F904,10))+TIMEVALUE(MID($F904,12,8))+Settings!$C$7/24,"")))</f>
        <v/>
      </c>
      <c r="P904" s="106" t="str">
        <f>IF($G904="","",IF(ISNUMBER($G904),$G904+Settings!$C$7/24,IFERROR(DATEVALUE(LEFT($G904,10))+TIMEVALUE(MID($G904,12,8))+Settings!$C$7/24,"")))</f>
        <v/>
      </c>
      <c r="Q904" s="39" t="str">
        <f t="shared" si="253"/>
        <v/>
      </c>
      <c r="R904" s="39" t="str">
        <f t="shared" si="254"/>
        <v/>
      </c>
      <c r="S904" s="107" t="str">
        <f t="shared" si="255"/>
        <v/>
      </c>
      <c r="T904" s="39" t="str">
        <f>IF($C904="","",IF(COUNTIF($C$2:$C904,$C904)=1,1,0))</f>
        <v/>
      </c>
      <c r="U904" s="39" t="str">
        <f>IF($T904=1,COUNTIF($T$2:$T904,1),"")</f>
        <v/>
      </c>
      <c r="V904" s="39" t="str">
        <f>IF($B904="","",IF(COUNTIF($B$2:$B904,$B904)=1,1,0))</f>
        <v/>
      </c>
      <c r="W904" s="39" t="str">
        <f>IF($V904=1,COUNTIF($V$2:$V904,1),"")</f>
        <v/>
      </c>
      <c r="X904" s="39" t="str">
        <f>IF($A904="","",IF(COUNTIF($A$2:$A904,$A904)=1,1,0))</f>
        <v/>
      </c>
      <c r="Y904" s="39" t="str">
        <f>IF($X904=1,COUNTIF($X$2:$X904,1),"")</f>
        <v/>
      </c>
      <c r="Z904" s="39">
        <f>IF(AND($E904="timed",$N904&gt;Settings!$C$8),1,0)</f>
        <v>0</v>
      </c>
      <c r="AA904" s="39">
        <f t="shared" si="256"/>
        <v>0</v>
      </c>
      <c r="AB904" s="39">
        <f t="shared" si="257"/>
        <v>0</v>
      </c>
      <c r="AC904" s="39" t="str">
        <f t="shared" si="258"/>
        <v/>
      </c>
      <c r="AD904" s="39" t="str">
        <f t="shared" si="259"/>
        <v/>
      </c>
      <c r="AE904" s="39" t="str">
        <f t="shared" si="260"/>
        <v/>
      </c>
      <c r="AF904" s="106" t="str">
        <f t="shared" si="261"/>
        <v/>
      </c>
      <c r="AG904" s="39">
        <f t="shared" si="262"/>
        <v>0</v>
      </c>
      <c r="AH904" s="39" t="str">
        <f t="shared" si="263"/>
        <v/>
      </c>
      <c r="AI904" s="39">
        <f>IF(AND($E904="timed",$N904&gt;=Settings!$C$9),1,0)</f>
        <v>0</v>
      </c>
      <c r="AJ904" s="39" t="str">
        <f>IF(OR($S904="",Settings!$C$16=""),"",IF($S904&lt;=Settings!$C$16,1,2))</f>
        <v/>
      </c>
      <c r="AK904" s="39" t="str">
        <f>IF($C904="","",IFERROR(IF(INDEX(Settings!$C$20:$C$59,MATCH($C904,Settings!$B$20:$B$59,0))="",Settings!$C$10,INDEX(Settings!$C$20:$C$59,MATCH($C904,Settings!$B$20:$B$59,0))),Settings!$C$10))</f>
        <v/>
      </c>
      <c r="AL904" s="108">
        <f t="shared" si="264"/>
        <v>0</v>
      </c>
      <c r="AM904" s="39" t="str">
        <f t="shared" si="265"/>
        <v/>
      </c>
      <c r="AN904" s="39" t="str">
        <f t="shared" si="266"/>
        <v/>
      </c>
      <c r="AO904" s="39" t="str">
        <f t="shared" si="267"/>
        <v/>
      </c>
      <c r="AP904" s="39">
        <f t="shared" si="268"/>
        <v>0</v>
      </c>
      <c r="AQ904" s="39">
        <f t="shared" si="269"/>
        <v>0</v>
      </c>
    </row>
    <row r="905" spans="14:43" x14ac:dyDescent="0.25">
      <c r="N905" s="105">
        <f t="shared" si="252"/>
        <v>0</v>
      </c>
      <c r="O905" s="106" t="str">
        <f>IF($F905="","",IF(ISNUMBER($F905),$F905+Settings!$C$7/24,IFERROR(DATEVALUE(LEFT($F905,10))+TIMEVALUE(MID($F905,12,8))+Settings!$C$7/24,"")))</f>
        <v/>
      </c>
      <c r="P905" s="106" t="str">
        <f>IF($G905="","",IF(ISNUMBER($G905),$G905+Settings!$C$7/24,IFERROR(DATEVALUE(LEFT($G905,10))+TIMEVALUE(MID($G905,12,8))+Settings!$C$7/24,"")))</f>
        <v/>
      </c>
      <c r="Q905" s="39" t="str">
        <f t="shared" si="253"/>
        <v/>
      </c>
      <c r="R905" s="39" t="str">
        <f t="shared" si="254"/>
        <v/>
      </c>
      <c r="S905" s="107" t="str">
        <f t="shared" si="255"/>
        <v/>
      </c>
      <c r="T905" s="39" t="str">
        <f>IF($C905="","",IF(COUNTIF($C$2:$C905,$C905)=1,1,0))</f>
        <v/>
      </c>
      <c r="U905" s="39" t="str">
        <f>IF($T905=1,COUNTIF($T$2:$T905,1),"")</f>
        <v/>
      </c>
      <c r="V905" s="39" t="str">
        <f>IF($B905="","",IF(COUNTIF($B$2:$B905,$B905)=1,1,0))</f>
        <v/>
      </c>
      <c r="W905" s="39" t="str">
        <f>IF($V905=1,COUNTIF($V$2:$V905,1),"")</f>
        <v/>
      </c>
      <c r="X905" s="39" t="str">
        <f>IF($A905="","",IF(COUNTIF($A$2:$A905,$A905)=1,1,0))</f>
        <v/>
      </c>
      <c r="Y905" s="39" t="str">
        <f>IF($X905=1,COUNTIF($X$2:$X905,1),"")</f>
        <v/>
      </c>
      <c r="Z905" s="39">
        <f>IF(AND($E905="timed",$N905&gt;Settings!$C$8),1,0)</f>
        <v>0</v>
      </c>
      <c r="AA905" s="39">
        <f t="shared" si="256"/>
        <v>0</v>
      </c>
      <c r="AB905" s="39">
        <f t="shared" si="257"/>
        <v>0</v>
      </c>
      <c r="AC905" s="39" t="str">
        <f t="shared" si="258"/>
        <v/>
      </c>
      <c r="AD905" s="39" t="str">
        <f t="shared" si="259"/>
        <v/>
      </c>
      <c r="AE905" s="39" t="str">
        <f t="shared" si="260"/>
        <v/>
      </c>
      <c r="AF905" s="106" t="str">
        <f t="shared" si="261"/>
        <v/>
      </c>
      <c r="AG905" s="39">
        <f t="shared" si="262"/>
        <v>0</v>
      </c>
      <c r="AH905" s="39" t="str">
        <f t="shared" si="263"/>
        <v/>
      </c>
      <c r="AI905" s="39">
        <f>IF(AND($E905="timed",$N905&gt;=Settings!$C$9),1,0)</f>
        <v>0</v>
      </c>
      <c r="AJ905" s="39" t="str">
        <f>IF(OR($S905="",Settings!$C$16=""),"",IF($S905&lt;=Settings!$C$16,1,2))</f>
        <v/>
      </c>
      <c r="AK905" s="39" t="str">
        <f>IF($C905="","",IFERROR(IF(INDEX(Settings!$C$20:$C$59,MATCH($C905,Settings!$B$20:$B$59,0))="",Settings!$C$10,INDEX(Settings!$C$20:$C$59,MATCH($C905,Settings!$B$20:$B$59,0))),Settings!$C$10))</f>
        <v/>
      </c>
      <c r="AL905" s="108">
        <f t="shared" si="264"/>
        <v>0</v>
      </c>
      <c r="AM905" s="39" t="str">
        <f t="shared" si="265"/>
        <v/>
      </c>
      <c r="AN905" s="39" t="str">
        <f t="shared" si="266"/>
        <v/>
      </c>
      <c r="AO905" s="39" t="str">
        <f t="shared" si="267"/>
        <v/>
      </c>
      <c r="AP905" s="39">
        <f t="shared" si="268"/>
        <v>0</v>
      </c>
      <c r="AQ905" s="39">
        <f t="shared" si="269"/>
        <v>0</v>
      </c>
    </row>
    <row r="906" spans="14:43" x14ac:dyDescent="0.25">
      <c r="N906" s="105">
        <f t="shared" si="252"/>
        <v>0</v>
      </c>
      <c r="O906" s="106" t="str">
        <f>IF($F906="","",IF(ISNUMBER($F906),$F906+Settings!$C$7/24,IFERROR(DATEVALUE(LEFT($F906,10))+TIMEVALUE(MID($F906,12,8))+Settings!$C$7/24,"")))</f>
        <v/>
      </c>
      <c r="P906" s="106" t="str">
        <f>IF($G906="","",IF(ISNUMBER($G906),$G906+Settings!$C$7/24,IFERROR(DATEVALUE(LEFT($G906,10))+TIMEVALUE(MID($G906,12,8))+Settings!$C$7/24,"")))</f>
        <v/>
      </c>
      <c r="Q906" s="39" t="str">
        <f t="shared" si="253"/>
        <v/>
      </c>
      <c r="R906" s="39" t="str">
        <f t="shared" si="254"/>
        <v/>
      </c>
      <c r="S906" s="107" t="str">
        <f t="shared" si="255"/>
        <v/>
      </c>
      <c r="T906" s="39" t="str">
        <f>IF($C906="","",IF(COUNTIF($C$2:$C906,$C906)=1,1,0))</f>
        <v/>
      </c>
      <c r="U906" s="39" t="str">
        <f>IF($T906=1,COUNTIF($T$2:$T906,1),"")</f>
        <v/>
      </c>
      <c r="V906" s="39" t="str">
        <f>IF($B906="","",IF(COUNTIF($B$2:$B906,$B906)=1,1,0))</f>
        <v/>
      </c>
      <c r="W906" s="39" t="str">
        <f>IF($V906=1,COUNTIF($V$2:$V906,1),"")</f>
        <v/>
      </c>
      <c r="X906" s="39" t="str">
        <f>IF($A906="","",IF(COUNTIF($A$2:$A906,$A906)=1,1,0))</f>
        <v/>
      </c>
      <c r="Y906" s="39" t="str">
        <f>IF($X906=1,COUNTIF($X$2:$X906,1),"")</f>
        <v/>
      </c>
      <c r="Z906" s="39">
        <f>IF(AND($E906="timed",$N906&gt;Settings!$C$8),1,0)</f>
        <v>0</v>
      </c>
      <c r="AA906" s="39">
        <f t="shared" si="256"/>
        <v>0</v>
      </c>
      <c r="AB906" s="39">
        <f t="shared" si="257"/>
        <v>0</v>
      </c>
      <c r="AC906" s="39" t="str">
        <f t="shared" si="258"/>
        <v/>
      </c>
      <c r="AD906" s="39" t="str">
        <f t="shared" si="259"/>
        <v/>
      </c>
      <c r="AE906" s="39" t="str">
        <f t="shared" si="260"/>
        <v/>
      </c>
      <c r="AF906" s="106" t="str">
        <f t="shared" si="261"/>
        <v/>
      </c>
      <c r="AG906" s="39">
        <f t="shared" si="262"/>
        <v>0</v>
      </c>
      <c r="AH906" s="39" t="str">
        <f t="shared" si="263"/>
        <v/>
      </c>
      <c r="AI906" s="39">
        <f>IF(AND($E906="timed",$N906&gt;=Settings!$C$9),1,0)</f>
        <v>0</v>
      </c>
      <c r="AJ906" s="39" t="str">
        <f>IF(OR($S906="",Settings!$C$16=""),"",IF($S906&lt;=Settings!$C$16,1,2))</f>
        <v/>
      </c>
      <c r="AK906" s="39" t="str">
        <f>IF($C906="","",IFERROR(IF(INDEX(Settings!$C$20:$C$59,MATCH($C906,Settings!$B$20:$B$59,0))="",Settings!$C$10,INDEX(Settings!$C$20:$C$59,MATCH($C906,Settings!$B$20:$B$59,0))),Settings!$C$10))</f>
        <v/>
      </c>
      <c r="AL906" s="108">
        <f t="shared" si="264"/>
        <v>0</v>
      </c>
      <c r="AM906" s="39" t="str">
        <f t="shared" si="265"/>
        <v/>
      </c>
      <c r="AN906" s="39" t="str">
        <f t="shared" si="266"/>
        <v/>
      </c>
      <c r="AO906" s="39" t="str">
        <f t="shared" si="267"/>
        <v/>
      </c>
      <c r="AP906" s="39">
        <f t="shared" si="268"/>
        <v>0</v>
      </c>
      <c r="AQ906" s="39">
        <f t="shared" si="269"/>
        <v>0</v>
      </c>
    </row>
    <row r="907" spans="14:43" x14ac:dyDescent="0.25">
      <c r="N907" s="105">
        <f t="shared" si="252"/>
        <v>0</v>
      </c>
      <c r="O907" s="106" t="str">
        <f>IF($F907="","",IF(ISNUMBER($F907),$F907+Settings!$C$7/24,IFERROR(DATEVALUE(LEFT($F907,10))+TIMEVALUE(MID($F907,12,8))+Settings!$C$7/24,"")))</f>
        <v/>
      </c>
      <c r="P907" s="106" t="str">
        <f>IF($G907="","",IF(ISNUMBER($G907),$G907+Settings!$C$7/24,IFERROR(DATEVALUE(LEFT($G907,10))+TIMEVALUE(MID($G907,12,8))+Settings!$C$7/24,"")))</f>
        <v/>
      </c>
      <c r="Q907" s="39" t="str">
        <f t="shared" si="253"/>
        <v/>
      </c>
      <c r="R907" s="39" t="str">
        <f t="shared" si="254"/>
        <v/>
      </c>
      <c r="S907" s="107" t="str">
        <f t="shared" si="255"/>
        <v/>
      </c>
      <c r="T907" s="39" t="str">
        <f>IF($C907="","",IF(COUNTIF($C$2:$C907,$C907)=1,1,0))</f>
        <v/>
      </c>
      <c r="U907" s="39" t="str">
        <f>IF($T907=1,COUNTIF($T$2:$T907,1),"")</f>
        <v/>
      </c>
      <c r="V907" s="39" t="str">
        <f>IF($B907="","",IF(COUNTIF($B$2:$B907,$B907)=1,1,0))</f>
        <v/>
      </c>
      <c r="W907" s="39" t="str">
        <f>IF($V907=1,COUNTIF($V$2:$V907,1),"")</f>
        <v/>
      </c>
      <c r="X907" s="39" t="str">
        <f>IF($A907="","",IF(COUNTIF($A$2:$A907,$A907)=1,1,0))</f>
        <v/>
      </c>
      <c r="Y907" s="39" t="str">
        <f>IF($X907=1,COUNTIF($X$2:$X907,1),"")</f>
        <v/>
      </c>
      <c r="Z907" s="39">
        <f>IF(AND($E907="timed",$N907&gt;Settings!$C$8),1,0)</f>
        <v>0</v>
      </c>
      <c r="AA907" s="39">
        <f t="shared" si="256"/>
        <v>0</v>
      </c>
      <c r="AB907" s="39">
        <f t="shared" si="257"/>
        <v>0</v>
      </c>
      <c r="AC907" s="39" t="str">
        <f t="shared" si="258"/>
        <v/>
      </c>
      <c r="AD907" s="39" t="str">
        <f t="shared" si="259"/>
        <v/>
      </c>
      <c r="AE907" s="39" t="str">
        <f t="shared" si="260"/>
        <v/>
      </c>
      <c r="AF907" s="106" t="str">
        <f t="shared" si="261"/>
        <v/>
      </c>
      <c r="AG907" s="39">
        <f t="shared" si="262"/>
        <v>0</v>
      </c>
      <c r="AH907" s="39" t="str">
        <f t="shared" si="263"/>
        <v/>
      </c>
      <c r="AI907" s="39">
        <f>IF(AND($E907="timed",$N907&gt;=Settings!$C$9),1,0)</f>
        <v>0</v>
      </c>
      <c r="AJ907" s="39" t="str">
        <f>IF(OR($S907="",Settings!$C$16=""),"",IF($S907&lt;=Settings!$C$16,1,2))</f>
        <v/>
      </c>
      <c r="AK907" s="39" t="str">
        <f>IF($C907="","",IFERROR(IF(INDEX(Settings!$C$20:$C$59,MATCH($C907,Settings!$B$20:$B$59,0))="",Settings!$C$10,INDEX(Settings!$C$20:$C$59,MATCH($C907,Settings!$B$20:$B$59,0))),Settings!$C$10))</f>
        <v/>
      </c>
      <c r="AL907" s="108">
        <f t="shared" si="264"/>
        <v>0</v>
      </c>
      <c r="AM907" s="39" t="str">
        <f t="shared" si="265"/>
        <v/>
      </c>
      <c r="AN907" s="39" t="str">
        <f t="shared" si="266"/>
        <v/>
      </c>
      <c r="AO907" s="39" t="str">
        <f t="shared" si="267"/>
        <v/>
      </c>
      <c r="AP907" s="39">
        <f t="shared" si="268"/>
        <v>0</v>
      </c>
      <c r="AQ907" s="39">
        <f t="shared" si="269"/>
        <v>0</v>
      </c>
    </row>
    <row r="908" spans="14:43" x14ac:dyDescent="0.25">
      <c r="N908" s="105">
        <f t="shared" si="252"/>
        <v>0</v>
      </c>
      <c r="O908" s="106" t="str">
        <f>IF($F908="","",IF(ISNUMBER($F908),$F908+Settings!$C$7/24,IFERROR(DATEVALUE(LEFT($F908,10))+TIMEVALUE(MID($F908,12,8))+Settings!$C$7/24,"")))</f>
        <v/>
      </c>
      <c r="P908" s="106" t="str">
        <f>IF($G908="","",IF(ISNUMBER($G908),$G908+Settings!$C$7/24,IFERROR(DATEVALUE(LEFT($G908,10))+TIMEVALUE(MID($G908,12,8))+Settings!$C$7/24,"")))</f>
        <v/>
      </c>
      <c r="Q908" s="39" t="str">
        <f t="shared" si="253"/>
        <v/>
      </c>
      <c r="R908" s="39" t="str">
        <f t="shared" si="254"/>
        <v/>
      </c>
      <c r="S908" s="107" t="str">
        <f t="shared" si="255"/>
        <v/>
      </c>
      <c r="T908" s="39" t="str">
        <f>IF($C908="","",IF(COUNTIF($C$2:$C908,$C908)=1,1,0))</f>
        <v/>
      </c>
      <c r="U908" s="39" t="str">
        <f>IF($T908=1,COUNTIF($T$2:$T908,1),"")</f>
        <v/>
      </c>
      <c r="V908" s="39" t="str">
        <f>IF($B908="","",IF(COUNTIF($B$2:$B908,$B908)=1,1,0))</f>
        <v/>
      </c>
      <c r="W908" s="39" t="str">
        <f>IF($V908=1,COUNTIF($V$2:$V908,1),"")</f>
        <v/>
      </c>
      <c r="X908" s="39" t="str">
        <f>IF($A908="","",IF(COUNTIF($A$2:$A908,$A908)=1,1,0))</f>
        <v/>
      </c>
      <c r="Y908" s="39" t="str">
        <f>IF($X908=1,COUNTIF($X$2:$X908,1),"")</f>
        <v/>
      </c>
      <c r="Z908" s="39">
        <f>IF(AND($E908="timed",$N908&gt;Settings!$C$8),1,0)</f>
        <v>0</v>
      </c>
      <c r="AA908" s="39">
        <f t="shared" si="256"/>
        <v>0</v>
      </c>
      <c r="AB908" s="39">
        <f t="shared" si="257"/>
        <v>0</v>
      </c>
      <c r="AC908" s="39" t="str">
        <f t="shared" si="258"/>
        <v/>
      </c>
      <c r="AD908" s="39" t="str">
        <f t="shared" si="259"/>
        <v/>
      </c>
      <c r="AE908" s="39" t="str">
        <f t="shared" si="260"/>
        <v/>
      </c>
      <c r="AF908" s="106" t="str">
        <f t="shared" si="261"/>
        <v/>
      </c>
      <c r="AG908" s="39">
        <f t="shared" si="262"/>
        <v>0</v>
      </c>
      <c r="AH908" s="39" t="str">
        <f t="shared" si="263"/>
        <v/>
      </c>
      <c r="AI908" s="39">
        <f>IF(AND($E908="timed",$N908&gt;=Settings!$C$9),1,0)</f>
        <v>0</v>
      </c>
      <c r="AJ908" s="39" t="str">
        <f>IF(OR($S908="",Settings!$C$16=""),"",IF($S908&lt;=Settings!$C$16,1,2))</f>
        <v/>
      </c>
      <c r="AK908" s="39" t="str">
        <f>IF($C908="","",IFERROR(IF(INDEX(Settings!$C$20:$C$59,MATCH($C908,Settings!$B$20:$B$59,0))="",Settings!$C$10,INDEX(Settings!$C$20:$C$59,MATCH($C908,Settings!$B$20:$B$59,0))),Settings!$C$10))</f>
        <v/>
      </c>
      <c r="AL908" s="108">
        <f t="shared" si="264"/>
        <v>0</v>
      </c>
      <c r="AM908" s="39" t="str">
        <f t="shared" si="265"/>
        <v/>
      </c>
      <c r="AN908" s="39" t="str">
        <f t="shared" si="266"/>
        <v/>
      </c>
      <c r="AO908" s="39" t="str">
        <f t="shared" si="267"/>
        <v/>
      </c>
      <c r="AP908" s="39">
        <f t="shared" si="268"/>
        <v>0</v>
      </c>
      <c r="AQ908" s="39">
        <f t="shared" si="269"/>
        <v>0</v>
      </c>
    </row>
    <row r="909" spans="14:43" x14ac:dyDescent="0.25">
      <c r="N909" s="105">
        <f t="shared" si="252"/>
        <v>0</v>
      </c>
      <c r="O909" s="106" t="str">
        <f>IF($F909="","",IF(ISNUMBER($F909),$F909+Settings!$C$7/24,IFERROR(DATEVALUE(LEFT($F909,10))+TIMEVALUE(MID($F909,12,8))+Settings!$C$7/24,"")))</f>
        <v/>
      </c>
      <c r="P909" s="106" t="str">
        <f>IF($G909="","",IF(ISNUMBER($G909),$G909+Settings!$C$7/24,IFERROR(DATEVALUE(LEFT($G909,10))+TIMEVALUE(MID($G909,12,8))+Settings!$C$7/24,"")))</f>
        <v/>
      </c>
      <c r="Q909" s="39" t="str">
        <f t="shared" si="253"/>
        <v/>
      </c>
      <c r="R909" s="39" t="str">
        <f t="shared" si="254"/>
        <v/>
      </c>
      <c r="S909" s="107" t="str">
        <f t="shared" si="255"/>
        <v/>
      </c>
      <c r="T909" s="39" t="str">
        <f>IF($C909="","",IF(COUNTIF($C$2:$C909,$C909)=1,1,0))</f>
        <v/>
      </c>
      <c r="U909" s="39" t="str">
        <f>IF($T909=1,COUNTIF($T$2:$T909,1),"")</f>
        <v/>
      </c>
      <c r="V909" s="39" t="str">
        <f>IF($B909="","",IF(COUNTIF($B$2:$B909,$B909)=1,1,0))</f>
        <v/>
      </c>
      <c r="W909" s="39" t="str">
        <f>IF($V909=1,COUNTIF($V$2:$V909,1),"")</f>
        <v/>
      </c>
      <c r="X909" s="39" t="str">
        <f>IF($A909="","",IF(COUNTIF($A$2:$A909,$A909)=1,1,0))</f>
        <v/>
      </c>
      <c r="Y909" s="39" t="str">
        <f>IF($X909=1,COUNTIF($X$2:$X909,1),"")</f>
        <v/>
      </c>
      <c r="Z909" s="39">
        <f>IF(AND($E909="timed",$N909&gt;Settings!$C$8),1,0)</f>
        <v>0</v>
      </c>
      <c r="AA909" s="39">
        <f t="shared" si="256"/>
        <v>0</v>
      </c>
      <c r="AB909" s="39">
        <f t="shared" si="257"/>
        <v>0</v>
      </c>
      <c r="AC909" s="39" t="str">
        <f t="shared" si="258"/>
        <v/>
      </c>
      <c r="AD909" s="39" t="str">
        <f t="shared" si="259"/>
        <v/>
      </c>
      <c r="AE909" s="39" t="str">
        <f t="shared" si="260"/>
        <v/>
      </c>
      <c r="AF909" s="106" t="str">
        <f t="shared" si="261"/>
        <v/>
      </c>
      <c r="AG909" s="39">
        <f t="shared" si="262"/>
        <v>0</v>
      </c>
      <c r="AH909" s="39" t="str">
        <f t="shared" si="263"/>
        <v/>
      </c>
      <c r="AI909" s="39">
        <f>IF(AND($E909="timed",$N909&gt;=Settings!$C$9),1,0)</f>
        <v>0</v>
      </c>
      <c r="AJ909" s="39" t="str">
        <f>IF(OR($S909="",Settings!$C$16=""),"",IF($S909&lt;=Settings!$C$16,1,2))</f>
        <v/>
      </c>
      <c r="AK909" s="39" t="str">
        <f>IF($C909="","",IFERROR(IF(INDEX(Settings!$C$20:$C$59,MATCH($C909,Settings!$B$20:$B$59,0))="",Settings!$C$10,INDEX(Settings!$C$20:$C$59,MATCH($C909,Settings!$B$20:$B$59,0))),Settings!$C$10))</f>
        <v/>
      </c>
      <c r="AL909" s="108">
        <f t="shared" si="264"/>
        <v>0</v>
      </c>
      <c r="AM909" s="39" t="str">
        <f t="shared" si="265"/>
        <v/>
      </c>
      <c r="AN909" s="39" t="str">
        <f t="shared" si="266"/>
        <v/>
      </c>
      <c r="AO909" s="39" t="str">
        <f t="shared" si="267"/>
        <v/>
      </c>
      <c r="AP909" s="39">
        <f t="shared" si="268"/>
        <v>0</v>
      </c>
      <c r="AQ909" s="39">
        <f t="shared" si="269"/>
        <v>0</v>
      </c>
    </row>
    <row r="910" spans="14:43" x14ac:dyDescent="0.25">
      <c r="N910" s="105">
        <f t="shared" si="252"/>
        <v>0</v>
      </c>
      <c r="O910" s="106" t="str">
        <f>IF($F910="","",IF(ISNUMBER($F910),$F910+Settings!$C$7/24,IFERROR(DATEVALUE(LEFT($F910,10))+TIMEVALUE(MID($F910,12,8))+Settings!$C$7/24,"")))</f>
        <v/>
      </c>
      <c r="P910" s="106" t="str">
        <f>IF($G910="","",IF(ISNUMBER($G910),$G910+Settings!$C$7/24,IFERROR(DATEVALUE(LEFT($G910,10))+TIMEVALUE(MID($G910,12,8))+Settings!$C$7/24,"")))</f>
        <v/>
      </c>
      <c r="Q910" s="39" t="str">
        <f t="shared" si="253"/>
        <v/>
      </c>
      <c r="R910" s="39" t="str">
        <f t="shared" si="254"/>
        <v/>
      </c>
      <c r="S910" s="107" t="str">
        <f t="shared" si="255"/>
        <v/>
      </c>
      <c r="T910" s="39" t="str">
        <f>IF($C910="","",IF(COUNTIF($C$2:$C910,$C910)=1,1,0))</f>
        <v/>
      </c>
      <c r="U910" s="39" t="str">
        <f>IF($T910=1,COUNTIF($T$2:$T910,1),"")</f>
        <v/>
      </c>
      <c r="V910" s="39" t="str">
        <f>IF($B910="","",IF(COUNTIF($B$2:$B910,$B910)=1,1,0))</f>
        <v/>
      </c>
      <c r="W910" s="39" t="str">
        <f>IF($V910=1,COUNTIF($V$2:$V910,1),"")</f>
        <v/>
      </c>
      <c r="X910" s="39" t="str">
        <f>IF($A910="","",IF(COUNTIF($A$2:$A910,$A910)=1,1,0))</f>
        <v/>
      </c>
      <c r="Y910" s="39" t="str">
        <f>IF($X910=1,COUNTIF($X$2:$X910,1),"")</f>
        <v/>
      </c>
      <c r="Z910" s="39">
        <f>IF(AND($E910="timed",$N910&gt;Settings!$C$8),1,0)</f>
        <v>0</v>
      </c>
      <c r="AA910" s="39">
        <f t="shared" si="256"/>
        <v>0</v>
      </c>
      <c r="AB910" s="39">
        <f t="shared" si="257"/>
        <v>0</v>
      </c>
      <c r="AC910" s="39" t="str">
        <f t="shared" si="258"/>
        <v/>
      </c>
      <c r="AD910" s="39" t="str">
        <f t="shared" si="259"/>
        <v/>
      </c>
      <c r="AE910" s="39" t="str">
        <f t="shared" si="260"/>
        <v/>
      </c>
      <c r="AF910" s="106" t="str">
        <f t="shared" si="261"/>
        <v/>
      </c>
      <c r="AG910" s="39">
        <f t="shared" si="262"/>
        <v>0</v>
      </c>
      <c r="AH910" s="39" t="str">
        <f t="shared" si="263"/>
        <v/>
      </c>
      <c r="AI910" s="39">
        <f>IF(AND($E910="timed",$N910&gt;=Settings!$C$9),1,0)</f>
        <v>0</v>
      </c>
      <c r="AJ910" s="39" t="str">
        <f>IF(OR($S910="",Settings!$C$16=""),"",IF($S910&lt;=Settings!$C$16,1,2))</f>
        <v/>
      </c>
      <c r="AK910" s="39" t="str">
        <f>IF($C910="","",IFERROR(IF(INDEX(Settings!$C$20:$C$59,MATCH($C910,Settings!$B$20:$B$59,0))="",Settings!$C$10,INDEX(Settings!$C$20:$C$59,MATCH($C910,Settings!$B$20:$B$59,0))),Settings!$C$10))</f>
        <v/>
      </c>
      <c r="AL910" s="108">
        <f t="shared" si="264"/>
        <v>0</v>
      </c>
      <c r="AM910" s="39" t="str">
        <f t="shared" si="265"/>
        <v/>
      </c>
      <c r="AN910" s="39" t="str">
        <f t="shared" si="266"/>
        <v/>
      </c>
      <c r="AO910" s="39" t="str">
        <f t="shared" si="267"/>
        <v/>
      </c>
      <c r="AP910" s="39">
        <f t="shared" si="268"/>
        <v>0</v>
      </c>
      <c r="AQ910" s="39">
        <f t="shared" si="269"/>
        <v>0</v>
      </c>
    </row>
    <row r="911" spans="14:43" x14ac:dyDescent="0.25">
      <c r="N911" s="105">
        <f t="shared" si="252"/>
        <v>0</v>
      </c>
      <c r="O911" s="106" t="str">
        <f>IF($F911="","",IF(ISNUMBER($F911),$F911+Settings!$C$7/24,IFERROR(DATEVALUE(LEFT($F911,10))+TIMEVALUE(MID($F911,12,8))+Settings!$C$7/24,"")))</f>
        <v/>
      </c>
      <c r="P911" s="106" t="str">
        <f>IF($G911="","",IF(ISNUMBER($G911),$G911+Settings!$C$7/24,IFERROR(DATEVALUE(LEFT($G911,10))+TIMEVALUE(MID($G911,12,8))+Settings!$C$7/24,"")))</f>
        <v/>
      </c>
      <c r="Q911" s="39" t="str">
        <f t="shared" si="253"/>
        <v/>
      </c>
      <c r="R911" s="39" t="str">
        <f t="shared" si="254"/>
        <v/>
      </c>
      <c r="S911" s="107" t="str">
        <f t="shared" si="255"/>
        <v/>
      </c>
      <c r="T911" s="39" t="str">
        <f>IF($C911="","",IF(COUNTIF($C$2:$C911,$C911)=1,1,0))</f>
        <v/>
      </c>
      <c r="U911" s="39" t="str">
        <f>IF($T911=1,COUNTIF($T$2:$T911,1),"")</f>
        <v/>
      </c>
      <c r="V911" s="39" t="str">
        <f>IF($B911="","",IF(COUNTIF($B$2:$B911,$B911)=1,1,0))</f>
        <v/>
      </c>
      <c r="W911" s="39" t="str">
        <f>IF($V911=1,COUNTIF($V$2:$V911,1),"")</f>
        <v/>
      </c>
      <c r="X911" s="39" t="str">
        <f>IF($A911="","",IF(COUNTIF($A$2:$A911,$A911)=1,1,0))</f>
        <v/>
      </c>
      <c r="Y911" s="39" t="str">
        <f>IF($X911=1,COUNTIF($X$2:$X911,1),"")</f>
        <v/>
      </c>
      <c r="Z911" s="39">
        <f>IF(AND($E911="timed",$N911&gt;Settings!$C$8),1,0)</f>
        <v>0</v>
      </c>
      <c r="AA911" s="39">
        <f t="shared" si="256"/>
        <v>0</v>
      </c>
      <c r="AB911" s="39">
        <f t="shared" si="257"/>
        <v>0</v>
      </c>
      <c r="AC911" s="39" t="str">
        <f t="shared" si="258"/>
        <v/>
      </c>
      <c r="AD911" s="39" t="str">
        <f t="shared" si="259"/>
        <v/>
      </c>
      <c r="AE911" s="39" t="str">
        <f t="shared" si="260"/>
        <v/>
      </c>
      <c r="AF911" s="106" t="str">
        <f t="shared" si="261"/>
        <v/>
      </c>
      <c r="AG911" s="39">
        <f t="shared" si="262"/>
        <v>0</v>
      </c>
      <c r="AH911" s="39" t="str">
        <f t="shared" si="263"/>
        <v/>
      </c>
      <c r="AI911" s="39">
        <f>IF(AND($E911="timed",$N911&gt;=Settings!$C$9),1,0)</f>
        <v>0</v>
      </c>
      <c r="AJ911" s="39" t="str">
        <f>IF(OR($S911="",Settings!$C$16=""),"",IF($S911&lt;=Settings!$C$16,1,2))</f>
        <v/>
      </c>
      <c r="AK911" s="39" t="str">
        <f>IF($C911="","",IFERROR(IF(INDEX(Settings!$C$20:$C$59,MATCH($C911,Settings!$B$20:$B$59,0))="",Settings!$C$10,INDEX(Settings!$C$20:$C$59,MATCH($C911,Settings!$B$20:$B$59,0))),Settings!$C$10))</f>
        <v/>
      </c>
      <c r="AL911" s="108">
        <f t="shared" si="264"/>
        <v>0</v>
      </c>
      <c r="AM911" s="39" t="str">
        <f t="shared" si="265"/>
        <v/>
      </c>
      <c r="AN911" s="39" t="str">
        <f t="shared" si="266"/>
        <v/>
      </c>
      <c r="AO911" s="39" t="str">
        <f t="shared" si="267"/>
        <v/>
      </c>
      <c r="AP911" s="39">
        <f t="shared" si="268"/>
        <v>0</v>
      </c>
      <c r="AQ911" s="39">
        <f t="shared" si="269"/>
        <v>0</v>
      </c>
    </row>
    <row r="912" spans="14:43" x14ac:dyDescent="0.25">
      <c r="N912" s="105">
        <f t="shared" si="252"/>
        <v>0</v>
      </c>
      <c r="O912" s="106" t="str">
        <f>IF($F912="","",IF(ISNUMBER($F912),$F912+Settings!$C$7/24,IFERROR(DATEVALUE(LEFT($F912,10))+TIMEVALUE(MID($F912,12,8))+Settings!$C$7/24,"")))</f>
        <v/>
      </c>
      <c r="P912" s="106" t="str">
        <f>IF($G912="","",IF(ISNUMBER($G912),$G912+Settings!$C$7/24,IFERROR(DATEVALUE(LEFT($G912,10))+TIMEVALUE(MID($G912,12,8))+Settings!$C$7/24,"")))</f>
        <v/>
      </c>
      <c r="Q912" s="39" t="str">
        <f t="shared" si="253"/>
        <v/>
      </c>
      <c r="R912" s="39" t="str">
        <f t="shared" si="254"/>
        <v/>
      </c>
      <c r="S912" s="107" t="str">
        <f t="shared" si="255"/>
        <v/>
      </c>
      <c r="T912" s="39" t="str">
        <f>IF($C912="","",IF(COUNTIF($C$2:$C912,$C912)=1,1,0))</f>
        <v/>
      </c>
      <c r="U912" s="39" t="str">
        <f>IF($T912=1,COUNTIF($T$2:$T912,1),"")</f>
        <v/>
      </c>
      <c r="V912" s="39" t="str">
        <f>IF($B912="","",IF(COUNTIF($B$2:$B912,$B912)=1,1,0))</f>
        <v/>
      </c>
      <c r="W912" s="39" t="str">
        <f>IF($V912=1,COUNTIF($V$2:$V912,1),"")</f>
        <v/>
      </c>
      <c r="X912" s="39" t="str">
        <f>IF($A912="","",IF(COUNTIF($A$2:$A912,$A912)=1,1,0))</f>
        <v/>
      </c>
      <c r="Y912" s="39" t="str">
        <f>IF($X912=1,COUNTIF($X$2:$X912,1),"")</f>
        <v/>
      </c>
      <c r="Z912" s="39">
        <f>IF(AND($E912="timed",$N912&gt;Settings!$C$8),1,0)</f>
        <v>0</v>
      </c>
      <c r="AA912" s="39">
        <f t="shared" si="256"/>
        <v>0</v>
      </c>
      <c r="AB912" s="39">
        <f t="shared" si="257"/>
        <v>0</v>
      </c>
      <c r="AC912" s="39" t="str">
        <f t="shared" si="258"/>
        <v/>
      </c>
      <c r="AD912" s="39" t="str">
        <f t="shared" si="259"/>
        <v/>
      </c>
      <c r="AE912" s="39" t="str">
        <f t="shared" si="260"/>
        <v/>
      </c>
      <c r="AF912" s="106" t="str">
        <f t="shared" si="261"/>
        <v/>
      </c>
      <c r="AG912" s="39">
        <f t="shared" si="262"/>
        <v>0</v>
      </c>
      <c r="AH912" s="39" t="str">
        <f t="shared" si="263"/>
        <v/>
      </c>
      <c r="AI912" s="39">
        <f>IF(AND($E912="timed",$N912&gt;=Settings!$C$9),1,0)</f>
        <v>0</v>
      </c>
      <c r="AJ912" s="39" t="str">
        <f>IF(OR($S912="",Settings!$C$16=""),"",IF($S912&lt;=Settings!$C$16,1,2))</f>
        <v/>
      </c>
      <c r="AK912" s="39" t="str">
        <f>IF($C912="","",IFERROR(IF(INDEX(Settings!$C$20:$C$59,MATCH($C912,Settings!$B$20:$B$59,0))="",Settings!$C$10,INDEX(Settings!$C$20:$C$59,MATCH($C912,Settings!$B$20:$B$59,0))),Settings!$C$10))</f>
        <v/>
      </c>
      <c r="AL912" s="108">
        <f t="shared" si="264"/>
        <v>0</v>
      </c>
      <c r="AM912" s="39" t="str">
        <f t="shared" si="265"/>
        <v/>
      </c>
      <c r="AN912" s="39" t="str">
        <f t="shared" si="266"/>
        <v/>
      </c>
      <c r="AO912" s="39" t="str">
        <f t="shared" si="267"/>
        <v/>
      </c>
      <c r="AP912" s="39">
        <f t="shared" si="268"/>
        <v>0</v>
      </c>
      <c r="AQ912" s="39">
        <f t="shared" si="269"/>
        <v>0</v>
      </c>
    </row>
    <row r="913" spans="14:43" x14ac:dyDescent="0.25">
      <c r="N913" s="105">
        <f t="shared" si="252"/>
        <v>0</v>
      </c>
      <c r="O913" s="106" t="str">
        <f>IF($F913="","",IF(ISNUMBER($F913),$F913+Settings!$C$7/24,IFERROR(DATEVALUE(LEFT($F913,10))+TIMEVALUE(MID($F913,12,8))+Settings!$C$7/24,"")))</f>
        <v/>
      </c>
      <c r="P913" s="106" t="str">
        <f>IF($G913="","",IF(ISNUMBER($G913),$G913+Settings!$C$7/24,IFERROR(DATEVALUE(LEFT($G913,10))+TIMEVALUE(MID($G913,12,8))+Settings!$C$7/24,"")))</f>
        <v/>
      </c>
      <c r="Q913" s="39" t="str">
        <f t="shared" si="253"/>
        <v/>
      </c>
      <c r="R913" s="39" t="str">
        <f t="shared" si="254"/>
        <v/>
      </c>
      <c r="S913" s="107" t="str">
        <f t="shared" si="255"/>
        <v/>
      </c>
      <c r="T913" s="39" t="str">
        <f>IF($C913="","",IF(COUNTIF($C$2:$C913,$C913)=1,1,0))</f>
        <v/>
      </c>
      <c r="U913" s="39" t="str">
        <f>IF($T913=1,COUNTIF($T$2:$T913,1),"")</f>
        <v/>
      </c>
      <c r="V913" s="39" t="str">
        <f>IF($B913="","",IF(COUNTIF($B$2:$B913,$B913)=1,1,0))</f>
        <v/>
      </c>
      <c r="W913" s="39" t="str">
        <f>IF($V913=1,COUNTIF($V$2:$V913,1),"")</f>
        <v/>
      </c>
      <c r="X913" s="39" t="str">
        <f>IF($A913="","",IF(COUNTIF($A$2:$A913,$A913)=1,1,0))</f>
        <v/>
      </c>
      <c r="Y913" s="39" t="str">
        <f>IF($X913=1,COUNTIF($X$2:$X913,1),"")</f>
        <v/>
      </c>
      <c r="Z913" s="39">
        <f>IF(AND($E913="timed",$N913&gt;Settings!$C$8),1,0)</f>
        <v>0</v>
      </c>
      <c r="AA913" s="39">
        <f t="shared" si="256"/>
        <v>0</v>
      </c>
      <c r="AB913" s="39">
        <f t="shared" si="257"/>
        <v>0</v>
      </c>
      <c r="AC913" s="39" t="str">
        <f t="shared" si="258"/>
        <v/>
      </c>
      <c r="AD913" s="39" t="str">
        <f t="shared" si="259"/>
        <v/>
      </c>
      <c r="AE913" s="39" t="str">
        <f t="shared" si="260"/>
        <v/>
      </c>
      <c r="AF913" s="106" t="str">
        <f t="shared" si="261"/>
        <v/>
      </c>
      <c r="AG913" s="39">
        <f t="shared" si="262"/>
        <v>0</v>
      </c>
      <c r="AH913" s="39" t="str">
        <f t="shared" si="263"/>
        <v/>
      </c>
      <c r="AI913" s="39">
        <f>IF(AND($E913="timed",$N913&gt;=Settings!$C$9),1,0)</f>
        <v>0</v>
      </c>
      <c r="AJ913" s="39" t="str">
        <f>IF(OR($S913="",Settings!$C$16=""),"",IF($S913&lt;=Settings!$C$16,1,2))</f>
        <v/>
      </c>
      <c r="AK913" s="39" t="str">
        <f>IF($C913="","",IFERROR(IF(INDEX(Settings!$C$20:$C$59,MATCH($C913,Settings!$B$20:$B$59,0))="",Settings!$C$10,INDEX(Settings!$C$20:$C$59,MATCH($C913,Settings!$B$20:$B$59,0))),Settings!$C$10))</f>
        <v/>
      </c>
      <c r="AL913" s="108">
        <f t="shared" si="264"/>
        <v>0</v>
      </c>
      <c r="AM913" s="39" t="str">
        <f t="shared" si="265"/>
        <v/>
      </c>
      <c r="AN913" s="39" t="str">
        <f t="shared" si="266"/>
        <v/>
      </c>
      <c r="AO913" s="39" t="str">
        <f t="shared" si="267"/>
        <v/>
      </c>
      <c r="AP913" s="39">
        <f t="shared" si="268"/>
        <v>0</v>
      </c>
      <c r="AQ913" s="39">
        <f t="shared" si="269"/>
        <v>0</v>
      </c>
    </row>
    <row r="914" spans="14:43" x14ac:dyDescent="0.25">
      <c r="N914" s="105">
        <f t="shared" si="252"/>
        <v>0</v>
      </c>
      <c r="O914" s="106" t="str">
        <f>IF($F914="","",IF(ISNUMBER($F914),$F914+Settings!$C$7/24,IFERROR(DATEVALUE(LEFT($F914,10))+TIMEVALUE(MID($F914,12,8))+Settings!$C$7/24,"")))</f>
        <v/>
      </c>
      <c r="P914" s="106" t="str">
        <f>IF($G914="","",IF(ISNUMBER($G914),$G914+Settings!$C$7/24,IFERROR(DATEVALUE(LEFT($G914,10))+TIMEVALUE(MID($G914,12,8))+Settings!$C$7/24,"")))</f>
        <v/>
      </c>
      <c r="Q914" s="39" t="str">
        <f t="shared" si="253"/>
        <v/>
      </c>
      <c r="R914" s="39" t="str">
        <f t="shared" si="254"/>
        <v/>
      </c>
      <c r="S914" s="107" t="str">
        <f t="shared" si="255"/>
        <v/>
      </c>
      <c r="T914" s="39" t="str">
        <f>IF($C914="","",IF(COUNTIF($C$2:$C914,$C914)=1,1,0))</f>
        <v/>
      </c>
      <c r="U914" s="39" t="str">
        <f>IF($T914=1,COUNTIF($T$2:$T914,1),"")</f>
        <v/>
      </c>
      <c r="V914" s="39" t="str">
        <f>IF($B914="","",IF(COUNTIF($B$2:$B914,$B914)=1,1,0))</f>
        <v/>
      </c>
      <c r="W914" s="39" t="str">
        <f>IF($V914=1,COUNTIF($V$2:$V914,1),"")</f>
        <v/>
      </c>
      <c r="X914" s="39" t="str">
        <f>IF($A914="","",IF(COUNTIF($A$2:$A914,$A914)=1,1,0))</f>
        <v/>
      </c>
      <c r="Y914" s="39" t="str">
        <f>IF($X914=1,COUNTIF($X$2:$X914,1),"")</f>
        <v/>
      </c>
      <c r="Z914" s="39">
        <f>IF(AND($E914="timed",$N914&gt;Settings!$C$8),1,0)</f>
        <v>0</v>
      </c>
      <c r="AA914" s="39">
        <f t="shared" si="256"/>
        <v>0</v>
      </c>
      <c r="AB914" s="39">
        <f t="shared" si="257"/>
        <v>0</v>
      </c>
      <c r="AC914" s="39" t="str">
        <f t="shared" si="258"/>
        <v/>
      </c>
      <c r="AD914" s="39" t="str">
        <f t="shared" si="259"/>
        <v/>
      </c>
      <c r="AE914" s="39" t="str">
        <f t="shared" si="260"/>
        <v/>
      </c>
      <c r="AF914" s="106" t="str">
        <f t="shared" si="261"/>
        <v/>
      </c>
      <c r="AG914" s="39">
        <f t="shared" si="262"/>
        <v>0</v>
      </c>
      <c r="AH914" s="39" t="str">
        <f t="shared" si="263"/>
        <v/>
      </c>
      <c r="AI914" s="39">
        <f>IF(AND($E914="timed",$N914&gt;=Settings!$C$9),1,0)</f>
        <v>0</v>
      </c>
      <c r="AJ914" s="39" t="str">
        <f>IF(OR($S914="",Settings!$C$16=""),"",IF($S914&lt;=Settings!$C$16,1,2))</f>
        <v/>
      </c>
      <c r="AK914" s="39" t="str">
        <f>IF($C914="","",IFERROR(IF(INDEX(Settings!$C$20:$C$59,MATCH($C914,Settings!$B$20:$B$59,0))="",Settings!$C$10,INDEX(Settings!$C$20:$C$59,MATCH($C914,Settings!$B$20:$B$59,0))),Settings!$C$10))</f>
        <v/>
      </c>
      <c r="AL914" s="108">
        <f t="shared" si="264"/>
        <v>0</v>
      </c>
      <c r="AM914" s="39" t="str">
        <f t="shared" si="265"/>
        <v/>
      </c>
      <c r="AN914" s="39" t="str">
        <f t="shared" si="266"/>
        <v/>
      </c>
      <c r="AO914" s="39" t="str">
        <f t="shared" si="267"/>
        <v/>
      </c>
      <c r="AP914" s="39">
        <f t="shared" si="268"/>
        <v>0</v>
      </c>
      <c r="AQ914" s="39">
        <f t="shared" si="269"/>
        <v>0</v>
      </c>
    </row>
    <row r="915" spans="14:43" x14ac:dyDescent="0.25">
      <c r="N915" s="105">
        <f t="shared" si="252"/>
        <v>0</v>
      </c>
      <c r="O915" s="106" t="str">
        <f>IF($F915="","",IF(ISNUMBER($F915),$F915+Settings!$C$7/24,IFERROR(DATEVALUE(LEFT($F915,10))+TIMEVALUE(MID($F915,12,8))+Settings!$C$7/24,"")))</f>
        <v/>
      </c>
      <c r="P915" s="106" t="str">
        <f>IF($G915="","",IF(ISNUMBER($G915),$G915+Settings!$C$7/24,IFERROR(DATEVALUE(LEFT($G915,10))+TIMEVALUE(MID($G915,12,8))+Settings!$C$7/24,"")))</f>
        <v/>
      </c>
      <c r="Q915" s="39" t="str">
        <f t="shared" si="253"/>
        <v/>
      </c>
      <c r="R915" s="39" t="str">
        <f t="shared" si="254"/>
        <v/>
      </c>
      <c r="S915" s="107" t="str">
        <f t="shared" si="255"/>
        <v/>
      </c>
      <c r="T915" s="39" t="str">
        <f>IF($C915="","",IF(COUNTIF($C$2:$C915,$C915)=1,1,0))</f>
        <v/>
      </c>
      <c r="U915" s="39" t="str">
        <f>IF($T915=1,COUNTIF($T$2:$T915,1),"")</f>
        <v/>
      </c>
      <c r="V915" s="39" t="str">
        <f>IF($B915="","",IF(COUNTIF($B$2:$B915,$B915)=1,1,0))</f>
        <v/>
      </c>
      <c r="W915" s="39" t="str">
        <f>IF($V915=1,COUNTIF($V$2:$V915,1),"")</f>
        <v/>
      </c>
      <c r="X915" s="39" t="str">
        <f>IF($A915="","",IF(COUNTIF($A$2:$A915,$A915)=1,1,0))</f>
        <v/>
      </c>
      <c r="Y915" s="39" t="str">
        <f>IF($X915=1,COUNTIF($X$2:$X915,1),"")</f>
        <v/>
      </c>
      <c r="Z915" s="39">
        <f>IF(AND($E915="timed",$N915&gt;Settings!$C$8),1,0)</f>
        <v>0</v>
      </c>
      <c r="AA915" s="39">
        <f t="shared" si="256"/>
        <v>0</v>
      </c>
      <c r="AB915" s="39">
        <f t="shared" si="257"/>
        <v>0</v>
      </c>
      <c r="AC915" s="39" t="str">
        <f t="shared" si="258"/>
        <v/>
      </c>
      <c r="AD915" s="39" t="str">
        <f t="shared" si="259"/>
        <v/>
      </c>
      <c r="AE915" s="39" t="str">
        <f t="shared" si="260"/>
        <v/>
      </c>
      <c r="AF915" s="106" t="str">
        <f t="shared" si="261"/>
        <v/>
      </c>
      <c r="AG915" s="39">
        <f t="shared" si="262"/>
        <v>0</v>
      </c>
      <c r="AH915" s="39" t="str">
        <f t="shared" si="263"/>
        <v/>
      </c>
      <c r="AI915" s="39">
        <f>IF(AND($E915="timed",$N915&gt;=Settings!$C$9),1,0)</f>
        <v>0</v>
      </c>
      <c r="AJ915" s="39" t="str">
        <f>IF(OR($S915="",Settings!$C$16=""),"",IF($S915&lt;=Settings!$C$16,1,2))</f>
        <v/>
      </c>
      <c r="AK915" s="39" t="str">
        <f>IF($C915="","",IFERROR(IF(INDEX(Settings!$C$20:$C$59,MATCH($C915,Settings!$B$20:$B$59,0))="",Settings!$C$10,INDEX(Settings!$C$20:$C$59,MATCH($C915,Settings!$B$20:$B$59,0))),Settings!$C$10))</f>
        <v/>
      </c>
      <c r="AL915" s="108">
        <f t="shared" si="264"/>
        <v>0</v>
      </c>
      <c r="AM915" s="39" t="str">
        <f t="shared" si="265"/>
        <v/>
      </c>
      <c r="AN915" s="39" t="str">
        <f t="shared" si="266"/>
        <v/>
      </c>
      <c r="AO915" s="39" t="str">
        <f t="shared" si="267"/>
        <v/>
      </c>
      <c r="AP915" s="39">
        <f t="shared" si="268"/>
        <v>0</v>
      </c>
      <c r="AQ915" s="39">
        <f t="shared" si="269"/>
        <v>0</v>
      </c>
    </row>
    <row r="916" spans="14:43" x14ac:dyDescent="0.25">
      <c r="N916" s="105">
        <f t="shared" si="252"/>
        <v>0</v>
      </c>
      <c r="O916" s="106" t="str">
        <f>IF($F916="","",IF(ISNUMBER($F916),$F916+Settings!$C$7/24,IFERROR(DATEVALUE(LEFT($F916,10))+TIMEVALUE(MID($F916,12,8))+Settings!$C$7/24,"")))</f>
        <v/>
      </c>
      <c r="P916" s="106" t="str">
        <f>IF($G916="","",IF(ISNUMBER($G916),$G916+Settings!$C$7/24,IFERROR(DATEVALUE(LEFT($G916,10))+TIMEVALUE(MID($G916,12,8))+Settings!$C$7/24,"")))</f>
        <v/>
      </c>
      <c r="Q916" s="39" t="str">
        <f t="shared" si="253"/>
        <v/>
      </c>
      <c r="R916" s="39" t="str">
        <f t="shared" si="254"/>
        <v/>
      </c>
      <c r="S916" s="107" t="str">
        <f t="shared" si="255"/>
        <v/>
      </c>
      <c r="T916" s="39" t="str">
        <f>IF($C916="","",IF(COUNTIF($C$2:$C916,$C916)=1,1,0))</f>
        <v/>
      </c>
      <c r="U916" s="39" t="str">
        <f>IF($T916=1,COUNTIF($T$2:$T916,1),"")</f>
        <v/>
      </c>
      <c r="V916" s="39" t="str">
        <f>IF($B916="","",IF(COUNTIF($B$2:$B916,$B916)=1,1,0))</f>
        <v/>
      </c>
      <c r="W916" s="39" t="str">
        <f>IF($V916=1,COUNTIF($V$2:$V916,1),"")</f>
        <v/>
      </c>
      <c r="X916" s="39" t="str">
        <f>IF($A916="","",IF(COUNTIF($A$2:$A916,$A916)=1,1,0))</f>
        <v/>
      </c>
      <c r="Y916" s="39" t="str">
        <f>IF($X916=1,COUNTIF($X$2:$X916,1),"")</f>
        <v/>
      </c>
      <c r="Z916" s="39">
        <f>IF(AND($E916="timed",$N916&gt;Settings!$C$8),1,0)</f>
        <v>0</v>
      </c>
      <c r="AA916" s="39">
        <f t="shared" si="256"/>
        <v>0</v>
      </c>
      <c r="AB916" s="39">
        <f t="shared" si="257"/>
        <v>0</v>
      </c>
      <c r="AC916" s="39" t="str">
        <f t="shared" si="258"/>
        <v/>
      </c>
      <c r="AD916" s="39" t="str">
        <f t="shared" si="259"/>
        <v/>
      </c>
      <c r="AE916" s="39" t="str">
        <f t="shared" si="260"/>
        <v/>
      </c>
      <c r="AF916" s="106" t="str">
        <f t="shared" si="261"/>
        <v/>
      </c>
      <c r="AG916" s="39">
        <f t="shared" si="262"/>
        <v>0</v>
      </c>
      <c r="AH916" s="39" t="str">
        <f t="shared" si="263"/>
        <v/>
      </c>
      <c r="AI916" s="39">
        <f>IF(AND($E916="timed",$N916&gt;=Settings!$C$9),1,0)</f>
        <v>0</v>
      </c>
      <c r="AJ916" s="39" t="str">
        <f>IF(OR($S916="",Settings!$C$16=""),"",IF($S916&lt;=Settings!$C$16,1,2))</f>
        <v/>
      </c>
      <c r="AK916" s="39" t="str">
        <f>IF($C916="","",IFERROR(IF(INDEX(Settings!$C$20:$C$59,MATCH($C916,Settings!$B$20:$B$59,0))="",Settings!$C$10,INDEX(Settings!$C$20:$C$59,MATCH($C916,Settings!$B$20:$B$59,0))),Settings!$C$10))</f>
        <v/>
      </c>
      <c r="AL916" s="108">
        <f t="shared" si="264"/>
        <v>0</v>
      </c>
      <c r="AM916" s="39" t="str">
        <f t="shared" si="265"/>
        <v/>
      </c>
      <c r="AN916" s="39" t="str">
        <f t="shared" si="266"/>
        <v/>
      </c>
      <c r="AO916" s="39" t="str">
        <f t="shared" si="267"/>
        <v/>
      </c>
      <c r="AP916" s="39">
        <f t="shared" si="268"/>
        <v>0</v>
      </c>
      <c r="AQ916" s="39">
        <f t="shared" si="269"/>
        <v>0</v>
      </c>
    </row>
    <row r="917" spans="14:43" x14ac:dyDescent="0.25">
      <c r="N917" s="105">
        <f t="shared" si="252"/>
        <v>0</v>
      </c>
      <c r="O917" s="106" t="str">
        <f>IF($F917="","",IF(ISNUMBER($F917),$F917+Settings!$C$7/24,IFERROR(DATEVALUE(LEFT($F917,10))+TIMEVALUE(MID($F917,12,8))+Settings!$C$7/24,"")))</f>
        <v/>
      </c>
      <c r="P917" s="106" t="str">
        <f>IF($G917="","",IF(ISNUMBER($G917),$G917+Settings!$C$7/24,IFERROR(DATEVALUE(LEFT($G917,10))+TIMEVALUE(MID($G917,12,8))+Settings!$C$7/24,"")))</f>
        <v/>
      </c>
      <c r="Q917" s="39" t="str">
        <f t="shared" si="253"/>
        <v/>
      </c>
      <c r="R917" s="39" t="str">
        <f t="shared" si="254"/>
        <v/>
      </c>
      <c r="S917" s="107" t="str">
        <f t="shared" si="255"/>
        <v/>
      </c>
      <c r="T917" s="39" t="str">
        <f>IF($C917="","",IF(COUNTIF($C$2:$C917,$C917)=1,1,0))</f>
        <v/>
      </c>
      <c r="U917" s="39" t="str">
        <f>IF($T917=1,COUNTIF($T$2:$T917,1),"")</f>
        <v/>
      </c>
      <c r="V917" s="39" t="str">
        <f>IF($B917="","",IF(COUNTIF($B$2:$B917,$B917)=1,1,0))</f>
        <v/>
      </c>
      <c r="W917" s="39" t="str">
        <f>IF($V917=1,COUNTIF($V$2:$V917,1),"")</f>
        <v/>
      </c>
      <c r="X917" s="39" t="str">
        <f>IF($A917="","",IF(COUNTIF($A$2:$A917,$A917)=1,1,0))</f>
        <v/>
      </c>
      <c r="Y917" s="39" t="str">
        <f>IF($X917=1,COUNTIF($X$2:$X917,1),"")</f>
        <v/>
      </c>
      <c r="Z917" s="39">
        <f>IF(AND($E917="timed",$N917&gt;Settings!$C$8),1,0)</f>
        <v>0</v>
      </c>
      <c r="AA917" s="39">
        <f t="shared" si="256"/>
        <v>0</v>
      </c>
      <c r="AB917" s="39">
        <f t="shared" si="257"/>
        <v>0</v>
      </c>
      <c r="AC917" s="39" t="str">
        <f t="shared" si="258"/>
        <v/>
      </c>
      <c r="AD917" s="39" t="str">
        <f t="shared" si="259"/>
        <v/>
      </c>
      <c r="AE917" s="39" t="str">
        <f t="shared" si="260"/>
        <v/>
      </c>
      <c r="AF917" s="106" t="str">
        <f t="shared" si="261"/>
        <v/>
      </c>
      <c r="AG917" s="39">
        <f t="shared" si="262"/>
        <v>0</v>
      </c>
      <c r="AH917" s="39" t="str">
        <f t="shared" si="263"/>
        <v/>
      </c>
      <c r="AI917" s="39">
        <f>IF(AND($E917="timed",$N917&gt;=Settings!$C$9),1,0)</f>
        <v>0</v>
      </c>
      <c r="AJ917" s="39" t="str">
        <f>IF(OR($S917="",Settings!$C$16=""),"",IF($S917&lt;=Settings!$C$16,1,2))</f>
        <v/>
      </c>
      <c r="AK917" s="39" t="str">
        <f>IF($C917="","",IFERROR(IF(INDEX(Settings!$C$20:$C$59,MATCH($C917,Settings!$B$20:$B$59,0))="",Settings!$C$10,INDEX(Settings!$C$20:$C$59,MATCH($C917,Settings!$B$20:$B$59,0))),Settings!$C$10))</f>
        <v/>
      </c>
      <c r="AL917" s="108">
        <f t="shared" si="264"/>
        <v>0</v>
      </c>
      <c r="AM917" s="39" t="str">
        <f t="shared" si="265"/>
        <v/>
      </c>
      <c r="AN917" s="39" t="str">
        <f t="shared" si="266"/>
        <v/>
      </c>
      <c r="AO917" s="39" t="str">
        <f t="shared" si="267"/>
        <v/>
      </c>
      <c r="AP917" s="39">
        <f t="shared" si="268"/>
        <v>0</v>
      </c>
      <c r="AQ917" s="39">
        <f t="shared" si="269"/>
        <v>0</v>
      </c>
    </row>
    <row r="918" spans="14:43" x14ac:dyDescent="0.25">
      <c r="N918" s="105">
        <f t="shared" si="252"/>
        <v>0</v>
      </c>
      <c r="O918" s="106" t="str">
        <f>IF($F918="","",IF(ISNUMBER($F918),$F918+Settings!$C$7/24,IFERROR(DATEVALUE(LEFT($F918,10))+TIMEVALUE(MID($F918,12,8))+Settings!$C$7/24,"")))</f>
        <v/>
      </c>
      <c r="P918" s="106" t="str">
        <f>IF($G918="","",IF(ISNUMBER($G918),$G918+Settings!$C$7/24,IFERROR(DATEVALUE(LEFT($G918,10))+TIMEVALUE(MID($G918,12,8))+Settings!$C$7/24,"")))</f>
        <v/>
      </c>
      <c r="Q918" s="39" t="str">
        <f t="shared" si="253"/>
        <v/>
      </c>
      <c r="R918" s="39" t="str">
        <f t="shared" si="254"/>
        <v/>
      </c>
      <c r="S918" s="107" t="str">
        <f t="shared" si="255"/>
        <v/>
      </c>
      <c r="T918" s="39" t="str">
        <f>IF($C918="","",IF(COUNTIF($C$2:$C918,$C918)=1,1,0))</f>
        <v/>
      </c>
      <c r="U918" s="39" t="str">
        <f>IF($T918=1,COUNTIF($T$2:$T918,1),"")</f>
        <v/>
      </c>
      <c r="V918" s="39" t="str">
        <f>IF($B918="","",IF(COUNTIF($B$2:$B918,$B918)=1,1,0))</f>
        <v/>
      </c>
      <c r="W918" s="39" t="str">
        <f>IF($V918=1,COUNTIF($V$2:$V918,1),"")</f>
        <v/>
      </c>
      <c r="X918" s="39" t="str">
        <f>IF($A918="","",IF(COUNTIF($A$2:$A918,$A918)=1,1,0))</f>
        <v/>
      </c>
      <c r="Y918" s="39" t="str">
        <f>IF($X918=1,COUNTIF($X$2:$X918,1),"")</f>
        <v/>
      </c>
      <c r="Z918" s="39">
        <f>IF(AND($E918="timed",$N918&gt;Settings!$C$8),1,0)</f>
        <v>0</v>
      </c>
      <c r="AA918" s="39">
        <f t="shared" si="256"/>
        <v>0</v>
      </c>
      <c r="AB918" s="39">
        <f t="shared" si="257"/>
        <v>0</v>
      </c>
      <c r="AC918" s="39" t="str">
        <f t="shared" si="258"/>
        <v/>
      </c>
      <c r="AD918" s="39" t="str">
        <f t="shared" si="259"/>
        <v/>
      </c>
      <c r="AE918" s="39" t="str">
        <f t="shared" si="260"/>
        <v/>
      </c>
      <c r="AF918" s="106" t="str">
        <f t="shared" si="261"/>
        <v/>
      </c>
      <c r="AG918" s="39">
        <f t="shared" si="262"/>
        <v>0</v>
      </c>
      <c r="AH918" s="39" t="str">
        <f t="shared" si="263"/>
        <v/>
      </c>
      <c r="AI918" s="39">
        <f>IF(AND($E918="timed",$N918&gt;=Settings!$C$9),1,0)</f>
        <v>0</v>
      </c>
      <c r="AJ918" s="39" t="str">
        <f>IF(OR($S918="",Settings!$C$16=""),"",IF($S918&lt;=Settings!$C$16,1,2))</f>
        <v/>
      </c>
      <c r="AK918" s="39" t="str">
        <f>IF($C918="","",IFERROR(IF(INDEX(Settings!$C$20:$C$59,MATCH($C918,Settings!$B$20:$B$59,0))="",Settings!$C$10,INDEX(Settings!$C$20:$C$59,MATCH($C918,Settings!$B$20:$B$59,0))),Settings!$C$10))</f>
        <v/>
      </c>
      <c r="AL918" s="108">
        <f t="shared" si="264"/>
        <v>0</v>
      </c>
      <c r="AM918" s="39" t="str">
        <f t="shared" si="265"/>
        <v/>
      </c>
      <c r="AN918" s="39" t="str">
        <f t="shared" si="266"/>
        <v/>
      </c>
      <c r="AO918" s="39" t="str">
        <f t="shared" si="267"/>
        <v/>
      </c>
      <c r="AP918" s="39">
        <f t="shared" si="268"/>
        <v>0</v>
      </c>
      <c r="AQ918" s="39">
        <f t="shared" si="269"/>
        <v>0</v>
      </c>
    </row>
    <row r="919" spans="14:43" x14ac:dyDescent="0.25">
      <c r="N919" s="105">
        <f t="shared" si="252"/>
        <v>0</v>
      </c>
      <c r="O919" s="106" t="str">
        <f>IF($F919="","",IF(ISNUMBER($F919),$F919+Settings!$C$7/24,IFERROR(DATEVALUE(LEFT($F919,10))+TIMEVALUE(MID($F919,12,8))+Settings!$C$7/24,"")))</f>
        <v/>
      </c>
      <c r="P919" s="106" t="str">
        <f>IF($G919="","",IF(ISNUMBER($G919),$G919+Settings!$C$7/24,IFERROR(DATEVALUE(LEFT($G919,10))+TIMEVALUE(MID($G919,12,8))+Settings!$C$7/24,"")))</f>
        <v/>
      </c>
      <c r="Q919" s="39" t="str">
        <f t="shared" si="253"/>
        <v/>
      </c>
      <c r="R919" s="39" t="str">
        <f t="shared" si="254"/>
        <v/>
      </c>
      <c r="S919" s="107" t="str">
        <f t="shared" si="255"/>
        <v/>
      </c>
      <c r="T919" s="39" t="str">
        <f>IF($C919="","",IF(COUNTIF($C$2:$C919,$C919)=1,1,0))</f>
        <v/>
      </c>
      <c r="U919" s="39" t="str">
        <f>IF($T919=1,COUNTIF($T$2:$T919,1),"")</f>
        <v/>
      </c>
      <c r="V919" s="39" t="str">
        <f>IF($B919="","",IF(COUNTIF($B$2:$B919,$B919)=1,1,0))</f>
        <v/>
      </c>
      <c r="W919" s="39" t="str">
        <f>IF($V919=1,COUNTIF($V$2:$V919,1),"")</f>
        <v/>
      </c>
      <c r="X919" s="39" t="str">
        <f>IF($A919="","",IF(COUNTIF($A$2:$A919,$A919)=1,1,0))</f>
        <v/>
      </c>
      <c r="Y919" s="39" t="str">
        <f>IF($X919=1,COUNTIF($X$2:$X919,1),"")</f>
        <v/>
      </c>
      <c r="Z919" s="39">
        <f>IF(AND($E919="timed",$N919&gt;Settings!$C$8),1,0)</f>
        <v>0</v>
      </c>
      <c r="AA919" s="39">
        <f t="shared" si="256"/>
        <v>0</v>
      </c>
      <c r="AB919" s="39">
        <f t="shared" si="257"/>
        <v>0</v>
      </c>
      <c r="AC919" s="39" t="str">
        <f t="shared" si="258"/>
        <v/>
      </c>
      <c r="AD919" s="39" t="str">
        <f t="shared" si="259"/>
        <v/>
      </c>
      <c r="AE919" s="39" t="str">
        <f t="shared" si="260"/>
        <v/>
      </c>
      <c r="AF919" s="106" t="str">
        <f t="shared" si="261"/>
        <v/>
      </c>
      <c r="AG919" s="39">
        <f t="shared" si="262"/>
        <v>0</v>
      </c>
      <c r="AH919" s="39" t="str">
        <f t="shared" si="263"/>
        <v/>
      </c>
      <c r="AI919" s="39">
        <f>IF(AND($E919="timed",$N919&gt;=Settings!$C$9),1,0)</f>
        <v>0</v>
      </c>
      <c r="AJ919" s="39" t="str">
        <f>IF(OR($S919="",Settings!$C$16=""),"",IF($S919&lt;=Settings!$C$16,1,2))</f>
        <v/>
      </c>
      <c r="AK919" s="39" t="str">
        <f>IF($C919="","",IFERROR(IF(INDEX(Settings!$C$20:$C$59,MATCH($C919,Settings!$B$20:$B$59,0))="",Settings!$C$10,INDEX(Settings!$C$20:$C$59,MATCH($C919,Settings!$B$20:$B$59,0))),Settings!$C$10))</f>
        <v/>
      </c>
      <c r="AL919" s="108">
        <f t="shared" si="264"/>
        <v>0</v>
      </c>
      <c r="AM919" s="39" t="str">
        <f t="shared" si="265"/>
        <v/>
      </c>
      <c r="AN919" s="39" t="str">
        <f t="shared" si="266"/>
        <v/>
      </c>
      <c r="AO919" s="39" t="str">
        <f t="shared" si="267"/>
        <v/>
      </c>
      <c r="AP919" s="39">
        <f t="shared" si="268"/>
        <v>0</v>
      </c>
      <c r="AQ919" s="39">
        <f t="shared" si="269"/>
        <v>0</v>
      </c>
    </row>
    <row r="920" spans="14:43" x14ac:dyDescent="0.25">
      <c r="N920" s="105">
        <f t="shared" si="252"/>
        <v>0</v>
      </c>
      <c r="O920" s="106" t="str">
        <f>IF($F920="","",IF(ISNUMBER($F920),$F920+Settings!$C$7/24,IFERROR(DATEVALUE(LEFT($F920,10))+TIMEVALUE(MID($F920,12,8))+Settings!$C$7/24,"")))</f>
        <v/>
      </c>
      <c r="P920" s="106" t="str">
        <f>IF($G920="","",IF(ISNUMBER($G920),$G920+Settings!$C$7/24,IFERROR(DATEVALUE(LEFT($G920,10))+TIMEVALUE(MID($G920,12,8))+Settings!$C$7/24,"")))</f>
        <v/>
      </c>
      <c r="Q920" s="39" t="str">
        <f t="shared" si="253"/>
        <v/>
      </c>
      <c r="R920" s="39" t="str">
        <f t="shared" si="254"/>
        <v/>
      </c>
      <c r="S920" s="107" t="str">
        <f t="shared" si="255"/>
        <v/>
      </c>
      <c r="T920" s="39" t="str">
        <f>IF($C920="","",IF(COUNTIF($C$2:$C920,$C920)=1,1,0))</f>
        <v/>
      </c>
      <c r="U920" s="39" t="str">
        <f>IF($T920=1,COUNTIF($T$2:$T920,1),"")</f>
        <v/>
      </c>
      <c r="V920" s="39" t="str">
        <f>IF($B920="","",IF(COUNTIF($B$2:$B920,$B920)=1,1,0))</f>
        <v/>
      </c>
      <c r="W920" s="39" t="str">
        <f>IF($V920=1,COUNTIF($V$2:$V920,1),"")</f>
        <v/>
      </c>
      <c r="X920" s="39" t="str">
        <f>IF($A920="","",IF(COUNTIF($A$2:$A920,$A920)=1,1,0))</f>
        <v/>
      </c>
      <c r="Y920" s="39" t="str">
        <f>IF($X920=1,COUNTIF($X$2:$X920,1),"")</f>
        <v/>
      </c>
      <c r="Z920" s="39">
        <f>IF(AND($E920="timed",$N920&gt;Settings!$C$8),1,0)</f>
        <v>0</v>
      </c>
      <c r="AA920" s="39">
        <f t="shared" si="256"/>
        <v>0</v>
      </c>
      <c r="AB920" s="39">
        <f t="shared" si="257"/>
        <v>0</v>
      </c>
      <c r="AC920" s="39" t="str">
        <f t="shared" si="258"/>
        <v/>
      </c>
      <c r="AD920" s="39" t="str">
        <f t="shared" si="259"/>
        <v/>
      </c>
      <c r="AE920" s="39" t="str">
        <f t="shared" si="260"/>
        <v/>
      </c>
      <c r="AF920" s="106" t="str">
        <f t="shared" si="261"/>
        <v/>
      </c>
      <c r="AG920" s="39">
        <f t="shared" si="262"/>
        <v>0</v>
      </c>
      <c r="AH920" s="39" t="str">
        <f t="shared" si="263"/>
        <v/>
      </c>
      <c r="AI920" s="39">
        <f>IF(AND($E920="timed",$N920&gt;=Settings!$C$9),1,0)</f>
        <v>0</v>
      </c>
      <c r="AJ920" s="39" t="str">
        <f>IF(OR($S920="",Settings!$C$16=""),"",IF($S920&lt;=Settings!$C$16,1,2))</f>
        <v/>
      </c>
      <c r="AK920" s="39" t="str">
        <f>IF($C920="","",IFERROR(IF(INDEX(Settings!$C$20:$C$59,MATCH($C920,Settings!$B$20:$B$59,0))="",Settings!$C$10,INDEX(Settings!$C$20:$C$59,MATCH($C920,Settings!$B$20:$B$59,0))),Settings!$C$10))</f>
        <v/>
      </c>
      <c r="AL920" s="108">
        <f t="shared" si="264"/>
        <v>0</v>
      </c>
      <c r="AM920" s="39" t="str">
        <f t="shared" si="265"/>
        <v/>
      </c>
      <c r="AN920" s="39" t="str">
        <f t="shared" si="266"/>
        <v/>
      </c>
      <c r="AO920" s="39" t="str">
        <f t="shared" si="267"/>
        <v/>
      </c>
      <c r="AP920" s="39">
        <f t="shared" si="268"/>
        <v>0</v>
      </c>
      <c r="AQ920" s="39">
        <f t="shared" si="269"/>
        <v>0</v>
      </c>
    </row>
    <row r="921" spans="14:43" x14ac:dyDescent="0.25">
      <c r="N921" s="105">
        <f t="shared" si="252"/>
        <v>0</v>
      </c>
      <c r="O921" s="106" t="str">
        <f>IF($F921="","",IF(ISNUMBER($F921),$F921+Settings!$C$7/24,IFERROR(DATEVALUE(LEFT($F921,10))+TIMEVALUE(MID($F921,12,8))+Settings!$C$7/24,"")))</f>
        <v/>
      </c>
      <c r="P921" s="106" t="str">
        <f>IF($G921="","",IF(ISNUMBER($G921),$G921+Settings!$C$7/24,IFERROR(DATEVALUE(LEFT($G921,10))+TIMEVALUE(MID($G921,12,8))+Settings!$C$7/24,"")))</f>
        <v/>
      </c>
      <c r="Q921" s="39" t="str">
        <f t="shared" si="253"/>
        <v/>
      </c>
      <c r="R921" s="39" t="str">
        <f t="shared" si="254"/>
        <v/>
      </c>
      <c r="S921" s="107" t="str">
        <f t="shared" si="255"/>
        <v/>
      </c>
      <c r="T921" s="39" t="str">
        <f>IF($C921="","",IF(COUNTIF($C$2:$C921,$C921)=1,1,0))</f>
        <v/>
      </c>
      <c r="U921" s="39" t="str">
        <f>IF($T921=1,COUNTIF($T$2:$T921,1),"")</f>
        <v/>
      </c>
      <c r="V921" s="39" t="str">
        <f>IF($B921="","",IF(COUNTIF($B$2:$B921,$B921)=1,1,0))</f>
        <v/>
      </c>
      <c r="W921" s="39" t="str">
        <f>IF($V921=1,COUNTIF($V$2:$V921,1),"")</f>
        <v/>
      </c>
      <c r="X921" s="39" t="str">
        <f>IF($A921="","",IF(COUNTIF($A$2:$A921,$A921)=1,1,0))</f>
        <v/>
      </c>
      <c r="Y921" s="39" t="str">
        <f>IF($X921=1,COUNTIF($X$2:$X921,1),"")</f>
        <v/>
      </c>
      <c r="Z921" s="39">
        <f>IF(AND($E921="timed",$N921&gt;Settings!$C$8),1,0)</f>
        <v>0</v>
      </c>
      <c r="AA921" s="39">
        <f t="shared" si="256"/>
        <v>0</v>
      </c>
      <c r="AB921" s="39">
        <f t="shared" si="257"/>
        <v>0</v>
      </c>
      <c r="AC921" s="39" t="str">
        <f t="shared" si="258"/>
        <v/>
      </c>
      <c r="AD921" s="39" t="str">
        <f t="shared" si="259"/>
        <v/>
      </c>
      <c r="AE921" s="39" t="str">
        <f t="shared" si="260"/>
        <v/>
      </c>
      <c r="AF921" s="106" t="str">
        <f t="shared" si="261"/>
        <v/>
      </c>
      <c r="AG921" s="39">
        <f t="shared" si="262"/>
        <v>0</v>
      </c>
      <c r="AH921" s="39" t="str">
        <f t="shared" si="263"/>
        <v/>
      </c>
      <c r="AI921" s="39">
        <f>IF(AND($E921="timed",$N921&gt;=Settings!$C$9),1,0)</f>
        <v>0</v>
      </c>
      <c r="AJ921" s="39" t="str">
        <f>IF(OR($S921="",Settings!$C$16=""),"",IF($S921&lt;=Settings!$C$16,1,2))</f>
        <v/>
      </c>
      <c r="AK921" s="39" t="str">
        <f>IF($C921="","",IFERROR(IF(INDEX(Settings!$C$20:$C$59,MATCH($C921,Settings!$B$20:$B$59,0))="",Settings!$C$10,INDEX(Settings!$C$20:$C$59,MATCH($C921,Settings!$B$20:$B$59,0))),Settings!$C$10))</f>
        <v/>
      </c>
      <c r="AL921" s="108">
        <f t="shared" si="264"/>
        <v>0</v>
      </c>
      <c r="AM921" s="39" t="str">
        <f t="shared" si="265"/>
        <v/>
      </c>
      <c r="AN921" s="39" t="str">
        <f t="shared" si="266"/>
        <v/>
      </c>
      <c r="AO921" s="39" t="str">
        <f t="shared" si="267"/>
        <v/>
      </c>
      <c r="AP921" s="39">
        <f t="shared" si="268"/>
        <v>0</v>
      </c>
      <c r="AQ921" s="39">
        <f t="shared" si="269"/>
        <v>0</v>
      </c>
    </row>
    <row r="922" spans="14:43" x14ac:dyDescent="0.25">
      <c r="N922" s="105">
        <f t="shared" si="252"/>
        <v>0</v>
      </c>
      <c r="O922" s="106" t="str">
        <f>IF($F922="","",IF(ISNUMBER($F922),$F922+Settings!$C$7/24,IFERROR(DATEVALUE(LEFT($F922,10))+TIMEVALUE(MID($F922,12,8))+Settings!$C$7/24,"")))</f>
        <v/>
      </c>
      <c r="P922" s="106" t="str">
        <f>IF($G922="","",IF(ISNUMBER($G922),$G922+Settings!$C$7/24,IFERROR(DATEVALUE(LEFT($G922,10))+TIMEVALUE(MID($G922,12,8))+Settings!$C$7/24,"")))</f>
        <v/>
      </c>
      <c r="Q922" s="39" t="str">
        <f t="shared" si="253"/>
        <v/>
      </c>
      <c r="R922" s="39" t="str">
        <f t="shared" si="254"/>
        <v/>
      </c>
      <c r="S922" s="107" t="str">
        <f t="shared" si="255"/>
        <v/>
      </c>
      <c r="T922" s="39" t="str">
        <f>IF($C922="","",IF(COUNTIF($C$2:$C922,$C922)=1,1,0))</f>
        <v/>
      </c>
      <c r="U922" s="39" t="str">
        <f>IF($T922=1,COUNTIF($T$2:$T922,1),"")</f>
        <v/>
      </c>
      <c r="V922" s="39" t="str">
        <f>IF($B922="","",IF(COUNTIF($B$2:$B922,$B922)=1,1,0))</f>
        <v/>
      </c>
      <c r="W922" s="39" t="str">
        <f>IF($V922=1,COUNTIF($V$2:$V922,1),"")</f>
        <v/>
      </c>
      <c r="X922" s="39" t="str">
        <f>IF($A922="","",IF(COUNTIF($A$2:$A922,$A922)=1,1,0))</f>
        <v/>
      </c>
      <c r="Y922" s="39" t="str">
        <f>IF($X922=1,COUNTIF($X$2:$X922,1),"")</f>
        <v/>
      </c>
      <c r="Z922" s="39">
        <f>IF(AND($E922="timed",$N922&gt;Settings!$C$8),1,0)</f>
        <v>0</v>
      </c>
      <c r="AA922" s="39">
        <f t="shared" si="256"/>
        <v>0</v>
      </c>
      <c r="AB922" s="39">
        <f t="shared" si="257"/>
        <v>0</v>
      </c>
      <c r="AC922" s="39" t="str">
        <f t="shared" si="258"/>
        <v/>
      </c>
      <c r="AD922" s="39" t="str">
        <f t="shared" si="259"/>
        <v/>
      </c>
      <c r="AE922" s="39" t="str">
        <f t="shared" si="260"/>
        <v/>
      </c>
      <c r="AF922" s="106" t="str">
        <f t="shared" si="261"/>
        <v/>
      </c>
      <c r="AG922" s="39">
        <f t="shared" si="262"/>
        <v>0</v>
      </c>
      <c r="AH922" s="39" t="str">
        <f t="shared" si="263"/>
        <v/>
      </c>
      <c r="AI922" s="39">
        <f>IF(AND($E922="timed",$N922&gt;=Settings!$C$9),1,0)</f>
        <v>0</v>
      </c>
      <c r="AJ922" s="39" t="str">
        <f>IF(OR($S922="",Settings!$C$16=""),"",IF($S922&lt;=Settings!$C$16,1,2))</f>
        <v/>
      </c>
      <c r="AK922" s="39" t="str">
        <f>IF($C922="","",IFERROR(IF(INDEX(Settings!$C$20:$C$59,MATCH($C922,Settings!$B$20:$B$59,0))="",Settings!$C$10,INDEX(Settings!$C$20:$C$59,MATCH($C922,Settings!$B$20:$B$59,0))),Settings!$C$10))</f>
        <v/>
      </c>
      <c r="AL922" s="108">
        <f t="shared" si="264"/>
        <v>0</v>
      </c>
      <c r="AM922" s="39" t="str">
        <f t="shared" si="265"/>
        <v/>
      </c>
      <c r="AN922" s="39" t="str">
        <f t="shared" si="266"/>
        <v/>
      </c>
      <c r="AO922" s="39" t="str">
        <f t="shared" si="267"/>
        <v/>
      </c>
      <c r="AP922" s="39">
        <f t="shared" si="268"/>
        <v>0</v>
      </c>
      <c r="AQ922" s="39">
        <f t="shared" si="269"/>
        <v>0</v>
      </c>
    </row>
    <row r="923" spans="14:43" x14ac:dyDescent="0.25">
      <c r="N923" s="105">
        <f t="shared" si="252"/>
        <v>0</v>
      </c>
      <c r="O923" s="106" t="str">
        <f>IF($F923="","",IF(ISNUMBER($F923),$F923+Settings!$C$7/24,IFERROR(DATEVALUE(LEFT($F923,10))+TIMEVALUE(MID($F923,12,8))+Settings!$C$7/24,"")))</f>
        <v/>
      </c>
      <c r="P923" s="106" t="str">
        <f>IF($G923="","",IF(ISNUMBER($G923),$G923+Settings!$C$7/24,IFERROR(DATEVALUE(LEFT($G923,10))+TIMEVALUE(MID($G923,12,8))+Settings!$C$7/24,"")))</f>
        <v/>
      </c>
      <c r="Q923" s="39" t="str">
        <f t="shared" si="253"/>
        <v/>
      </c>
      <c r="R923" s="39" t="str">
        <f t="shared" si="254"/>
        <v/>
      </c>
      <c r="S923" s="107" t="str">
        <f t="shared" si="255"/>
        <v/>
      </c>
      <c r="T923" s="39" t="str">
        <f>IF($C923="","",IF(COUNTIF($C$2:$C923,$C923)=1,1,0))</f>
        <v/>
      </c>
      <c r="U923" s="39" t="str">
        <f>IF($T923=1,COUNTIF($T$2:$T923,1),"")</f>
        <v/>
      </c>
      <c r="V923" s="39" t="str">
        <f>IF($B923="","",IF(COUNTIF($B$2:$B923,$B923)=1,1,0))</f>
        <v/>
      </c>
      <c r="W923" s="39" t="str">
        <f>IF($V923=1,COUNTIF($V$2:$V923,1),"")</f>
        <v/>
      </c>
      <c r="X923" s="39" t="str">
        <f>IF($A923="","",IF(COUNTIF($A$2:$A923,$A923)=1,1,0))</f>
        <v/>
      </c>
      <c r="Y923" s="39" t="str">
        <f>IF($X923=1,COUNTIF($X$2:$X923,1),"")</f>
        <v/>
      </c>
      <c r="Z923" s="39">
        <f>IF(AND($E923="timed",$N923&gt;Settings!$C$8),1,0)</f>
        <v>0</v>
      </c>
      <c r="AA923" s="39">
        <f t="shared" si="256"/>
        <v>0</v>
      </c>
      <c r="AB923" s="39">
        <f t="shared" si="257"/>
        <v>0</v>
      </c>
      <c r="AC923" s="39" t="str">
        <f t="shared" si="258"/>
        <v/>
      </c>
      <c r="AD923" s="39" t="str">
        <f t="shared" si="259"/>
        <v/>
      </c>
      <c r="AE923" s="39" t="str">
        <f t="shared" si="260"/>
        <v/>
      </c>
      <c r="AF923" s="106" t="str">
        <f t="shared" si="261"/>
        <v/>
      </c>
      <c r="AG923" s="39">
        <f t="shared" si="262"/>
        <v>0</v>
      </c>
      <c r="AH923" s="39" t="str">
        <f t="shared" si="263"/>
        <v/>
      </c>
      <c r="AI923" s="39">
        <f>IF(AND($E923="timed",$N923&gt;=Settings!$C$9),1,0)</f>
        <v>0</v>
      </c>
      <c r="AJ923" s="39" t="str">
        <f>IF(OR($S923="",Settings!$C$16=""),"",IF($S923&lt;=Settings!$C$16,1,2))</f>
        <v/>
      </c>
      <c r="AK923" s="39" t="str">
        <f>IF($C923="","",IFERROR(IF(INDEX(Settings!$C$20:$C$59,MATCH($C923,Settings!$B$20:$B$59,0))="",Settings!$C$10,INDEX(Settings!$C$20:$C$59,MATCH($C923,Settings!$B$20:$B$59,0))),Settings!$C$10))</f>
        <v/>
      </c>
      <c r="AL923" s="108">
        <f t="shared" si="264"/>
        <v>0</v>
      </c>
      <c r="AM923" s="39" t="str">
        <f t="shared" si="265"/>
        <v/>
      </c>
      <c r="AN923" s="39" t="str">
        <f t="shared" si="266"/>
        <v/>
      </c>
      <c r="AO923" s="39" t="str">
        <f t="shared" si="267"/>
        <v/>
      </c>
      <c r="AP923" s="39">
        <f t="shared" si="268"/>
        <v>0</v>
      </c>
      <c r="AQ923" s="39">
        <f t="shared" si="269"/>
        <v>0</v>
      </c>
    </row>
    <row r="924" spans="14:43" x14ac:dyDescent="0.25">
      <c r="N924" s="105">
        <f t="shared" si="252"/>
        <v>0</v>
      </c>
      <c r="O924" s="106" t="str">
        <f>IF($F924="","",IF(ISNUMBER($F924),$F924+Settings!$C$7/24,IFERROR(DATEVALUE(LEFT($F924,10))+TIMEVALUE(MID($F924,12,8))+Settings!$C$7/24,"")))</f>
        <v/>
      </c>
      <c r="P924" s="106" t="str">
        <f>IF($G924="","",IF(ISNUMBER($G924),$G924+Settings!$C$7/24,IFERROR(DATEVALUE(LEFT($G924,10))+TIMEVALUE(MID($G924,12,8))+Settings!$C$7/24,"")))</f>
        <v/>
      </c>
      <c r="Q924" s="39" t="str">
        <f t="shared" si="253"/>
        <v/>
      </c>
      <c r="R924" s="39" t="str">
        <f t="shared" si="254"/>
        <v/>
      </c>
      <c r="S924" s="107" t="str">
        <f t="shared" si="255"/>
        <v/>
      </c>
      <c r="T924" s="39" t="str">
        <f>IF($C924="","",IF(COUNTIF($C$2:$C924,$C924)=1,1,0))</f>
        <v/>
      </c>
      <c r="U924" s="39" t="str">
        <f>IF($T924=1,COUNTIF($T$2:$T924,1),"")</f>
        <v/>
      </c>
      <c r="V924" s="39" t="str">
        <f>IF($B924="","",IF(COUNTIF($B$2:$B924,$B924)=1,1,0))</f>
        <v/>
      </c>
      <c r="W924" s="39" t="str">
        <f>IF($V924=1,COUNTIF($V$2:$V924,1),"")</f>
        <v/>
      </c>
      <c r="X924" s="39" t="str">
        <f>IF($A924="","",IF(COUNTIF($A$2:$A924,$A924)=1,1,0))</f>
        <v/>
      </c>
      <c r="Y924" s="39" t="str">
        <f>IF($X924=1,COUNTIF($X$2:$X924,1),"")</f>
        <v/>
      </c>
      <c r="Z924" s="39">
        <f>IF(AND($E924="timed",$N924&gt;Settings!$C$8),1,0)</f>
        <v>0</v>
      </c>
      <c r="AA924" s="39">
        <f t="shared" si="256"/>
        <v>0</v>
      </c>
      <c r="AB924" s="39">
        <f t="shared" si="257"/>
        <v>0</v>
      </c>
      <c r="AC924" s="39" t="str">
        <f t="shared" si="258"/>
        <v/>
      </c>
      <c r="AD924" s="39" t="str">
        <f t="shared" si="259"/>
        <v/>
      </c>
      <c r="AE924" s="39" t="str">
        <f t="shared" si="260"/>
        <v/>
      </c>
      <c r="AF924" s="106" t="str">
        <f t="shared" si="261"/>
        <v/>
      </c>
      <c r="AG924" s="39">
        <f t="shared" si="262"/>
        <v>0</v>
      </c>
      <c r="AH924" s="39" t="str">
        <f t="shared" si="263"/>
        <v/>
      </c>
      <c r="AI924" s="39">
        <f>IF(AND($E924="timed",$N924&gt;=Settings!$C$9),1,0)</f>
        <v>0</v>
      </c>
      <c r="AJ924" s="39" t="str">
        <f>IF(OR($S924="",Settings!$C$16=""),"",IF($S924&lt;=Settings!$C$16,1,2))</f>
        <v/>
      </c>
      <c r="AK924" s="39" t="str">
        <f>IF($C924="","",IFERROR(IF(INDEX(Settings!$C$20:$C$59,MATCH($C924,Settings!$B$20:$B$59,0))="",Settings!$C$10,INDEX(Settings!$C$20:$C$59,MATCH($C924,Settings!$B$20:$B$59,0))),Settings!$C$10))</f>
        <v/>
      </c>
      <c r="AL924" s="108">
        <f t="shared" si="264"/>
        <v>0</v>
      </c>
      <c r="AM924" s="39" t="str">
        <f t="shared" si="265"/>
        <v/>
      </c>
      <c r="AN924" s="39" t="str">
        <f t="shared" si="266"/>
        <v/>
      </c>
      <c r="AO924" s="39" t="str">
        <f t="shared" si="267"/>
        <v/>
      </c>
      <c r="AP924" s="39">
        <f t="shared" si="268"/>
        <v>0</v>
      </c>
      <c r="AQ924" s="39">
        <f t="shared" si="269"/>
        <v>0</v>
      </c>
    </row>
    <row r="925" spans="14:43" x14ac:dyDescent="0.25">
      <c r="N925" s="105">
        <f t="shared" si="252"/>
        <v>0</v>
      </c>
      <c r="O925" s="106" t="str">
        <f>IF($F925="","",IF(ISNUMBER($F925),$F925+Settings!$C$7/24,IFERROR(DATEVALUE(LEFT($F925,10))+TIMEVALUE(MID($F925,12,8))+Settings!$C$7/24,"")))</f>
        <v/>
      </c>
      <c r="P925" s="106" t="str">
        <f>IF($G925="","",IF(ISNUMBER($G925),$G925+Settings!$C$7/24,IFERROR(DATEVALUE(LEFT($G925,10))+TIMEVALUE(MID($G925,12,8))+Settings!$C$7/24,"")))</f>
        <v/>
      </c>
      <c r="Q925" s="39" t="str">
        <f t="shared" si="253"/>
        <v/>
      </c>
      <c r="R925" s="39" t="str">
        <f t="shared" si="254"/>
        <v/>
      </c>
      <c r="S925" s="107" t="str">
        <f t="shared" si="255"/>
        <v/>
      </c>
      <c r="T925" s="39" t="str">
        <f>IF($C925="","",IF(COUNTIF($C$2:$C925,$C925)=1,1,0))</f>
        <v/>
      </c>
      <c r="U925" s="39" t="str">
        <f>IF($T925=1,COUNTIF($T$2:$T925,1),"")</f>
        <v/>
      </c>
      <c r="V925" s="39" t="str">
        <f>IF($B925="","",IF(COUNTIF($B$2:$B925,$B925)=1,1,0))</f>
        <v/>
      </c>
      <c r="W925" s="39" t="str">
        <f>IF($V925=1,COUNTIF($V$2:$V925,1),"")</f>
        <v/>
      </c>
      <c r="X925" s="39" t="str">
        <f>IF($A925="","",IF(COUNTIF($A$2:$A925,$A925)=1,1,0))</f>
        <v/>
      </c>
      <c r="Y925" s="39" t="str">
        <f>IF($X925=1,COUNTIF($X$2:$X925,1),"")</f>
        <v/>
      </c>
      <c r="Z925" s="39">
        <f>IF(AND($E925="timed",$N925&gt;Settings!$C$8),1,0)</f>
        <v>0</v>
      </c>
      <c r="AA925" s="39">
        <f t="shared" si="256"/>
        <v>0</v>
      </c>
      <c r="AB925" s="39">
        <f t="shared" si="257"/>
        <v>0</v>
      </c>
      <c r="AC925" s="39" t="str">
        <f t="shared" si="258"/>
        <v/>
      </c>
      <c r="AD925" s="39" t="str">
        <f t="shared" si="259"/>
        <v/>
      </c>
      <c r="AE925" s="39" t="str">
        <f t="shared" si="260"/>
        <v/>
      </c>
      <c r="AF925" s="106" t="str">
        <f t="shared" si="261"/>
        <v/>
      </c>
      <c r="AG925" s="39">
        <f t="shared" si="262"/>
        <v>0</v>
      </c>
      <c r="AH925" s="39" t="str">
        <f t="shared" si="263"/>
        <v/>
      </c>
      <c r="AI925" s="39">
        <f>IF(AND($E925="timed",$N925&gt;=Settings!$C$9),1,0)</f>
        <v>0</v>
      </c>
      <c r="AJ925" s="39" t="str">
        <f>IF(OR($S925="",Settings!$C$16=""),"",IF($S925&lt;=Settings!$C$16,1,2))</f>
        <v/>
      </c>
      <c r="AK925" s="39" t="str">
        <f>IF($C925="","",IFERROR(IF(INDEX(Settings!$C$20:$C$59,MATCH($C925,Settings!$B$20:$B$59,0))="",Settings!$C$10,INDEX(Settings!$C$20:$C$59,MATCH($C925,Settings!$B$20:$B$59,0))),Settings!$C$10))</f>
        <v/>
      </c>
      <c r="AL925" s="108">
        <f t="shared" si="264"/>
        <v>0</v>
      </c>
      <c r="AM925" s="39" t="str">
        <f t="shared" si="265"/>
        <v/>
      </c>
      <c r="AN925" s="39" t="str">
        <f t="shared" si="266"/>
        <v/>
      </c>
      <c r="AO925" s="39" t="str">
        <f t="shared" si="267"/>
        <v/>
      </c>
      <c r="AP925" s="39">
        <f t="shared" si="268"/>
        <v>0</v>
      </c>
      <c r="AQ925" s="39">
        <f t="shared" si="269"/>
        <v>0</v>
      </c>
    </row>
    <row r="926" spans="14:43" x14ac:dyDescent="0.25">
      <c r="N926" s="105">
        <f t="shared" si="252"/>
        <v>0</v>
      </c>
      <c r="O926" s="106" t="str">
        <f>IF($F926="","",IF(ISNUMBER($F926),$F926+Settings!$C$7/24,IFERROR(DATEVALUE(LEFT($F926,10))+TIMEVALUE(MID($F926,12,8))+Settings!$C$7/24,"")))</f>
        <v/>
      </c>
      <c r="P926" s="106" t="str">
        <f>IF($G926="","",IF(ISNUMBER($G926),$G926+Settings!$C$7/24,IFERROR(DATEVALUE(LEFT($G926,10))+TIMEVALUE(MID($G926,12,8))+Settings!$C$7/24,"")))</f>
        <v/>
      </c>
      <c r="Q926" s="39" t="str">
        <f t="shared" si="253"/>
        <v/>
      </c>
      <c r="R926" s="39" t="str">
        <f t="shared" si="254"/>
        <v/>
      </c>
      <c r="S926" s="107" t="str">
        <f t="shared" si="255"/>
        <v/>
      </c>
      <c r="T926" s="39" t="str">
        <f>IF($C926="","",IF(COUNTIF($C$2:$C926,$C926)=1,1,0))</f>
        <v/>
      </c>
      <c r="U926" s="39" t="str">
        <f>IF($T926=1,COUNTIF($T$2:$T926,1),"")</f>
        <v/>
      </c>
      <c r="V926" s="39" t="str">
        <f>IF($B926="","",IF(COUNTIF($B$2:$B926,$B926)=1,1,0))</f>
        <v/>
      </c>
      <c r="W926" s="39" t="str">
        <f>IF($V926=1,COUNTIF($V$2:$V926,1),"")</f>
        <v/>
      </c>
      <c r="X926" s="39" t="str">
        <f>IF($A926="","",IF(COUNTIF($A$2:$A926,$A926)=1,1,0))</f>
        <v/>
      </c>
      <c r="Y926" s="39" t="str">
        <f>IF($X926=1,COUNTIF($X$2:$X926,1),"")</f>
        <v/>
      </c>
      <c r="Z926" s="39">
        <f>IF(AND($E926="timed",$N926&gt;Settings!$C$8),1,0)</f>
        <v>0</v>
      </c>
      <c r="AA926" s="39">
        <f t="shared" si="256"/>
        <v>0</v>
      </c>
      <c r="AB926" s="39">
        <f t="shared" si="257"/>
        <v>0</v>
      </c>
      <c r="AC926" s="39" t="str">
        <f t="shared" si="258"/>
        <v/>
      </c>
      <c r="AD926" s="39" t="str">
        <f t="shared" si="259"/>
        <v/>
      </c>
      <c r="AE926" s="39" t="str">
        <f t="shared" si="260"/>
        <v/>
      </c>
      <c r="AF926" s="106" t="str">
        <f t="shared" si="261"/>
        <v/>
      </c>
      <c r="AG926" s="39">
        <f t="shared" si="262"/>
        <v>0</v>
      </c>
      <c r="AH926" s="39" t="str">
        <f t="shared" si="263"/>
        <v/>
      </c>
      <c r="AI926" s="39">
        <f>IF(AND($E926="timed",$N926&gt;=Settings!$C$9),1,0)</f>
        <v>0</v>
      </c>
      <c r="AJ926" s="39" t="str">
        <f>IF(OR($S926="",Settings!$C$16=""),"",IF($S926&lt;=Settings!$C$16,1,2))</f>
        <v/>
      </c>
      <c r="AK926" s="39" t="str">
        <f>IF($C926="","",IFERROR(IF(INDEX(Settings!$C$20:$C$59,MATCH($C926,Settings!$B$20:$B$59,0))="",Settings!$C$10,INDEX(Settings!$C$20:$C$59,MATCH($C926,Settings!$B$20:$B$59,0))),Settings!$C$10))</f>
        <v/>
      </c>
      <c r="AL926" s="108">
        <f t="shared" si="264"/>
        <v>0</v>
      </c>
      <c r="AM926" s="39" t="str">
        <f t="shared" si="265"/>
        <v/>
      </c>
      <c r="AN926" s="39" t="str">
        <f t="shared" si="266"/>
        <v/>
      </c>
      <c r="AO926" s="39" t="str">
        <f t="shared" si="267"/>
        <v/>
      </c>
      <c r="AP926" s="39">
        <f t="shared" si="268"/>
        <v>0</v>
      </c>
      <c r="AQ926" s="39">
        <f t="shared" si="269"/>
        <v>0</v>
      </c>
    </row>
    <row r="927" spans="14:43" x14ac:dyDescent="0.25">
      <c r="N927" s="105">
        <f t="shared" si="252"/>
        <v>0</v>
      </c>
      <c r="O927" s="106" t="str">
        <f>IF($F927="","",IF(ISNUMBER($F927),$F927+Settings!$C$7/24,IFERROR(DATEVALUE(LEFT($F927,10))+TIMEVALUE(MID($F927,12,8))+Settings!$C$7/24,"")))</f>
        <v/>
      </c>
      <c r="P927" s="106" t="str">
        <f>IF($G927="","",IF(ISNUMBER($G927),$G927+Settings!$C$7/24,IFERROR(DATEVALUE(LEFT($G927,10))+TIMEVALUE(MID($G927,12,8))+Settings!$C$7/24,"")))</f>
        <v/>
      </c>
      <c r="Q927" s="39" t="str">
        <f t="shared" si="253"/>
        <v/>
      </c>
      <c r="R927" s="39" t="str">
        <f t="shared" si="254"/>
        <v/>
      </c>
      <c r="S927" s="107" t="str">
        <f t="shared" si="255"/>
        <v/>
      </c>
      <c r="T927" s="39" t="str">
        <f>IF($C927="","",IF(COUNTIF($C$2:$C927,$C927)=1,1,0))</f>
        <v/>
      </c>
      <c r="U927" s="39" t="str">
        <f>IF($T927=1,COUNTIF($T$2:$T927,1),"")</f>
        <v/>
      </c>
      <c r="V927" s="39" t="str">
        <f>IF($B927="","",IF(COUNTIF($B$2:$B927,$B927)=1,1,0))</f>
        <v/>
      </c>
      <c r="W927" s="39" t="str">
        <f>IF($V927=1,COUNTIF($V$2:$V927,1),"")</f>
        <v/>
      </c>
      <c r="X927" s="39" t="str">
        <f>IF($A927="","",IF(COUNTIF($A$2:$A927,$A927)=1,1,0))</f>
        <v/>
      </c>
      <c r="Y927" s="39" t="str">
        <f>IF($X927=1,COUNTIF($X$2:$X927,1),"")</f>
        <v/>
      </c>
      <c r="Z927" s="39">
        <f>IF(AND($E927="timed",$N927&gt;Settings!$C$8),1,0)</f>
        <v>0</v>
      </c>
      <c r="AA927" s="39">
        <f t="shared" si="256"/>
        <v>0</v>
      </c>
      <c r="AB927" s="39">
        <f t="shared" si="257"/>
        <v>0</v>
      </c>
      <c r="AC927" s="39" t="str">
        <f t="shared" si="258"/>
        <v/>
      </c>
      <c r="AD927" s="39" t="str">
        <f t="shared" si="259"/>
        <v/>
      </c>
      <c r="AE927" s="39" t="str">
        <f t="shared" si="260"/>
        <v/>
      </c>
      <c r="AF927" s="106" t="str">
        <f t="shared" si="261"/>
        <v/>
      </c>
      <c r="AG927" s="39">
        <f t="shared" si="262"/>
        <v>0</v>
      </c>
      <c r="AH927" s="39" t="str">
        <f t="shared" si="263"/>
        <v/>
      </c>
      <c r="AI927" s="39">
        <f>IF(AND($E927="timed",$N927&gt;=Settings!$C$9),1,0)</f>
        <v>0</v>
      </c>
      <c r="AJ927" s="39" t="str">
        <f>IF(OR($S927="",Settings!$C$16=""),"",IF($S927&lt;=Settings!$C$16,1,2))</f>
        <v/>
      </c>
      <c r="AK927" s="39" t="str">
        <f>IF($C927="","",IFERROR(IF(INDEX(Settings!$C$20:$C$59,MATCH($C927,Settings!$B$20:$B$59,0))="",Settings!$C$10,INDEX(Settings!$C$20:$C$59,MATCH($C927,Settings!$B$20:$B$59,0))),Settings!$C$10))</f>
        <v/>
      </c>
      <c r="AL927" s="108">
        <f t="shared" si="264"/>
        <v>0</v>
      </c>
      <c r="AM927" s="39" t="str">
        <f t="shared" si="265"/>
        <v/>
      </c>
      <c r="AN927" s="39" t="str">
        <f t="shared" si="266"/>
        <v/>
      </c>
      <c r="AO927" s="39" t="str">
        <f t="shared" si="267"/>
        <v/>
      </c>
      <c r="AP927" s="39">
        <f t="shared" si="268"/>
        <v>0</v>
      </c>
      <c r="AQ927" s="39">
        <f t="shared" si="269"/>
        <v>0</v>
      </c>
    </row>
    <row r="928" spans="14:43" x14ac:dyDescent="0.25">
      <c r="N928" s="105">
        <f t="shared" si="252"/>
        <v>0</v>
      </c>
      <c r="O928" s="106" t="str">
        <f>IF($F928="","",IF(ISNUMBER($F928),$F928+Settings!$C$7/24,IFERROR(DATEVALUE(LEFT($F928,10))+TIMEVALUE(MID($F928,12,8))+Settings!$C$7/24,"")))</f>
        <v/>
      </c>
      <c r="P928" s="106" t="str">
        <f>IF($G928="","",IF(ISNUMBER($G928),$G928+Settings!$C$7/24,IFERROR(DATEVALUE(LEFT($G928,10))+TIMEVALUE(MID($G928,12,8))+Settings!$C$7/24,"")))</f>
        <v/>
      </c>
      <c r="Q928" s="39" t="str">
        <f t="shared" si="253"/>
        <v/>
      </c>
      <c r="R928" s="39" t="str">
        <f t="shared" si="254"/>
        <v/>
      </c>
      <c r="S928" s="107" t="str">
        <f t="shared" si="255"/>
        <v/>
      </c>
      <c r="T928" s="39" t="str">
        <f>IF($C928="","",IF(COUNTIF($C$2:$C928,$C928)=1,1,0))</f>
        <v/>
      </c>
      <c r="U928" s="39" t="str">
        <f>IF($T928=1,COUNTIF($T$2:$T928,1),"")</f>
        <v/>
      </c>
      <c r="V928" s="39" t="str">
        <f>IF($B928="","",IF(COUNTIF($B$2:$B928,$B928)=1,1,0))</f>
        <v/>
      </c>
      <c r="W928" s="39" t="str">
        <f>IF($V928=1,COUNTIF($V$2:$V928,1),"")</f>
        <v/>
      </c>
      <c r="X928" s="39" t="str">
        <f>IF($A928="","",IF(COUNTIF($A$2:$A928,$A928)=1,1,0))</f>
        <v/>
      </c>
      <c r="Y928" s="39" t="str">
        <f>IF($X928=1,COUNTIF($X$2:$X928,1),"")</f>
        <v/>
      </c>
      <c r="Z928" s="39">
        <f>IF(AND($E928="timed",$N928&gt;Settings!$C$8),1,0)</f>
        <v>0</v>
      </c>
      <c r="AA928" s="39">
        <f t="shared" si="256"/>
        <v>0</v>
      </c>
      <c r="AB928" s="39">
        <f t="shared" si="257"/>
        <v>0</v>
      </c>
      <c r="AC928" s="39" t="str">
        <f t="shared" si="258"/>
        <v/>
      </c>
      <c r="AD928" s="39" t="str">
        <f t="shared" si="259"/>
        <v/>
      </c>
      <c r="AE928" s="39" t="str">
        <f t="shared" si="260"/>
        <v/>
      </c>
      <c r="AF928" s="106" t="str">
        <f t="shared" si="261"/>
        <v/>
      </c>
      <c r="AG928" s="39">
        <f t="shared" si="262"/>
        <v>0</v>
      </c>
      <c r="AH928" s="39" t="str">
        <f t="shared" si="263"/>
        <v/>
      </c>
      <c r="AI928" s="39">
        <f>IF(AND($E928="timed",$N928&gt;=Settings!$C$9),1,0)</f>
        <v>0</v>
      </c>
      <c r="AJ928" s="39" t="str">
        <f>IF(OR($S928="",Settings!$C$16=""),"",IF($S928&lt;=Settings!$C$16,1,2))</f>
        <v/>
      </c>
      <c r="AK928" s="39" t="str">
        <f>IF($C928="","",IFERROR(IF(INDEX(Settings!$C$20:$C$59,MATCH($C928,Settings!$B$20:$B$59,0))="",Settings!$C$10,INDEX(Settings!$C$20:$C$59,MATCH($C928,Settings!$B$20:$B$59,0))),Settings!$C$10))</f>
        <v/>
      </c>
      <c r="AL928" s="108">
        <f t="shared" si="264"/>
        <v>0</v>
      </c>
      <c r="AM928" s="39" t="str">
        <f t="shared" si="265"/>
        <v/>
      </c>
      <c r="AN928" s="39" t="str">
        <f t="shared" si="266"/>
        <v/>
      </c>
      <c r="AO928" s="39" t="str">
        <f t="shared" si="267"/>
        <v/>
      </c>
      <c r="AP928" s="39">
        <f t="shared" si="268"/>
        <v>0</v>
      </c>
      <c r="AQ928" s="39">
        <f t="shared" si="269"/>
        <v>0</v>
      </c>
    </row>
    <row r="929" spans="14:43" x14ac:dyDescent="0.25">
      <c r="N929" s="105">
        <f t="shared" si="252"/>
        <v>0</v>
      </c>
      <c r="O929" s="106" t="str">
        <f>IF($F929="","",IF(ISNUMBER($F929),$F929+Settings!$C$7/24,IFERROR(DATEVALUE(LEFT($F929,10))+TIMEVALUE(MID($F929,12,8))+Settings!$C$7/24,"")))</f>
        <v/>
      </c>
      <c r="P929" s="106" t="str">
        <f>IF($G929="","",IF(ISNUMBER($G929),$G929+Settings!$C$7/24,IFERROR(DATEVALUE(LEFT($G929,10))+TIMEVALUE(MID($G929,12,8))+Settings!$C$7/24,"")))</f>
        <v/>
      </c>
      <c r="Q929" s="39" t="str">
        <f t="shared" si="253"/>
        <v/>
      </c>
      <c r="R929" s="39" t="str">
        <f t="shared" si="254"/>
        <v/>
      </c>
      <c r="S929" s="107" t="str">
        <f t="shared" si="255"/>
        <v/>
      </c>
      <c r="T929" s="39" t="str">
        <f>IF($C929="","",IF(COUNTIF($C$2:$C929,$C929)=1,1,0))</f>
        <v/>
      </c>
      <c r="U929" s="39" t="str">
        <f>IF($T929=1,COUNTIF($T$2:$T929,1),"")</f>
        <v/>
      </c>
      <c r="V929" s="39" t="str">
        <f>IF($B929="","",IF(COUNTIF($B$2:$B929,$B929)=1,1,0))</f>
        <v/>
      </c>
      <c r="W929" s="39" t="str">
        <f>IF($V929=1,COUNTIF($V$2:$V929,1),"")</f>
        <v/>
      </c>
      <c r="X929" s="39" t="str">
        <f>IF($A929="","",IF(COUNTIF($A$2:$A929,$A929)=1,1,0))</f>
        <v/>
      </c>
      <c r="Y929" s="39" t="str">
        <f>IF($X929=1,COUNTIF($X$2:$X929,1),"")</f>
        <v/>
      </c>
      <c r="Z929" s="39">
        <f>IF(AND($E929="timed",$N929&gt;Settings!$C$8),1,0)</f>
        <v>0</v>
      </c>
      <c r="AA929" s="39">
        <f t="shared" si="256"/>
        <v>0</v>
      </c>
      <c r="AB929" s="39">
        <f t="shared" si="257"/>
        <v>0</v>
      </c>
      <c r="AC929" s="39" t="str">
        <f t="shared" si="258"/>
        <v/>
      </c>
      <c r="AD929" s="39" t="str">
        <f t="shared" si="259"/>
        <v/>
      </c>
      <c r="AE929" s="39" t="str">
        <f t="shared" si="260"/>
        <v/>
      </c>
      <c r="AF929" s="106" t="str">
        <f t="shared" si="261"/>
        <v/>
      </c>
      <c r="AG929" s="39">
        <f t="shared" si="262"/>
        <v>0</v>
      </c>
      <c r="AH929" s="39" t="str">
        <f t="shared" si="263"/>
        <v/>
      </c>
      <c r="AI929" s="39">
        <f>IF(AND($E929="timed",$N929&gt;=Settings!$C$9),1,0)</f>
        <v>0</v>
      </c>
      <c r="AJ929" s="39" t="str">
        <f>IF(OR($S929="",Settings!$C$16=""),"",IF($S929&lt;=Settings!$C$16,1,2))</f>
        <v/>
      </c>
      <c r="AK929" s="39" t="str">
        <f>IF($C929="","",IFERROR(IF(INDEX(Settings!$C$20:$C$59,MATCH($C929,Settings!$B$20:$B$59,0))="",Settings!$C$10,INDEX(Settings!$C$20:$C$59,MATCH($C929,Settings!$B$20:$B$59,0))),Settings!$C$10))</f>
        <v/>
      </c>
      <c r="AL929" s="108">
        <f t="shared" si="264"/>
        <v>0</v>
      </c>
      <c r="AM929" s="39" t="str">
        <f t="shared" si="265"/>
        <v/>
      </c>
      <c r="AN929" s="39" t="str">
        <f t="shared" si="266"/>
        <v/>
      </c>
      <c r="AO929" s="39" t="str">
        <f t="shared" si="267"/>
        <v/>
      </c>
      <c r="AP929" s="39">
        <f t="shared" si="268"/>
        <v>0</v>
      </c>
      <c r="AQ929" s="39">
        <f t="shared" si="269"/>
        <v>0</v>
      </c>
    </row>
    <row r="930" spans="14:43" x14ac:dyDescent="0.25">
      <c r="N930" s="105">
        <f t="shared" si="252"/>
        <v>0</v>
      </c>
      <c r="O930" s="106" t="str">
        <f>IF($F930="","",IF(ISNUMBER($F930),$F930+Settings!$C$7/24,IFERROR(DATEVALUE(LEFT($F930,10))+TIMEVALUE(MID($F930,12,8))+Settings!$C$7/24,"")))</f>
        <v/>
      </c>
      <c r="P930" s="106" t="str">
        <f>IF($G930="","",IF(ISNUMBER($G930),$G930+Settings!$C$7/24,IFERROR(DATEVALUE(LEFT($G930,10))+TIMEVALUE(MID($G930,12,8))+Settings!$C$7/24,"")))</f>
        <v/>
      </c>
      <c r="Q930" s="39" t="str">
        <f t="shared" si="253"/>
        <v/>
      </c>
      <c r="R930" s="39" t="str">
        <f t="shared" si="254"/>
        <v/>
      </c>
      <c r="S930" s="107" t="str">
        <f t="shared" si="255"/>
        <v/>
      </c>
      <c r="T930" s="39" t="str">
        <f>IF($C930="","",IF(COUNTIF($C$2:$C930,$C930)=1,1,0))</f>
        <v/>
      </c>
      <c r="U930" s="39" t="str">
        <f>IF($T930=1,COUNTIF($T$2:$T930,1),"")</f>
        <v/>
      </c>
      <c r="V930" s="39" t="str">
        <f>IF($B930="","",IF(COUNTIF($B$2:$B930,$B930)=1,1,0))</f>
        <v/>
      </c>
      <c r="W930" s="39" t="str">
        <f>IF($V930=1,COUNTIF($V$2:$V930,1),"")</f>
        <v/>
      </c>
      <c r="X930" s="39" t="str">
        <f>IF($A930="","",IF(COUNTIF($A$2:$A930,$A930)=1,1,0))</f>
        <v/>
      </c>
      <c r="Y930" s="39" t="str">
        <f>IF($X930=1,COUNTIF($X$2:$X930,1),"")</f>
        <v/>
      </c>
      <c r="Z930" s="39">
        <f>IF(AND($E930="timed",$N930&gt;Settings!$C$8),1,0)</f>
        <v>0</v>
      </c>
      <c r="AA930" s="39">
        <f t="shared" si="256"/>
        <v>0</v>
      </c>
      <c r="AB930" s="39">
        <f t="shared" si="257"/>
        <v>0</v>
      </c>
      <c r="AC930" s="39" t="str">
        <f t="shared" si="258"/>
        <v/>
      </c>
      <c r="AD930" s="39" t="str">
        <f t="shared" si="259"/>
        <v/>
      </c>
      <c r="AE930" s="39" t="str">
        <f t="shared" si="260"/>
        <v/>
      </c>
      <c r="AF930" s="106" t="str">
        <f t="shared" si="261"/>
        <v/>
      </c>
      <c r="AG930" s="39">
        <f t="shared" si="262"/>
        <v>0</v>
      </c>
      <c r="AH930" s="39" t="str">
        <f t="shared" si="263"/>
        <v/>
      </c>
      <c r="AI930" s="39">
        <f>IF(AND($E930="timed",$N930&gt;=Settings!$C$9),1,0)</f>
        <v>0</v>
      </c>
      <c r="AJ930" s="39" t="str">
        <f>IF(OR($S930="",Settings!$C$16=""),"",IF($S930&lt;=Settings!$C$16,1,2))</f>
        <v/>
      </c>
      <c r="AK930" s="39" t="str">
        <f>IF($C930="","",IFERROR(IF(INDEX(Settings!$C$20:$C$59,MATCH($C930,Settings!$B$20:$B$59,0))="",Settings!$C$10,INDEX(Settings!$C$20:$C$59,MATCH($C930,Settings!$B$20:$B$59,0))),Settings!$C$10))</f>
        <v/>
      </c>
      <c r="AL930" s="108">
        <f t="shared" si="264"/>
        <v>0</v>
      </c>
      <c r="AM930" s="39" t="str">
        <f t="shared" si="265"/>
        <v/>
      </c>
      <c r="AN930" s="39" t="str">
        <f t="shared" si="266"/>
        <v/>
      </c>
      <c r="AO930" s="39" t="str">
        <f t="shared" si="267"/>
        <v/>
      </c>
      <c r="AP930" s="39">
        <f t="shared" si="268"/>
        <v>0</v>
      </c>
      <c r="AQ930" s="39">
        <f t="shared" si="269"/>
        <v>0</v>
      </c>
    </row>
    <row r="931" spans="14:43" x14ac:dyDescent="0.25">
      <c r="N931" s="105">
        <f t="shared" si="252"/>
        <v>0</v>
      </c>
      <c r="O931" s="106" t="str">
        <f>IF($F931="","",IF(ISNUMBER($F931),$F931+Settings!$C$7/24,IFERROR(DATEVALUE(LEFT($F931,10))+TIMEVALUE(MID($F931,12,8))+Settings!$C$7/24,"")))</f>
        <v/>
      </c>
      <c r="P931" s="106" t="str">
        <f>IF($G931="","",IF(ISNUMBER($G931),$G931+Settings!$C$7/24,IFERROR(DATEVALUE(LEFT($G931,10))+TIMEVALUE(MID($G931,12,8))+Settings!$C$7/24,"")))</f>
        <v/>
      </c>
      <c r="Q931" s="39" t="str">
        <f t="shared" si="253"/>
        <v/>
      </c>
      <c r="R931" s="39" t="str">
        <f t="shared" si="254"/>
        <v/>
      </c>
      <c r="S931" s="107" t="str">
        <f t="shared" si="255"/>
        <v/>
      </c>
      <c r="T931" s="39" t="str">
        <f>IF($C931="","",IF(COUNTIF($C$2:$C931,$C931)=1,1,0))</f>
        <v/>
      </c>
      <c r="U931" s="39" t="str">
        <f>IF($T931=1,COUNTIF($T$2:$T931,1),"")</f>
        <v/>
      </c>
      <c r="V931" s="39" t="str">
        <f>IF($B931="","",IF(COUNTIF($B$2:$B931,$B931)=1,1,0))</f>
        <v/>
      </c>
      <c r="W931" s="39" t="str">
        <f>IF($V931=1,COUNTIF($V$2:$V931,1),"")</f>
        <v/>
      </c>
      <c r="X931" s="39" t="str">
        <f>IF($A931="","",IF(COUNTIF($A$2:$A931,$A931)=1,1,0))</f>
        <v/>
      </c>
      <c r="Y931" s="39" t="str">
        <f>IF($X931=1,COUNTIF($X$2:$X931,1),"")</f>
        <v/>
      </c>
      <c r="Z931" s="39">
        <f>IF(AND($E931="timed",$N931&gt;Settings!$C$8),1,0)</f>
        <v>0</v>
      </c>
      <c r="AA931" s="39">
        <f t="shared" si="256"/>
        <v>0</v>
      </c>
      <c r="AB931" s="39">
        <f t="shared" si="257"/>
        <v>0</v>
      </c>
      <c r="AC931" s="39" t="str">
        <f t="shared" si="258"/>
        <v/>
      </c>
      <c r="AD931" s="39" t="str">
        <f t="shared" si="259"/>
        <v/>
      </c>
      <c r="AE931" s="39" t="str">
        <f t="shared" si="260"/>
        <v/>
      </c>
      <c r="AF931" s="106" t="str">
        <f t="shared" si="261"/>
        <v/>
      </c>
      <c r="AG931" s="39">
        <f t="shared" si="262"/>
        <v>0</v>
      </c>
      <c r="AH931" s="39" t="str">
        <f t="shared" si="263"/>
        <v/>
      </c>
      <c r="AI931" s="39">
        <f>IF(AND($E931="timed",$N931&gt;=Settings!$C$9),1,0)</f>
        <v>0</v>
      </c>
      <c r="AJ931" s="39" t="str">
        <f>IF(OR($S931="",Settings!$C$16=""),"",IF($S931&lt;=Settings!$C$16,1,2))</f>
        <v/>
      </c>
      <c r="AK931" s="39" t="str">
        <f>IF($C931="","",IFERROR(IF(INDEX(Settings!$C$20:$C$59,MATCH($C931,Settings!$B$20:$B$59,0))="",Settings!$C$10,INDEX(Settings!$C$20:$C$59,MATCH($C931,Settings!$B$20:$B$59,0))),Settings!$C$10))</f>
        <v/>
      </c>
      <c r="AL931" s="108">
        <f t="shared" si="264"/>
        <v>0</v>
      </c>
      <c r="AM931" s="39" t="str">
        <f t="shared" si="265"/>
        <v/>
      </c>
      <c r="AN931" s="39" t="str">
        <f t="shared" si="266"/>
        <v/>
      </c>
      <c r="AO931" s="39" t="str">
        <f t="shared" si="267"/>
        <v/>
      </c>
      <c r="AP931" s="39">
        <f t="shared" si="268"/>
        <v>0</v>
      </c>
      <c r="AQ931" s="39">
        <f t="shared" si="269"/>
        <v>0</v>
      </c>
    </row>
    <row r="932" spans="14:43" x14ac:dyDescent="0.25">
      <c r="N932" s="105">
        <f t="shared" si="252"/>
        <v>0</v>
      </c>
      <c r="O932" s="106" t="str">
        <f>IF($F932="","",IF(ISNUMBER($F932),$F932+Settings!$C$7/24,IFERROR(DATEVALUE(LEFT($F932,10))+TIMEVALUE(MID($F932,12,8))+Settings!$C$7/24,"")))</f>
        <v/>
      </c>
      <c r="P932" s="106" t="str">
        <f>IF($G932="","",IF(ISNUMBER($G932),$G932+Settings!$C$7/24,IFERROR(DATEVALUE(LEFT($G932,10))+TIMEVALUE(MID($G932,12,8))+Settings!$C$7/24,"")))</f>
        <v/>
      </c>
      <c r="Q932" s="39" t="str">
        <f t="shared" si="253"/>
        <v/>
      </c>
      <c r="R932" s="39" t="str">
        <f t="shared" si="254"/>
        <v/>
      </c>
      <c r="S932" s="107" t="str">
        <f t="shared" si="255"/>
        <v/>
      </c>
      <c r="T932" s="39" t="str">
        <f>IF($C932="","",IF(COUNTIF($C$2:$C932,$C932)=1,1,0))</f>
        <v/>
      </c>
      <c r="U932" s="39" t="str">
        <f>IF($T932=1,COUNTIF($T$2:$T932,1),"")</f>
        <v/>
      </c>
      <c r="V932" s="39" t="str">
        <f>IF($B932="","",IF(COUNTIF($B$2:$B932,$B932)=1,1,0))</f>
        <v/>
      </c>
      <c r="W932" s="39" t="str">
        <f>IF($V932=1,COUNTIF($V$2:$V932,1),"")</f>
        <v/>
      </c>
      <c r="X932" s="39" t="str">
        <f>IF($A932="","",IF(COUNTIF($A$2:$A932,$A932)=1,1,0))</f>
        <v/>
      </c>
      <c r="Y932" s="39" t="str">
        <f>IF($X932=1,COUNTIF($X$2:$X932,1),"")</f>
        <v/>
      </c>
      <c r="Z932" s="39">
        <f>IF(AND($E932="timed",$N932&gt;Settings!$C$8),1,0)</f>
        <v>0</v>
      </c>
      <c r="AA932" s="39">
        <f t="shared" si="256"/>
        <v>0</v>
      </c>
      <c r="AB932" s="39">
        <f t="shared" si="257"/>
        <v>0</v>
      </c>
      <c r="AC932" s="39" t="str">
        <f t="shared" si="258"/>
        <v/>
      </c>
      <c r="AD932" s="39" t="str">
        <f t="shared" si="259"/>
        <v/>
      </c>
      <c r="AE932" s="39" t="str">
        <f t="shared" si="260"/>
        <v/>
      </c>
      <c r="AF932" s="106" t="str">
        <f t="shared" si="261"/>
        <v/>
      </c>
      <c r="AG932" s="39">
        <f t="shared" si="262"/>
        <v>0</v>
      </c>
      <c r="AH932" s="39" t="str">
        <f t="shared" si="263"/>
        <v/>
      </c>
      <c r="AI932" s="39">
        <f>IF(AND($E932="timed",$N932&gt;=Settings!$C$9),1,0)</f>
        <v>0</v>
      </c>
      <c r="AJ932" s="39" t="str">
        <f>IF(OR($S932="",Settings!$C$16=""),"",IF($S932&lt;=Settings!$C$16,1,2))</f>
        <v/>
      </c>
      <c r="AK932" s="39" t="str">
        <f>IF($C932="","",IFERROR(IF(INDEX(Settings!$C$20:$C$59,MATCH($C932,Settings!$B$20:$B$59,0))="",Settings!$C$10,INDEX(Settings!$C$20:$C$59,MATCH($C932,Settings!$B$20:$B$59,0))),Settings!$C$10))</f>
        <v/>
      </c>
      <c r="AL932" s="108">
        <f t="shared" si="264"/>
        <v>0</v>
      </c>
      <c r="AM932" s="39" t="str">
        <f t="shared" si="265"/>
        <v/>
      </c>
      <c r="AN932" s="39" t="str">
        <f t="shared" si="266"/>
        <v/>
      </c>
      <c r="AO932" s="39" t="str">
        <f t="shared" si="267"/>
        <v/>
      </c>
      <c r="AP932" s="39">
        <f t="shared" si="268"/>
        <v>0</v>
      </c>
      <c r="AQ932" s="39">
        <f t="shared" si="269"/>
        <v>0</v>
      </c>
    </row>
    <row r="933" spans="14:43" x14ac:dyDescent="0.25">
      <c r="N933" s="105">
        <f t="shared" si="252"/>
        <v>0</v>
      </c>
      <c r="O933" s="106" t="str">
        <f>IF($F933="","",IF(ISNUMBER($F933),$F933+Settings!$C$7/24,IFERROR(DATEVALUE(LEFT($F933,10))+TIMEVALUE(MID($F933,12,8))+Settings!$C$7/24,"")))</f>
        <v/>
      </c>
      <c r="P933" s="106" t="str">
        <f>IF($G933="","",IF(ISNUMBER($G933),$G933+Settings!$C$7/24,IFERROR(DATEVALUE(LEFT($G933,10))+TIMEVALUE(MID($G933,12,8))+Settings!$C$7/24,"")))</f>
        <v/>
      </c>
      <c r="Q933" s="39" t="str">
        <f t="shared" si="253"/>
        <v/>
      </c>
      <c r="R933" s="39" t="str">
        <f t="shared" si="254"/>
        <v/>
      </c>
      <c r="S933" s="107" t="str">
        <f t="shared" si="255"/>
        <v/>
      </c>
      <c r="T933" s="39" t="str">
        <f>IF($C933="","",IF(COUNTIF($C$2:$C933,$C933)=1,1,0))</f>
        <v/>
      </c>
      <c r="U933" s="39" t="str">
        <f>IF($T933=1,COUNTIF($T$2:$T933,1),"")</f>
        <v/>
      </c>
      <c r="V933" s="39" t="str">
        <f>IF($B933="","",IF(COUNTIF($B$2:$B933,$B933)=1,1,0))</f>
        <v/>
      </c>
      <c r="W933" s="39" t="str">
        <f>IF($V933=1,COUNTIF($V$2:$V933,1),"")</f>
        <v/>
      </c>
      <c r="X933" s="39" t="str">
        <f>IF($A933="","",IF(COUNTIF($A$2:$A933,$A933)=1,1,0))</f>
        <v/>
      </c>
      <c r="Y933" s="39" t="str">
        <f>IF($X933=1,COUNTIF($X$2:$X933,1),"")</f>
        <v/>
      </c>
      <c r="Z933" s="39">
        <f>IF(AND($E933="timed",$N933&gt;Settings!$C$8),1,0)</f>
        <v>0</v>
      </c>
      <c r="AA933" s="39">
        <f t="shared" si="256"/>
        <v>0</v>
      </c>
      <c r="AB933" s="39">
        <f t="shared" si="257"/>
        <v>0</v>
      </c>
      <c r="AC933" s="39" t="str">
        <f t="shared" si="258"/>
        <v/>
      </c>
      <c r="AD933" s="39" t="str">
        <f t="shared" si="259"/>
        <v/>
      </c>
      <c r="AE933" s="39" t="str">
        <f t="shared" si="260"/>
        <v/>
      </c>
      <c r="AF933" s="106" t="str">
        <f t="shared" si="261"/>
        <v/>
      </c>
      <c r="AG933" s="39">
        <f t="shared" si="262"/>
        <v>0</v>
      </c>
      <c r="AH933" s="39" t="str">
        <f t="shared" si="263"/>
        <v/>
      </c>
      <c r="AI933" s="39">
        <f>IF(AND($E933="timed",$N933&gt;=Settings!$C$9),1,0)</f>
        <v>0</v>
      </c>
      <c r="AJ933" s="39" t="str">
        <f>IF(OR($S933="",Settings!$C$16=""),"",IF($S933&lt;=Settings!$C$16,1,2))</f>
        <v/>
      </c>
      <c r="AK933" s="39" t="str">
        <f>IF($C933="","",IFERROR(IF(INDEX(Settings!$C$20:$C$59,MATCH($C933,Settings!$B$20:$B$59,0))="",Settings!$C$10,INDEX(Settings!$C$20:$C$59,MATCH($C933,Settings!$B$20:$B$59,0))),Settings!$C$10))</f>
        <v/>
      </c>
      <c r="AL933" s="108">
        <f t="shared" si="264"/>
        <v>0</v>
      </c>
      <c r="AM933" s="39" t="str">
        <f t="shared" si="265"/>
        <v/>
      </c>
      <c r="AN933" s="39" t="str">
        <f t="shared" si="266"/>
        <v/>
      </c>
      <c r="AO933" s="39" t="str">
        <f t="shared" si="267"/>
        <v/>
      </c>
      <c r="AP933" s="39">
        <f t="shared" si="268"/>
        <v>0</v>
      </c>
      <c r="AQ933" s="39">
        <f t="shared" si="269"/>
        <v>0</v>
      </c>
    </row>
    <row r="934" spans="14:43" x14ac:dyDescent="0.25">
      <c r="N934" s="105">
        <f t="shared" si="252"/>
        <v>0</v>
      </c>
      <c r="O934" s="106" t="str">
        <f>IF($F934="","",IF(ISNUMBER($F934),$F934+Settings!$C$7/24,IFERROR(DATEVALUE(LEFT($F934,10))+TIMEVALUE(MID($F934,12,8))+Settings!$C$7/24,"")))</f>
        <v/>
      </c>
      <c r="P934" s="106" t="str">
        <f>IF($G934="","",IF(ISNUMBER($G934),$G934+Settings!$C$7/24,IFERROR(DATEVALUE(LEFT($G934,10))+TIMEVALUE(MID($G934,12,8))+Settings!$C$7/24,"")))</f>
        <v/>
      </c>
      <c r="Q934" s="39" t="str">
        <f t="shared" si="253"/>
        <v/>
      </c>
      <c r="R934" s="39" t="str">
        <f t="shared" si="254"/>
        <v/>
      </c>
      <c r="S934" s="107" t="str">
        <f t="shared" si="255"/>
        <v/>
      </c>
      <c r="T934" s="39" t="str">
        <f>IF($C934="","",IF(COUNTIF($C$2:$C934,$C934)=1,1,0))</f>
        <v/>
      </c>
      <c r="U934" s="39" t="str">
        <f>IF($T934=1,COUNTIF($T$2:$T934,1),"")</f>
        <v/>
      </c>
      <c r="V934" s="39" t="str">
        <f>IF($B934="","",IF(COUNTIF($B$2:$B934,$B934)=1,1,0))</f>
        <v/>
      </c>
      <c r="W934" s="39" t="str">
        <f>IF($V934=1,COUNTIF($V$2:$V934,1),"")</f>
        <v/>
      </c>
      <c r="X934" s="39" t="str">
        <f>IF($A934="","",IF(COUNTIF($A$2:$A934,$A934)=1,1,0))</f>
        <v/>
      </c>
      <c r="Y934" s="39" t="str">
        <f>IF($X934=1,COUNTIF($X$2:$X934,1),"")</f>
        <v/>
      </c>
      <c r="Z934" s="39">
        <f>IF(AND($E934="timed",$N934&gt;Settings!$C$8),1,0)</f>
        <v>0</v>
      </c>
      <c r="AA934" s="39">
        <f t="shared" si="256"/>
        <v>0</v>
      </c>
      <c r="AB934" s="39">
        <f t="shared" si="257"/>
        <v>0</v>
      </c>
      <c r="AC934" s="39" t="str">
        <f t="shared" si="258"/>
        <v/>
      </c>
      <c r="AD934" s="39" t="str">
        <f t="shared" si="259"/>
        <v/>
      </c>
      <c r="AE934" s="39" t="str">
        <f t="shared" si="260"/>
        <v/>
      </c>
      <c r="AF934" s="106" t="str">
        <f t="shared" si="261"/>
        <v/>
      </c>
      <c r="AG934" s="39">
        <f t="shared" si="262"/>
        <v>0</v>
      </c>
      <c r="AH934" s="39" t="str">
        <f t="shared" si="263"/>
        <v/>
      </c>
      <c r="AI934" s="39">
        <f>IF(AND($E934="timed",$N934&gt;=Settings!$C$9),1,0)</f>
        <v>0</v>
      </c>
      <c r="AJ934" s="39" t="str">
        <f>IF(OR($S934="",Settings!$C$16=""),"",IF($S934&lt;=Settings!$C$16,1,2))</f>
        <v/>
      </c>
      <c r="AK934" s="39" t="str">
        <f>IF($C934="","",IFERROR(IF(INDEX(Settings!$C$20:$C$59,MATCH($C934,Settings!$B$20:$B$59,0))="",Settings!$C$10,INDEX(Settings!$C$20:$C$59,MATCH($C934,Settings!$B$20:$B$59,0))),Settings!$C$10))</f>
        <v/>
      </c>
      <c r="AL934" s="108">
        <f t="shared" si="264"/>
        <v>0</v>
      </c>
      <c r="AM934" s="39" t="str">
        <f t="shared" si="265"/>
        <v/>
      </c>
      <c r="AN934" s="39" t="str">
        <f t="shared" si="266"/>
        <v/>
      </c>
      <c r="AO934" s="39" t="str">
        <f t="shared" si="267"/>
        <v/>
      </c>
      <c r="AP934" s="39">
        <f t="shared" si="268"/>
        <v>0</v>
      </c>
      <c r="AQ934" s="39">
        <f t="shared" si="269"/>
        <v>0</v>
      </c>
    </row>
    <row r="935" spans="14:43" x14ac:dyDescent="0.25">
      <c r="N935" s="105">
        <f t="shared" si="252"/>
        <v>0</v>
      </c>
      <c r="O935" s="106" t="str">
        <f>IF($F935="","",IF(ISNUMBER($F935),$F935+Settings!$C$7/24,IFERROR(DATEVALUE(LEFT($F935,10))+TIMEVALUE(MID($F935,12,8))+Settings!$C$7/24,"")))</f>
        <v/>
      </c>
      <c r="P935" s="106" t="str">
        <f>IF($G935="","",IF(ISNUMBER($G935),$G935+Settings!$C$7/24,IFERROR(DATEVALUE(LEFT($G935,10))+TIMEVALUE(MID($G935,12,8))+Settings!$C$7/24,"")))</f>
        <v/>
      </c>
      <c r="Q935" s="39" t="str">
        <f t="shared" si="253"/>
        <v/>
      </c>
      <c r="R935" s="39" t="str">
        <f t="shared" si="254"/>
        <v/>
      </c>
      <c r="S935" s="107" t="str">
        <f t="shared" si="255"/>
        <v/>
      </c>
      <c r="T935" s="39" t="str">
        <f>IF($C935="","",IF(COUNTIF($C$2:$C935,$C935)=1,1,0))</f>
        <v/>
      </c>
      <c r="U935" s="39" t="str">
        <f>IF($T935=1,COUNTIF($T$2:$T935,1),"")</f>
        <v/>
      </c>
      <c r="V935" s="39" t="str">
        <f>IF($B935="","",IF(COUNTIF($B$2:$B935,$B935)=1,1,0))</f>
        <v/>
      </c>
      <c r="W935" s="39" t="str">
        <f>IF($V935=1,COUNTIF($V$2:$V935,1),"")</f>
        <v/>
      </c>
      <c r="X935" s="39" t="str">
        <f>IF($A935="","",IF(COUNTIF($A$2:$A935,$A935)=1,1,0))</f>
        <v/>
      </c>
      <c r="Y935" s="39" t="str">
        <f>IF($X935=1,COUNTIF($X$2:$X935,1),"")</f>
        <v/>
      </c>
      <c r="Z935" s="39">
        <f>IF(AND($E935="timed",$N935&gt;Settings!$C$8),1,0)</f>
        <v>0</v>
      </c>
      <c r="AA935" s="39">
        <f t="shared" si="256"/>
        <v>0</v>
      </c>
      <c r="AB935" s="39">
        <f t="shared" si="257"/>
        <v>0</v>
      </c>
      <c r="AC935" s="39" t="str">
        <f t="shared" si="258"/>
        <v/>
      </c>
      <c r="AD935" s="39" t="str">
        <f t="shared" si="259"/>
        <v/>
      </c>
      <c r="AE935" s="39" t="str">
        <f t="shared" si="260"/>
        <v/>
      </c>
      <c r="AF935" s="106" t="str">
        <f t="shared" si="261"/>
        <v/>
      </c>
      <c r="AG935" s="39">
        <f t="shared" si="262"/>
        <v>0</v>
      </c>
      <c r="AH935" s="39" t="str">
        <f t="shared" si="263"/>
        <v/>
      </c>
      <c r="AI935" s="39">
        <f>IF(AND($E935="timed",$N935&gt;=Settings!$C$9),1,0)</f>
        <v>0</v>
      </c>
      <c r="AJ935" s="39" t="str">
        <f>IF(OR($S935="",Settings!$C$16=""),"",IF($S935&lt;=Settings!$C$16,1,2))</f>
        <v/>
      </c>
      <c r="AK935" s="39" t="str">
        <f>IF($C935="","",IFERROR(IF(INDEX(Settings!$C$20:$C$59,MATCH($C935,Settings!$B$20:$B$59,0))="",Settings!$C$10,INDEX(Settings!$C$20:$C$59,MATCH($C935,Settings!$B$20:$B$59,0))),Settings!$C$10))</f>
        <v/>
      </c>
      <c r="AL935" s="108">
        <f t="shared" si="264"/>
        <v>0</v>
      </c>
      <c r="AM935" s="39" t="str">
        <f t="shared" si="265"/>
        <v/>
      </c>
      <c r="AN935" s="39" t="str">
        <f t="shared" si="266"/>
        <v/>
      </c>
      <c r="AO935" s="39" t="str">
        <f t="shared" si="267"/>
        <v/>
      </c>
      <c r="AP935" s="39">
        <f t="shared" si="268"/>
        <v>0</v>
      </c>
      <c r="AQ935" s="39">
        <f t="shared" si="269"/>
        <v>0</v>
      </c>
    </row>
    <row r="936" spans="14:43" x14ac:dyDescent="0.25">
      <c r="N936" s="105">
        <f t="shared" si="252"/>
        <v>0</v>
      </c>
      <c r="O936" s="106" t="str">
        <f>IF($F936="","",IF(ISNUMBER($F936),$F936+Settings!$C$7/24,IFERROR(DATEVALUE(LEFT($F936,10))+TIMEVALUE(MID($F936,12,8))+Settings!$C$7/24,"")))</f>
        <v/>
      </c>
      <c r="P936" s="106" t="str">
        <f>IF($G936="","",IF(ISNUMBER($G936),$G936+Settings!$C$7/24,IFERROR(DATEVALUE(LEFT($G936,10))+TIMEVALUE(MID($G936,12,8))+Settings!$C$7/24,"")))</f>
        <v/>
      </c>
      <c r="Q936" s="39" t="str">
        <f t="shared" si="253"/>
        <v/>
      </c>
      <c r="R936" s="39" t="str">
        <f t="shared" si="254"/>
        <v/>
      </c>
      <c r="S936" s="107" t="str">
        <f t="shared" si="255"/>
        <v/>
      </c>
      <c r="T936" s="39" t="str">
        <f>IF($C936="","",IF(COUNTIF($C$2:$C936,$C936)=1,1,0))</f>
        <v/>
      </c>
      <c r="U936" s="39" t="str">
        <f>IF($T936=1,COUNTIF($T$2:$T936,1),"")</f>
        <v/>
      </c>
      <c r="V936" s="39" t="str">
        <f>IF($B936="","",IF(COUNTIF($B$2:$B936,$B936)=1,1,0))</f>
        <v/>
      </c>
      <c r="W936" s="39" t="str">
        <f>IF($V936=1,COUNTIF($V$2:$V936,1),"")</f>
        <v/>
      </c>
      <c r="X936" s="39" t="str">
        <f>IF($A936="","",IF(COUNTIF($A$2:$A936,$A936)=1,1,0))</f>
        <v/>
      </c>
      <c r="Y936" s="39" t="str">
        <f>IF($X936=1,COUNTIF($X$2:$X936,1),"")</f>
        <v/>
      </c>
      <c r="Z936" s="39">
        <f>IF(AND($E936="timed",$N936&gt;Settings!$C$8),1,0)</f>
        <v>0</v>
      </c>
      <c r="AA936" s="39">
        <f t="shared" si="256"/>
        <v>0</v>
      </c>
      <c r="AB936" s="39">
        <f t="shared" si="257"/>
        <v>0</v>
      </c>
      <c r="AC936" s="39" t="str">
        <f t="shared" si="258"/>
        <v/>
      </c>
      <c r="AD936" s="39" t="str">
        <f t="shared" si="259"/>
        <v/>
      </c>
      <c r="AE936" s="39" t="str">
        <f t="shared" si="260"/>
        <v/>
      </c>
      <c r="AF936" s="106" t="str">
        <f t="shared" si="261"/>
        <v/>
      </c>
      <c r="AG936" s="39">
        <f t="shared" si="262"/>
        <v>0</v>
      </c>
      <c r="AH936" s="39" t="str">
        <f t="shared" si="263"/>
        <v/>
      </c>
      <c r="AI936" s="39">
        <f>IF(AND($E936="timed",$N936&gt;=Settings!$C$9),1,0)</f>
        <v>0</v>
      </c>
      <c r="AJ936" s="39" t="str">
        <f>IF(OR($S936="",Settings!$C$16=""),"",IF($S936&lt;=Settings!$C$16,1,2))</f>
        <v/>
      </c>
      <c r="AK936" s="39" t="str">
        <f>IF($C936="","",IFERROR(IF(INDEX(Settings!$C$20:$C$59,MATCH($C936,Settings!$B$20:$B$59,0))="",Settings!$C$10,INDEX(Settings!$C$20:$C$59,MATCH($C936,Settings!$B$20:$B$59,0))),Settings!$C$10))</f>
        <v/>
      </c>
      <c r="AL936" s="108">
        <f t="shared" si="264"/>
        <v>0</v>
      </c>
      <c r="AM936" s="39" t="str">
        <f t="shared" si="265"/>
        <v/>
      </c>
      <c r="AN936" s="39" t="str">
        <f t="shared" si="266"/>
        <v/>
      </c>
      <c r="AO936" s="39" t="str">
        <f t="shared" si="267"/>
        <v/>
      </c>
      <c r="AP936" s="39">
        <f t="shared" si="268"/>
        <v>0</v>
      </c>
      <c r="AQ936" s="39">
        <f t="shared" si="269"/>
        <v>0</v>
      </c>
    </row>
    <row r="937" spans="14:43" x14ac:dyDescent="0.25">
      <c r="N937" s="105">
        <f t="shared" si="252"/>
        <v>0</v>
      </c>
      <c r="O937" s="106" t="str">
        <f>IF($F937="","",IF(ISNUMBER($F937),$F937+Settings!$C$7/24,IFERROR(DATEVALUE(LEFT($F937,10))+TIMEVALUE(MID($F937,12,8))+Settings!$C$7/24,"")))</f>
        <v/>
      </c>
      <c r="P937" s="106" t="str">
        <f>IF($G937="","",IF(ISNUMBER($G937),$G937+Settings!$C$7/24,IFERROR(DATEVALUE(LEFT($G937,10))+TIMEVALUE(MID($G937,12,8))+Settings!$C$7/24,"")))</f>
        <v/>
      </c>
      <c r="Q937" s="39" t="str">
        <f t="shared" si="253"/>
        <v/>
      </c>
      <c r="R937" s="39" t="str">
        <f t="shared" si="254"/>
        <v/>
      </c>
      <c r="S937" s="107" t="str">
        <f t="shared" si="255"/>
        <v/>
      </c>
      <c r="T937" s="39" t="str">
        <f>IF($C937="","",IF(COUNTIF($C$2:$C937,$C937)=1,1,0))</f>
        <v/>
      </c>
      <c r="U937" s="39" t="str">
        <f>IF($T937=1,COUNTIF($T$2:$T937,1),"")</f>
        <v/>
      </c>
      <c r="V937" s="39" t="str">
        <f>IF($B937="","",IF(COUNTIF($B$2:$B937,$B937)=1,1,0))</f>
        <v/>
      </c>
      <c r="W937" s="39" t="str">
        <f>IF($V937=1,COUNTIF($V$2:$V937,1),"")</f>
        <v/>
      </c>
      <c r="X937" s="39" t="str">
        <f>IF($A937="","",IF(COUNTIF($A$2:$A937,$A937)=1,1,0))</f>
        <v/>
      </c>
      <c r="Y937" s="39" t="str">
        <f>IF($X937=1,COUNTIF($X$2:$X937,1),"")</f>
        <v/>
      </c>
      <c r="Z937" s="39">
        <f>IF(AND($E937="timed",$N937&gt;Settings!$C$8),1,0)</f>
        <v>0</v>
      </c>
      <c r="AA937" s="39">
        <f t="shared" si="256"/>
        <v>0</v>
      </c>
      <c r="AB937" s="39">
        <f t="shared" si="257"/>
        <v>0</v>
      </c>
      <c r="AC937" s="39" t="str">
        <f t="shared" si="258"/>
        <v/>
      </c>
      <c r="AD937" s="39" t="str">
        <f t="shared" si="259"/>
        <v/>
      </c>
      <c r="AE937" s="39" t="str">
        <f t="shared" si="260"/>
        <v/>
      </c>
      <c r="AF937" s="106" t="str">
        <f t="shared" si="261"/>
        <v/>
      </c>
      <c r="AG937" s="39">
        <f t="shared" si="262"/>
        <v>0</v>
      </c>
      <c r="AH937" s="39" t="str">
        <f t="shared" si="263"/>
        <v/>
      </c>
      <c r="AI937" s="39">
        <f>IF(AND($E937="timed",$N937&gt;=Settings!$C$9),1,0)</f>
        <v>0</v>
      </c>
      <c r="AJ937" s="39" t="str">
        <f>IF(OR($S937="",Settings!$C$16=""),"",IF($S937&lt;=Settings!$C$16,1,2))</f>
        <v/>
      </c>
      <c r="AK937" s="39" t="str">
        <f>IF($C937="","",IFERROR(IF(INDEX(Settings!$C$20:$C$59,MATCH($C937,Settings!$B$20:$B$59,0))="",Settings!$C$10,INDEX(Settings!$C$20:$C$59,MATCH($C937,Settings!$B$20:$B$59,0))),Settings!$C$10))</f>
        <v/>
      </c>
      <c r="AL937" s="108">
        <f t="shared" si="264"/>
        <v>0</v>
      </c>
      <c r="AM937" s="39" t="str">
        <f t="shared" si="265"/>
        <v/>
      </c>
      <c r="AN937" s="39" t="str">
        <f t="shared" si="266"/>
        <v/>
      </c>
      <c r="AO937" s="39" t="str">
        <f t="shared" si="267"/>
        <v/>
      </c>
      <c r="AP937" s="39">
        <f t="shared" si="268"/>
        <v>0</v>
      </c>
      <c r="AQ937" s="39">
        <f t="shared" si="269"/>
        <v>0</v>
      </c>
    </row>
    <row r="938" spans="14:43" x14ac:dyDescent="0.25">
      <c r="N938" s="105">
        <f t="shared" si="252"/>
        <v>0</v>
      </c>
      <c r="O938" s="106" t="str">
        <f>IF($F938="","",IF(ISNUMBER($F938),$F938+Settings!$C$7/24,IFERROR(DATEVALUE(LEFT($F938,10))+TIMEVALUE(MID($F938,12,8))+Settings!$C$7/24,"")))</f>
        <v/>
      </c>
      <c r="P938" s="106" t="str">
        <f>IF($G938="","",IF(ISNUMBER($G938),$G938+Settings!$C$7/24,IFERROR(DATEVALUE(LEFT($G938,10))+TIMEVALUE(MID($G938,12,8))+Settings!$C$7/24,"")))</f>
        <v/>
      </c>
      <c r="Q938" s="39" t="str">
        <f t="shared" si="253"/>
        <v/>
      </c>
      <c r="R938" s="39" t="str">
        <f t="shared" si="254"/>
        <v/>
      </c>
      <c r="S938" s="107" t="str">
        <f t="shared" si="255"/>
        <v/>
      </c>
      <c r="T938" s="39" t="str">
        <f>IF($C938="","",IF(COUNTIF($C$2:$C938,$C938)=1,1,0))</f>
        <v/>
      </c>
      <c r="U938" s="39" t="str">
        <f>IF($T938=1,COUNTIF($T$2:$T938,1),"")</f>
        <v/>
      </c>
      <c r="V938" s="39" t="str">
        <f>IF($B938="","",IF(COUNTIF($B$2:$B938,$B938)=1,1,0))</f>
        <v/>
      </c>
      <c r="W938" s="39" t="str">
        <f>IF($V938=1,COUNTIF($V$2:$V938,1),"")</f>
        <v/>
      </c>
      <c r="X938" s="39" t="str">
        <f>IF($A938="","",IF(COUNTIF($A$2:$A938,$A938)=1,1,0))</f>
        <v/>
      </c>
      <c r="Y938" s="39" t="str">
        <f>IF($X938=1,COUNTIF($X$2:$X938,1),"")</f>
        <v/>
      </c>
      <c r="Z938" s="39">
        <f>IF(AND($E938="timed",$N938&gt;Settings!$C$8),1,0)</f>
        <v>0</v>
      </c>
      <c r="AA938" s="39">
        <f t="shared" si="256"/>
        <v>0</v>
      </c>
      <c r="AB938" s="39">
        <f t="shared" si="257"/>
        <v>0</v>
      </c>
      <c r="AC938" s="39" t="str">
        <f t="shared" si="258"/>
        <v/>
      </c>
      <c r="AD938" s="39" t="str">
        <f t="shared" si="259"/>
        <v/>
      </c>
      <c r="AE938" s="39" t="str">
        <f t="shared" si="260"/>
        <v/>
      </c>
      <c r="AF938" s="106" t="str">
        <f t="shared" si="261"/>
        <v/>
      </c>
      <c r="AG938" s="39">
        <f t="shared" si="262"/>
        <v>0</v>
      </c>
      <c r="AH938" s="39" t="str">
        <f t="shared" si="263"/>
        <v/>
      </c>
      <c r="AI938" s="39">
        <f>IF(AND($E938="timed",$N938&gt;=Settings!$C$9),1,0)</f>
        <v>0</v>
      </c>
      <c r="AJ938" s="39" t="str">
        <f>IF(OR($S938="",Settings!$C$16=""),"",IF($S938&lt;=Settings!$C$16,1,2))</f>
        <v/>
      </c>
      <c r="AK938" s="39" t="str">
        <f>IF($C938="","",IFERROR(IF(INDEX(Settings!$C$20:$C$59,MATCH($C938,Settings!$B$20:$B$59,0))="",Settings!$C$10,INDEX(Settings!$C$20:$C$59,MATCH($C938,Settings!$B$20:$B$59,0))),Settings!$C$10))</f>
        <v/>
      </c>
      <c r="AL938" s="108">
        <f t="shared" si="264"/>
        <v>0</v>
      </c>
      <c r="AM938" s="39" t="str">
        <f t="shared" si="265"/>
        <v/>
      </c>
      <c r="AN938" s="39" t="str">
        <f t="shared" si="266"/>
        <v/>
      </c>
      <c r="AO938" s="39" t="str">
        <f t="shared" si="267"/>
        <v/>
      </c>
      <c r="AP938" s="39">
        <f t="shared" si="268"/>
        <v>0</v>
      </c>
      <c r="AQ938" s="39">
        <f t="shared" si="269"/>
        <v>0</v>
      </c>
    </row>
    <row r="939" spans="14:43" x14ac:dyDescent="0.25">
      <c r="N939" s="105">
        <f t="shared" si="252"/>
        <v>0</v>
      </c>
      <c r="O939" s="106" t="str">
        <f>IF($F939="","",IF(ISNUMBER($F939),$F939+Settings!$C$7/24,IFERROR(DATEVALUE(LEFT($F939,10))+TIMEVALUE(MID($F939,12,8))+Settings!$C$7/24,"")))</f>
        <v/>
      </c>
      <c r="P939" s="106" t="str">
        <f>IF($G939="","",IF(ISNUMBER($G939),$G939+Settings!$C$7/24,IFERROR(DATEVALUE(LEFT($G939,10))+TIMEVALUE(MID($G939,12,8))+Settings!$C$7/24,"")))</f>
        <v/>
      </c>
      <c r="Q939" s="39" t="str">
        <f t="shared" si="253"/>
        <v/>
      </c>
      <c r="R939" s="39" t="str">
        <f t="shared" si="254"/>
        <v/>
      </c>
      <c r="S939" s="107" t="str">
        <f t="shared" si="255"/>
        <v/>
      </c>
      <c r="T939" s="39" t="str">
        <f>IF($C939="","",IF(COUNTIF($C$2:$C939,$C939)=1,1,0))</f>
        <v/>
      </c>
      <c r="U939" s="39" t="str">
        <f>IF($T939=1,COUNTIF($T$2:$T939,1),"")</f>
        <v/>
      </c>
      <c r="V939" s="39" t="str">
        <f>IF($B939="","",IF(COUNTIF($B$2:$B939,$B939)=1,1,0))</f>
        <v/>
      </c>
      <c r="W939" s="39" t="str">
        <f>IF($V939=1,COUNTIF($V$2:$V939,1),"")</f>
        <v/>
      </c>
      <c r="X939" s="39" t="str">
        <f>IF($A939="","",IF(COUNTIF($A$2:$A939,$A939)=1,1,0))</f>
        <v/>
      </c>
      <c r="Y939" s="39" t="str">
        <f>IF($X939=1,COUNTIF($X$2:$X939,1),"")</f>
        <v/>
      </c>
      <c r="Z939" s="39">
        <f>IF(AND($E939="timed",$N939&gt;Settings!$C$8),1,0)</f>
        <v>0</v>
      </c>
      <c r="AA939" s="39">
        <f t="shared" si="256"/>
        <v>0</v>
      </c>
      <c r="AB939" s="39">
        <f t="shared" si="257"/>
        <v>0</v>
      </c>
      <c r="AC939" s="39" t="str">
        <f t="shared" si="258"/>
        <v/>
      </c>
      <c r="AD939" s="39" t="str">
        <f t="shared" si="259"/>
        <v/>
      </c>
      <c r="AE939" s="39" t="str">
        <f t="shared" si="260"/>
        <v/>
      </c>
      <c r="AF939" s="106" t="str">
        <f t="shared" si="261"/>
        <v/>
      </c>
      <c r="AG939" s="39">
        <f t="shared" si="262"/>
        <v>0</v>
      </c>
      <c r="AH939" s="39" t="str">
        <f t="shared" si="263"/>
        <v/>
      </c>
      <c r="AI939" s="39">
        <f>IF(AND($E939="timed",$N939&gt;=Settings!$C$9),1,0)</f>
        <v>0</v>
      </c>
      <c r="AJ939" s="39" t="str">
        <f>IF(OR($S939="",Settings!$C$16=""),"",IF($S939&lt;=Settings!$C$16,1,2))</f>
        <v/>
      </c>
      <c r="AK939" s="39" t="str">
        <f>IF($C939="","",IFERROR(IF(INDEX(Settings!$C$20:$C$59,MATCH($C939,Settings!$B$20:$B$59,0))="",Settings!$C$10,INDEX(Settings!$C$20:$C$59,MATCH($C939,Settings!$B$20:$B$59,0))),Settings!$C$10))</f>
        <v/>
      </c>
      <c r="AL939" s="108">
        <f t="shared" si="264"/>
        <v>0</v>
      </c>
      <c r="AM939" s="39" t="str">
        <f t="shared" si="265"/>
        <v/>
      </c>
      <c r="AN939" s="39" t="str">
        <f t="shared" si="266"/>
        <v/>
      </c>
      <c r="AO939" s="39" t="str">
        <f t="shared" si="267"/>
        <v/>
      </c>
      <c r="AP939" s="39">
        <f t="shared" si="268"/>
        <v>0</v>
      </c>
      <c r="AQ939" s="39">
        <f t="shared" si="269"/>
        <v>0</v>
      </c>
    </row>
    <row r="940" spans="14:43" x14ac:dyDescent="0.25">
      <c r="N940" s="105">
        <f t="shared" si="252"/>
        <v>0</v>
      </c>
      <c r="O940" s="106" t="str">
        <f>IF($F940="","",IF(ISNUMBER($F940),$F940+Settings!$C$7/24,IFERROR(DATEVALUE(LEFT($F940,10))+TIMEVALUE(MID($F940,12,8))+Settings!$C$7/24,"")))</f>
        <v/>
      </c>
      <c r="P940" s="106" t="str">
        <f>IF($G940="","",IF(ISNUMBER($G940),$G940+Settings!$C$7/24,IFERROR(DATEVALUE(LEFT($G940,10))+TIMEVALUE(MID($G940,12,8))+Settings!$C$7/24,"")))</f>
        <v/>
      </c>
      <c r="Q940" s="39" t="str">
        <f t="shared" si="253"/>
        <v/>
      </c>
      <c r="R940" s="39" t="str">
        <f t="shared" si="254"/>
        <v/>
      </c>
      <c r="S940" s="107" t="str">
        <f t="shared" si="255"/>
        <v/>
      </c>
      <c r="T940" s="39" t="str">
        <f>IF($C940="","",IF(COUNTIF($C$2:$C940,$C940)=1,1,0))</f>
        <v/>
      </c>
      <c r="U940" s="39" t="str">
        <f>IF($T940=1,COUNTIF($T$2:$T940,1),"")</f>
        <v/>
      </c>
      <c r="V940" s="39" t="str">
        <f>IF($B940="","",IF(COUNTIF($B$2:$B940,$B940)=1,1,0))</f>
        <v/>
      </c>
      <c r="W940" s="39" t="str">
        <f>IF($V940=1,COUNTIF($V$2:$V940,1),"")</f>
        <v/>
      </c>
      <c r="X940" s="39" t="str">
        <f>IF($A940="","",IF(COUNTIF($A$2:$A940,$A940)=1,1,0))</f>
        <v/>
      </c>
      <c r="Y940" s="39" t="str">
        <f>IF($X940=1,COUNTIF($X$2:$X940,1),"")</f>
        <v/>
      </c>
      <c r="Z940" s="39">
        <f>IF(AND($E940="timed",$N940&gt;Settings!$C$8),1,0)</f>
        <v>0</v>
      </c>
      <c r="AA940" s="39">
        <f t="shared" si="256"/>
        <v>0</v>
      </c>
      <c r="AB940" s="39">
        <f t="shared" si="257"/>
        <v>0</v>
      </c>
      <c r="AC940" s="39" t="str">
        <f t="shared" si="258"/>
        <v/>
      </c>
      <c r="AD940" s="39" t="str">
        <f t="shared" si="259"/>
        <v/>
      </c>
      <c r="AE940" s="39" t="str">
        <f t="shared" si="260"/>
        <v/>
      </c>
      <c r="AF940" s="106" t="str">
        <f t="shared" si="261"/>
        <v/>
      </c>
      <c r="AG940" s="39">
        <f t="shared" si="262"/>
        <v>0</v>
      </c>
      <c r="AH940" s="39" t="str">
        <f t="shared" si="263"/>
        <v/>
      </c>
      <c r="AI940" s="39">
        <f>IF(AND($E940="timed",$N940&gt;=Settings!$C$9),1,0)</f>
        <v>0</v>
      </c>
      <c r="AJ940" s="39" t="str">
        <f>IF(OR($S940="",Settings!$C$16=""),"",IF($S940&lt;=Settings!$C$16,1,2))</f>
        <v/>
      </c>
      <c r="AK940" s="39" t="str">
        <f>IF($C940="","",IFERROR(IF(INDEX(Settings!$C$20:$C$59,MATCH($C940,Settings!$B$20:$B$59,0))="",Settings!$C$10,INDEX(Settings!$C$20:$C$59,MATCH($C940,Settings!$B$20:$B$59,0))),Settings!$C$10))</f>
        <v/>
      </c>
      <c r="AL940" s="108">
        <f t="shared" si="264"/>
        <v>0</v>
      </c>
      <c r="AM940" s="39" t="str">
        <f t="shared" si="265"/>
        <v/>
      </c>
      <c r="AN940" s="39" t="str">
        <f t="shared" si="266"/>
        <v/>
      </c>
      <c r="AO940" s="39" t="str">
        <f t="shared" si="267"/>
        <v/>
      </c>
      <c r="AP940" s="39">
        <f t="shared" si="268"/>
        <v>0</v>
      </c>
      <c r="AQ940" s="39">
        <f t="shared" si="269"/>
        <v>0</v>
      </c>
    </row>
    <row r="941" spans="14:43" x14ac:dyDescent="0.25">
      <c r="N941" s="105">
        <f t="shared" si="252"/>
        <v>0</v>
      </c>
      <c r="O941" s="106" t="str">
        <f>IF($F941="","",IF(ISNUMBER($F941),$F941+Settings!$C$7/24,IFERROR(DATEVALUE(LEFT($F941,10))+TIMEVALUE(MID($F941,12,8))+Settings!$C$7/24,"")))</f>
        <v/>
      </c>
      <c r="P941" s="106" t="str">
        <f>IF($G941="","",IF(ISNUMBER($G941),$G941+Settings!$C$7/24,IFERROR(DATEVALUE(LEFT($G941,10))+TIMEVALUE(MID($G941,12,8))+Settings!$C$7/24,"")))</f>
        <v/>
      </c>
      <c r="Q941" s="39" t="str">
        <f t="shared" si="253"/>
        <v/>
      </c>
      <c r="R941" s="39" t="str">
        <f t="shared" si="254"/>
        <v/>
      </c>
      <c r="S941" s="107" t="str">
        <f t="shared" si="255"/>
        <v/>
      </c>
      <c r="T941" s="39" t="str">
        <f>IF($C941="","",IF(COUNTIF($C$2:$C941,$C941)=1,1,0))</f>
        <v/>
      </c>
      <c r="U941" s="39" t="str">
        <f>IF($T941=1,COUNTIF($T$2:$T941,1),"")</f>
        <v/>
      </c>
      <c r="V941" s="39" t="str">
        <f>IF($B941="","",IF(COUNTIF($B$2:$B941,$B941)=1,1,0))</f>
        <v/>
      </c>
      <c r="W941" s="39" t="str">
        <f>IF($V941=1,COUNTIF($V$2:$V941,1),"")</f>
        <v/>
      </c>
      <c r="X941" s="39" t="str">
        <f>IF($A941="","",IF(COUNTIF($A$2:$A941,$A941)=1,1,0))</f>
        <v/>
      </c>
      <c r="Y941" s="39" t="str">
        <f>IF($X941=1,COUNTIF($X$2:$X941,1),"")</f>
        <v/>
      </c>
      <c r="Z941" s="39">
        <f>IF(AND($E941="timed",$N941&gt;Settings!$C$8),1,0)</f>
        <v>0</v>
      </c>
      <c r="AA941" s="39">
        <f t="shared" si="256"/>
        <v>0</v>
      </c>
      <c r="AB941" s="39">
        <f t="shared" si="257"/>
        <v>0</v>
      </c>
      <c r="AC941" s="39" t="str">
        <f t="shared" si="258"/>
        <v/>
      </c>
      <c r="AD941" s="39" t="str">
        <f t="shared" si="259"/>
        <v/>
      </c>
      <c r="AE941" s="39" t="str">
        <f t="shared" si="260"/>
        <v/>
      </c>
      <c r="AF941" s="106" t="str">
        <f t="shared" si="261"/>
        <v/>
      </c>
      <c r="AG941" s="39">
        <f t="shared" si="262"/>
        <v>0</v>
      </c>
      <c r="AH941" s="39" t="str">
        <f t="shared" si="263"/>
        <v/>
      </c>
      <c r="AI941" s="39">
        <f>IF(AND($E941="timed",$N941&gt;=Settings!$C$9),1,0)</f>
        <v>0</v>
      </c>
      <c r="AJ941" s="39" t="str">
        <f>IF(OR($S941="",Settings!$C$16=""),"",IF($S941&lt;=Settings!$C$16,1,2))</f>
        <v/>
      </c>
      <c r="AK941" s="39" t="str">
        <f>IF($C941="","",IFERROR(IF(INDEX(Settings!$C$20:$C$59,MATCH($C941,Settings!$B$20:$B$59,0))="",Settings!$C$10,INDEX(Settings!$C$20:$C$59,MATCH($C941,Settings!$B$20:$B$59,0))),Settings!$C$10))</f>
        <v/>
      </c>
      <c r="AL941" s="108">
        <f t="shared" si="264"/>
        <v>0</v>
      </c>
      <c r="AM941" s="39" t="str">
        <f t="shared" si="265"/>
        <v/>
      </c>
      <c r="AN941" s="39" t="str">
        <f t="shared" si="266"/>
        <v/>
      </c>
      <c r="AO941" s="39" t="str">
        <f t="shared" si="267"/>
        <v/>
      </c>
      <c r="AP941" s="39">
        <f t="shared" si="268"/>
        <v>0</v>
      </c>
      <c r="AQ941" s="39">
        <f t="shared" si="269"/>
        <v>0</v>
      </c>
    </row>
    <row r="942" spans="14:43" x14ac:dyDescent="0.25">
      <c r="N942" s="105">
        <f t="shared" si="252"/>
        <v>0</v>
      </c>
      <c r="O942" s="106" t="str">
        <f>IF($F942="","",IF(ISNUMBER($F942),$F942+Settings!$C$7/24,IFERROR(DATEVALUE(LEFT($F942,10))+TIMEVALUE(MID($F942,12,8))+Settings!$C$7/24,"")))</f>
        <v/>
      </c>
      <c r="P942" s="106" t="str">
        <f>IF($G942="","",IF(ISNUMBER($G942),$G942+Settings!$C$7/24,IFERROR(DATEVALUE(LEFT($G942,10))+TIMEVALUE(MID($G942,12,8))+Settings!$C$7/24,"")))</f>
        <v/>
      </c>
      <c r="Q942" s="39" t="str">
        <f t="shared" si="253"/>
        <v/>
      </c>
      <c r="R942" s="39" t="str">
        <f t="shared" si="254"/>
        <v/>
      </c>
      <c r="S942" s="107" t="str">
        <f t="shared" si="255"/>
        <v/>
      </c>
      <c r="T942" s="39" t="str">
        <f>IF($C942="","",IF(COUNTIF($C$2:$C942,$C942)=1,1,0))</f>
        <v/>
      </c>
      <c r="U942" s="39" t="str">
        <f>IF($T942=1,COUNTIF($T$2:$T942,1),"")</f>
        <v/>
      </c>
      <c r="V942" s="39" t="str">
        <f>IF($B942="","",IF(COUNTIF($B$2:$B942,$B942)=1,1,0))</f>
        <v/>
      </c>
      <c r="W942" s="39" t="str">
        <f>IF($V942=1,COUNTIF($V$2:$V942,1),"")</f>
        <v/>
      </c>
      <c r="X942" s="39" t="str">
        <f>IF($A942="","",IF(COUNTIF($A$2:$A942,$A942)=1,1,0))</f>
        <v/>
      </c>
      <c r="Y942" s="39" t="str">
        <f>IF($X942=1,COUNTIF($X$2:$X942,1),"")</f>
        <v/>
      </c>
      <c r="Z942" s="39">
        <f>IF(AND($E942="timed",$N942&gt;Settings!$C$8),1,0)</f>
        <v>0</v>
      </c>
      <c r="AA942" s="39">
        <f t="shared" si="256"/>
        <v>0</v>
      </c>
      <c r="AB942" s="39">
        <f t="shared" si="257"/>
        <v>0</v>
      </c>
      <c r="AC942" s="39" t="str">
        <f t="shared" si="258"/>
        <v/>
      </c>
      <c r="AD942" s="39" t="str">
        <f t="shared" si="259"/>
        <v/>
      </c>
      <c r="AE942" s="39" t="str">
        <f t="shared" si="260"/>
        <v/>
      </c>
      <c r="AF942" s="106" t="str">
        <f t="shared" si="261"/>
        <v/>
      </c>
      <c r="AG942" s="39">
        <f t="shared" si="262"/>
        <v>0</v>
      </c>
      <c r="AH942" s="39" t="str">
        <f t="shared" si="263"/>
        <v/>
      </c>
      <c r="AI942" s="39">
        <f>IF(AND($E942="timed",$N942&gt;=Settings!$C$9),1,0)</f>
        <v>0</v>
      </c>
      <c r="AJ942" s="39" t="str">
        <f>IF(OR($S942="",Settings!$C$16=""),"",IF($S942&lt;=Settings!$C$16,1,2))</f>
        <v/>
      </c>
      <c r="AK942" s="39" t="str">
        <f>IF($C942="","",IFERROR(IF(INDEX(Settings!$C$20:$C$59,MATCH($C942,Settings!$B$20:$B$59,0))="",Settings!$C$10,INDEX(Settings!$C$20:$C$59,MATCH($C942,Settings!$B$20:$B$59,0))),Settings!$C$10))</f>
        <v/>
      </c>
      <c r="AL942" s="108">
        <f t="shared" si="264"/>
        <v>0</v>
      </c>
      <c r="AM942" s="39" t="str">
        <f t="shared" si="265"/>
        <v/>
      </c>
      <c r="AN942" s="39" t="str">
        <f t="shared" si="266"/>
        <v/>
      </c>
      <c r="AO942" s="39" t="str">
        <f t="shared" si="267"/>
        <v/>
      </c>
      <c r="AP942" s="39">
        <f t="shared" si="268"/>
        <v>0</v>
      </c>
      <c r="AQ942" s="39">
        <f t="shared" si="269"/>
        <v>0</v>
      </c>
    </row>
    <row r="943" spans="14:43" x14ac:dyDescent="0.25">
      <c r="N943" s="105">
        <f t="shared" si="252"/>
        <v>0</v>
      </c>
      <c r="O943" s="106" t="str">
        <f>IF($F943="","",IF(ISNUMBER($F943),$F943+Settings!$C$7/24,IFERROR(DATEVALUE(LEFT($F943,10))+TIMEVALUE(MID($F943,12,8))+Settings!$C$7/24,"")))</f>
        <v/>
      </c>
      <c r="P943" s="106" t="str">
        <f>IF($G943="","",IF(ISNUMBER($G943),$G943+Settings!$C$7/24,IFERROR(DATEVALUE(LEFT($G943,10))+TIMEVALUE(MID($G943,12,8))+Settings!$C$7/24,"")))</f>
        <v/>
      </c>
      <c r="Q943" s="39" t="str">
        <f t="shared" si="253"/>
        <v/>
      </c>
      <c r="R943" s="39" t="str">
        <f t="shared" si="254"/>
        <v/>
      </c>
      <c r="S943" s="107" t="str">
        <f t="shared" si="255"/>
        <v/>
      </c>
      <c r="T943" s="39" t="str">
        <f>IF($C943="","",IF(COUNTIF($C$2:$C943,$C943)=1,1,0))</f>
        <v/>
      </c>
      <c r="U943" s="39" t="str">
        <f>IF($T943=1,COUNTIF($T$2:$T943,1),"")</f>
        <v/>
      </c>
      <c r="V943" s="39" t="str">
        <f>IF($B943="","",IF(COUNTIF($B$2:$B943,$B943)=1,1,0))</f>
        <v/>
      </c>
      <c r="W943" s="39" t="str">
        <f>IF($V943=1,COUNTIF($V$2:$V943,1),"")</f>
        <v/>
      </c>
      <c r="X943" s="39" t="str">
        <f>IF($A943="","",IF(COUNTIF($A$2:$A943,$A943)=1,1,0))</f>
        <v/>
      </c>
      <c r="Y943" s="39" t="str">
        <f>IF($X943=1,COUNTIF($X$2:$X943,1),"")</f>
        <v/>
      </c>
      <c r="Z943" s="39">
        <f>IF(AND($E943="timed",$N943&gt;Settings!$C$8),1,0)</f>
        <v>0</v>
      </c>
      <c r="AA943" s="39">
        <f t="shared" si="256"/>
        <v>0</v>
      </c>
      <c r="AB943" s="39">
        <f t="shared" si="257"/>
        <v>0</v>
      </c>
      <c r="AC943" s="39" t="str">
        <f t="shared" si="258"/>
        <v/>
      </c>
      <c r="AD943" s="39" t="str">
        <f t="shared" si="259"/>
        <v/>
      </c>
      <c r="AE943" s="39" t="str">
        <f t="shared" si="260"/>
        <v/>
      </c>
      <c r="AF943" s="106" t="str">
        <f t="shared" si="261"/>
        <v/>
      </c>
      <c r="AG943" s="39">
        <f t="shared" si="262"/>
        <v>0</v>
      </c>
      <c r="AH943" s="39" t="str">
        <f t="shared" si="263"/>
        <v/>
      </c>
      <c r="AI943" s="39">
        <f>IF(AND($E943="timed",$N943&gt;=Settings!$C$9),1,0)</f>
        <v>0</v>
      </c>
      <c r="AJ943" s="39" t="str">
        <f>IF(OR($S943="",Settings!$C$16=""),"",IF($S943&lt;=Settings!$C$16,1,2))</f>
        <v/>
      </c>
      <c r="AK943" s="39" t="str">
        <f>IF($C943="","",IFERROR(IF(INDEX(Settings!$C$20:$C$59,MATCH($C943,Settings!$B$20:$B$59,0))="",Settings!$C$10,INDEX(Settings!$C$20:$C$59,MATCH($C943,Settings!$B$20:$B$59,0))),Settings!$C$10))</f>
        <v/>
      </c>
      <c r="AL943" s="108">
        <f t="shared" si="264"/>
        <v>0</v>
      </c>
      <c r="AM943" s="39" t="str">
        <f t="shared" si="265"/>
        <v/>
      </c>
      <c r="AN943" s="39" t="str">
        <f t="shared" si="266"/>
        <v/>
      </c>
      <c r="AO943" s="39" t="str">
        <f t="shared" si="267"/>
        <v/>
      </c>
      <c r="AP943" s="39">
        <f t="shared" si="268"/>
        <v>0</v>
      </c>
      <c r="AQ943" s="39">
        <f t="shared" si="269"/>
        <v>0</v>
      </c>
    </row>
    <row r="944" spans="14:43" x14ac:dyDescent="0.25">
      <c r="N944" s="105">
        <f t="shared" si="252"/>
        <v>0</v>
      </c>
      <c r="O944" s="106" t="str">
        <f>IF($F944="","",IF(ISNUMBER($F944),$F944+Settings!$C$7/24,IFERROR(DATEVALUE(LEFT($F944,10))+TIMEVALUE(MID($F944,12,8))+Settings!$C$7/24,"")))</f>
        <v/>
      </c>
      <c r="P944" s="106" t="str">
        <f>IF($G944="","",IF(ISNUMBER($G944),$G944+Settings!$C$7/24,IFERROR(DATEVALUE(LEFT($G944,10))+TIMEVALUE(MID($G944,12,8))+Settings!$C$7/24,"")))</f>
        <v/>
      </c>
      <c r="Q944" s="39" t="str">
        <f t="shared" si="253"/>
        <v/>
      </c>
      <c r="R944" s="39" t="str">
        <f t="shared" si="254"/>
        <v/>
      </c>
      <c r="S944" s="107" t="str">
        <f t="shared" si="255"/>
        <v/>
      </c>
      <c r="T944" s="39" t="str">
        <f>IF($C944="","",IF(COUNTIF($C$2:$C944,$C944)=1,1,0))</f>
        <v/>
      </c>
      <c r="U944" s="39" t="str">
        <f>IF($T944=1,COUNTIF($T$2:$T944,1),"")</f>
        <v/>
      </c>
      <c r="V944" s="39" t="str">
        <f>IF($B944="","",IF(COUNTIF($B$2:$B944,$B944)=1,1,0))</f>
        <v/>
      </c>
      <c r="W944" s="39" t="str">
        <f>IF($V944=1,COUNTIF($V$2:$V944,1),"")</f>
        <v/>
      </c>
      <c r="X944" s="39" t="str">
        <f>IF($A944="","",IF(COUNTIF($A$2:$A944,$A944)=1,1,0))</f>
        <v/>
      </c>
      <c r="Y944" s="39" t="str">
        <f>IF($X944=1,COUNTIF($X$2:$X944,1),"")</f>
        <v/>
      </c>
      <c r="Z944" s="39">
        <f>IF(AND($E944="timed",$N944&gt;Settings!$C$8),1,0)</f>
        <v>0</v>
      </c>
      <c r="AA944" s="39">
        <f t="shared" si="256"/>
        <v>0</v>
      </c>
      <c r="AB944" s="39">
        <f t="shared" si="257"/>
        <v>0</v>
      </c>
      <c r="AC944" s="39" t="str">
        <f t="shared" si="258"/>
        <v/>
      </c>
      <c r="AD944" s="39" t="str">
        <f t="shared" si="259"/>
        <v/>
      </c>
      <c r="AE944" s="39" t="str">
        <f t="shared" si="260"/>
        <v/>
      </c>
      <c r="AF944" s="106" t="str">
        <f t="shared" si="261"/>
        <v/>
      </c>
      <c r="AG944" s="39">
        <f t="shared" si="262"/>
        <v>0</v>
      </c>
      <c r="AH944" s="39" t="str">
        <f t="shared" si="263"/>
        <v/>
      </c>
      <c r="AI944" s="39">
        <f>IF(AND($E944="timed",$N944&gt;=Settings!$C$9),1,0)</f>
        <v>0</v>
      </c>
      <c r="AJ944" s="39" t="str">
        <f>IF(OR($S944="",Settings!$C$16=""),"",IF($S944&lt;=Settings!$C$16,1,2))</f>
        <v/>
      </c>
      <c r="AK944" s="39" t="str">
        <f>IF($C944="","",IFERROR(IF(INDEX(Settings!$C$20:$C$59,MATCH($C944,Settings!$B$20:$B$59,0))="",Settings!$C$10,INDEX(Settings!$C$20:$C$59,MATCH($C944,Settings!$B$20:$B$59,0))),Settings!$C$10))</f>
        <v/>
      </c>
      <c r="AL944" s="108">
        <f t="shared" si="264"/>
        <v>0</v>
      </c>
      <c r="AM944" s="39" t="str">
        <f t="shared" si="265"/>
        <v/>
      </c>
      <c r="AN944" s="39" t="str">
        <f t="shared" si="266"/>
        <v/>
      </c>
      <c r="AO944" s="39" t="str">
        <f t="shared" si="267"/>
        <v/>
      </c>
      <c r="AP944" s="39">
        <f t="shared" si="268"/>
        <v>0</v>
      </c>
      <c r="AQ944" s="39">
        <f t="shared" si="269"/>
        <v>0</v>
      </c>
    </row>
    <row r="945" spans="14:43" x14ac:dyDescent="0.25">
      <c r="N945" s="105">
        <f t="shared" si="252"/>
        <v>0</v>
      </c>
      <c r="O945" s="106" t="str">
        <f>IF($F945="","",IF(ISNUMBER($F945),$F945+Settings!$C$7/24,IFERROR(DATEVALUE(LEFT($F945,10))+TIMEVALUE(MID($F945,12,8))+Settings!$C$7/24,"")))</f>
        <v/>
      </c>
      <c r="P945" s="106" t="str">
        <f>IF($G945="","",IF(ISNUMBER($G945),$G945+Settings!$C$7/24,IFERROR(DATEVALUE(LEFT($G945,10))+TIMEVALUE(MID($G945,12,8))+Settings!$C$7/24,"")))</f>
        <v/>
      </c>
      <c r="Q945" s="39" t="str">
        <f t="shared" si="253"/>
        <v/>
      </c>
      <c r="R945" s="39" t="str">
        <f t="shared" si="254"/>
        <v/>
      </c>
      <c r="S945" s="107" t="str">
        <f t="shared" si="255"/>
        <v/>
      </c>
      <c r="T945" s="39" t="str">
        <f>IF($C945="","",IF(COUNTIF($C$2:$C945,$C945)=1,1,0))</f>
        <v/>
      </c>
      <c r="U945" s="39" t="str">
        <f>IF($T945=1,COUNTIF($T$2:$T945,1),"")</f>
        <v/>
      </c>
      <c r="V945" s="39" t="str">
        <f>IF($B945="","",IF(COUNTIF($B$2:$B945,$B945)=1,1,0))</f>
        <v/>
      </c>
      <c r="W945" s="39" t="str">
        <f>IF($V945=1,COUNTIF($V$2:$V945,1),"")</f>
        <v/>
      </c>
      <c r="X945" s="39" t="str">
        <f>IF($A945="","",IF(COUNTIF($A$2:$A945,$A945)=1,1,0))</f>
        <v/>
      </c>
      <c r="Y945" s="39" t="str">
        <f>IF($X945=1,COUNTIF($X$2:$X945,1),"")</f>
        <v/>
      </c>
      <c r="Z945" s="39">
        <f>IF(AND($E945="timed",$N945&gt;Settings!$C$8),1,0)</f>
        <v>0</v>
      </c>
      <c r="AA945" s="39">
        <f t="shared" si="256"/>
        <v>0</v>
      </c>
      <c r="AB945" s="39">
        <f t="shared" si="257"/>
        <v>0</v>
      </c>
      <c r="AC945" s="39" t="str">
        <f t="shared" si="258"/>
        <v/>
      </c>
      <c r="AD945" s="39" t="str">
        <f t="shared" si="259"/>
        <v/>
      </c>
      <c r="AE945" s="39" t="str">
        <f t="shared" si="260"/>
        <v/>
      </c>
      <c r="AF945" s="106" t="str">
        <f t="shared" si="261"/>
        <v/>
      </c>
      <c r="AG945" s="39">
        <f t="shared" si="262"/>
        <v>0</v>
      </c>
      <c r="AH945" s="39" t="str">
        <f t="shared" si="263"/>
        <v/>
      </c>
      <c r="AI945" s="39">
        <f>IF(AND($E945="timed",$N945&gt;=Settings!$C$9),1,0)</f>
        <v>0</v>
      </c>
      <c r="AJ945" s="39" t="str">
        <f>IF(OR($S945="",Settings!$C$16=""),"",IF($S945&lt;=Settings!$C$16,1,2))</f>
        <v/>
      </c>
      <c r="AK945" s="39" t="str">
        <f>IF($C945="","",IFERROR(IF(INDEX(Settings!$C$20:$C$59,MATCH($C945,Settings!$B$20:$B$59,0))="",Settings!$C$10,INDEX(Settings!$C$20:$C$59,MATCH($C945,Settings!$B$20:$B$59,0))),Settings!$C$10))</f>
        <v/>
      </c>
      <c r="AL945" s="108">
        <f t="shared" si="264"/>
        <v>0</v>
      </c>
      <c r="AM945" s="39" t="str">
        <f t="shared" si="265"/>
        <v/>
      </c>
      <c r="AN945" s="39" t="str">
        <f t="shared" si="266"/>
        <v/>
      </c>
      <c r="AO945" s="39" t="str">
        <f t="shared" si="267"/>
        <v/>
      </c>
      <c r="AP945" s="39">
        <f t="shared" si="268"/>
        <v>0</v>
      </c>
      <c r="AQ945" s="39">
        <f t="shared" si="269"/>
        <v>0</v>
      </c>
    </row>
    <row r="946" spans="14:43" x14ac:dyDescent="0.25">
      <c r="N946" s="105">
        <f t="shared" si="252"/>
        <v>0</v>
      </c>
      <c r="O946" s="106" t="str">
        <f>IF($F946="","",IF(ISNUMBER($F946),$F946+Settings!$C$7/24,IFERROR(DATEVALUE(LEFT($F946,10))+TIMEVALUE(MID($F946,12,8))+Settings!$C$7/24,"")))</f>
        <v/>
      </c>
      <c r="P946" s="106" t="str">
        <f>IF($G946="","",IF(ISNUMBER($G946),$G946+Settings!$C$7/24,IFERROR(DATEVALUE(LEFT($G946,10))+TIMEVALUE(MID($G946,12,8))+Settings!$C$7/24,"")))</f>
        <v/>
      </c>
      <c r="Q946" s="39" t="str">
        <f t="shared" si="253"/>
        <v/>
      </c>
      <c r="R946" s="39" t="str">
        <f t="shared" si="254"/>
        <v/>
      </c>
      <c r="S946" s="107" t="str">
        <f t="shared" si="255"/>
        <v/>
      </c>
      <c r="T946" s="39" t="str">
        <f>IF($C946="","",IF(COUNTIF($C$2:$C946,$C946)=1,1,0))</f>
        <v/>
      </c>
      <c r="U946" s="39" t="str">
        <f>IF($T946=1,COUNTIF($T$2:$T946,1),"")</f>
        <v/>
      </c>
      <c r="V946" s="39" t="str">
        <f>IF($B946="","",IF(COUNTIF($B$2:$B946,$B946)=1,1,0))</f>
        <v/>
      </c>
      <c r="W946" s="39" t="str">
        <f>IF($V946=1,COUNTIF($V$2:$V946,1),"")</f>
        <v/>
      </c>
      <c r="X946" s="39" t="str">
        <f>IF($A946="","",IF(COUNTIF($A$2:$A946,$A946)=1,1,0))</f>
        <v/>
      </c>
      <c r="Y946" s="39" t="str">
        <f>IF($X946=1,COUNTIF($X$2:$X946,1),"")</f>
        <v/>
      </c>
      <c r="Z946" s="39">
        <f>IF(AND($E946="timed",$N946&gt;Settings!$C$8),1,0)</f>
        <v>0</v>
      </c>
      <c r="AA946" s="39">
        <f t="shared" si="256"/>
        <v>0</v>
      </c>
      <c r="AB946" s="39">
        <f t="shared" si="257"/>
        <v>0</v>
      </c>
      <c r="AC946" s="39" t="str">
        <f t="shared" si="258"/>
        <v/>
      </c>
      <c r="AD946" s="39" t="str">
        <f t="shared" si="259"/>
        <v/>
      </c>
      <c r="AE946" s="39" t="str">
        <f t="shared" si="260"/>
        <v/>
      </c>
      <c r="AF946" s="106" t="str">
        <f t="shared" si="261"/>
        <v/>
      </c>
      <c r="AG946" s="39">
        <f t="shared" si="262"/>
        <v>0</v>
      </c>
      <c r="AH946" s="39" t="str">
        <f t="shared" si="263"/>
        <v/>
      </c>
      <c r="AI946" s="39">
        <f>IF(AND($E946="timed",$N946&gt;=Settings!$C$9),1,0)</f>
        <v>0</v>
      </c>
      <c r="AJ946" s="39" t="str">
        <f>IF(OR($S946="",Settings!$C$16=""),"",IF($S946&lt;=Settings!$C$16,1,2))</f>
        <v/>
      </c>
      <c r="AK946" s="39" t="str">
        <f>IF($C946="","",IFERROR(IF(INDEX(Settings!$C$20:$C$59,MATCH($C946,Settings!$B$20:$B$59,0))="",Settings!$C$10,INDEX(Settings!$C$20:$C$59,MATCH($C946,Settings!$B$20:$B$59,0))),Settings!$C$10))</f>
        <v/>
      </c>
      <c r="AL946" s="108">
        <f t="shared" si="264"/>
        <v>0</v>
      </c>
      <c r="AM946" s="39" t="str">
        <f t="shared" si="265"/>
        <v/>
      </c>
      <c r="AN946" s="39" t="str">
        <f t="shared" si="266"/>
        <v/>
      </c>
      <c r="AO946" s="39" t="str">
        <f t="shared" si="267"/>
        <v/>
      </c>
      <c r="AP946" s="39">
        <f t="shared" si="268"/>
        <v>0</v>
      </c>
      <c r="AQ946" s="39">
        <f t="shared" si="269"/>
        <v>0</v>
      </c>
    </row>
    <row r="947" spans="14:43" x14ac:dyDescent="0.25">
      <c r="N947" s="105">
        <f t="shared" si="252"/>
        <v>0</v>
      </c>
      <c r="O947" s="106" t="str">
        <f>IF($F947="","",IF(ISNUMBER($F947),$F947+Settings!$C$7/24,IFERROR(DATEVALUE(LEFT($F947,10))+TIMEVALUE(MID($F947,12,8))+Settings!$C$7/24,"")))</f>
        <v/>
      </c>
      <c r="P947" s="106" t="str">
        <f>IF($G947="","",IF(ISNUMBER($G947),$G947+Settings!$C$7/24,IFERROR(DATEVALUE(LEFT($G947,10))+TIMEVALUE(MID($G947,12,8))+Settings!$C$7/24,"")))</f>
        <v/>
      </c>
      <c r="Q947" s="39" t="str">
        <f t="shared" si="253"/>
        <v/>
      </c>
      <c r="R947" s="39" t="str">
        <f t="shared" si="254"/>
        <v/>
      </c>
      <c r="S947" s="107" t="str">
        <f t="shared" si="255"/>
        <v/>
      </c>
      <c r="T947" s="39" t="str">
        <f>IF($C947="","",IF(COUNTIF($C$2:$C947,$C947)=1,1,0))</f>
        <v/>
      </c>
      <c r="U947" s="39" t="str">
        <f>IF($T947=1,COUNTIF($T$2:$T947,1),"")</f>
        <v/>
      </c>
      <c r="V947" s="39" t="str">
        <f>IF($B947="","",IF(COUNTIF($B$2:$B947,$B947)=1,1,0))</f>
        <v/>
      </c>
      <c r="W947" s="39" t="str">
        <f>IF($V947=1,COUNTIF($V$2:$V947,1),"")</f>
        <v/>
      </c>
      <c r="X947" s="39" t="str">
        <f>IF($A947="","",IF(COUNTIF($A$2:$A947,$A947)=1,1,0))</f>
        <v/>
      </c>
      <c r="Y947" s="39" t="str">
        <f>IF($X947=1,COUNTIF($X$2:$X947,1),"")</f>
        <v/>
      </c>
      <c r="Z947" s="39">
        <f>IF(AND($E947="timed",$N947&gt;Settings!$C$8),1,0)</f>
        <v>0</v>
      </c>
      <c r="AA947" s="39">
        <f t="shared" si="256"/>
        <v>0</v>
      </c>
      <c r="AB947" s="39">
        <f t="shared" si="257"/>
        <v>0</v>
      </c>
      <c r="AC947" s="39" t="str">
        <f t="shared" si="258"/>
        <v/>
      </c>
      <c r="AD947" s="39" t="str">
        <f t="shared" si="259"/>
        <v/>
      </c>
      <c r="AE947" s="39" t="str">
        <f t="shared" si="260"/>
        <v/>
      </c>
      <c r="AF947" s="106" t="str">
        <f t="shared" si="261"/>
        <v/>
      </c>
      <c r="AG947" s="39">
        <f t="shared" si="262"/>
        <v>0</v>
      </c>
      <c r="AH947" s="39" t="str">
        <f t="shared" si="263"/>
        <v/>
      </c>
      <c r="AI947" s="39">
        <f>IF(AND($E947="timed",$N947&gt;=Settings!$C$9),1,0)</f>
        <v>0</v>
      </c>
      <c r="AJ947" s="39" t="str">
        <f>IF(OR($S947="",Settings!$C$16=""),"",IF($S947&lt;=Settings!$C$16,1,2))</f>
        <v/>
      </c>
      <c r="AK947" s="39" t="str">
        <f>IF($C947="","",IFERROR(IF(INDEX(Settings!$C$20:$C$59,MATCH($C947,Settings!$B$20:$B$59,0))="",Settings!$C$10,INDEX(Settings!$C$20:$C$59,MATCH($C947,Settings!$B$20:$B$59,0))),Settings!$C$10))</f>
        <v/>
      </c>
      <c r="AL947" s="108">
        <f t="shared" si="264"/>
        <v>0</v>
      </c>
      <c r="AM947" s="39" t="str">
        <f t="shared" si="265"/>
        <v/>
      </c>
      <c r="AN947" s="39" t="str">
        <f t="shared" si="266"/>
        <v/>
      </c>
      <c r="AO947" s="39" t="str">
        <f t="shared" si="267"/>
        <v/>
      </c>
      <c r="AP947" s="39">
        <f t="shared" si="268"/>
        <v>0</v>
      </c>
      <c r="AQ947" s="39">
        <f t="shared" si="269"/>
        <v>0</v>
      </c>
    </row>
    <row r="948" spans="14:43" x14ac:dyDescent="0.25">
      <c r="N948" s="105">
        <f t="shared" si="252"/>
        <v>0</v>
      </c>
      <c r="O948" s="106" t="str">
        <f>IF($F948="","",IF(ISNUMBER($F948),$F948+Settings!$C$7/24,IFERROR(DATEVALUE(LEFT($F948,10))+TIMEVALUE(MID($F948,12,8))+Settings!$C$7/24,"")))</f>
        <v/>
      </c>
      <c r="P948" s="106" t="str">
        <f>IF($G948="","",IF(ISNUMBER($G948),$G948+Settings!$C$7/24,IFERROR(DATEVALUE(LEFT($G948,10))+TIMEVALUE(MID($G948,12,8))+Settings!$C$7/24,"")))</f>
        <v/>
      </c>
      <c r="Q948" s="39" t="str">
        <f t="shared" si="253"/>
        <v/>
      </c>
      <c r="R948" s="39" t="str">
        <f t="shared" si="254"/>
        <v/>
      </c>
      <c r="S948" s="107" t="str">
        <f t="shared" si="255"/>
        <v/>
      </c>
      <c r="T948" s="39" t="str">
        <f>IF($C948="","",IF(COUNTIF($C$2:$C948,$C948)=1,1,0))</f>
        <v/>
      </c>
      <c r="U948" s="39" t="str">
        <f>IF($T948=1,COUNTIF($T$2:$T948,1),"")</f>
        <v/>
      </c>
      <c r="V948" s="39" t="str">
        <f>IF($B948="","",IF(COUNTIF($B$2:$B948,$B948)=1,1,0))</f>
        <v/>
      </c>
      <c r="W948" s="39" t="str">
        <f>IF($V948=1,COUNTIF($V$2:$V948,1),"")</f>
        <v/>
      </c>
      <c r="X948" s="39" t="str">
        <f>IF($A948="","",IF(COUNTIF($A$2:$A948,$A948)=1,1,0))</f>
        <v/>
      </c>
      <c r="Y948" s="39" t="str">
        <f>IF($X948=1,COUNTIF($X$2:$X948,1),"")</f>
        <v/>
      </c>
      <c r="Z948" s="39">
        <f>IF(AND($E948="timed",$N948&gt;Settings!$C$8),1,0)</f>
        <v>0</v>
      </c>
      <c r="AA948" s="39">
        <f t="shared" si="256"/>
        <v>0</v>
      </c>
      <c r="AB948" s="39">
        <f t="shared" si="257"/>
        <v>0</v>
      </c>
      <c r="AC948" s="39" t="str">
        <f t="shared" si="258"/>
        <v/>
      </c>
      <c r="AD948" s="39" t="str">
        <f t="shared" si="259"/>
        <v/>
      </c>
      <c r="AE948" s="39" t="str">
        <f t="shared" si="260"/>
        <v/>
      </c>
      <c r="AF948" s="106" t="str">
        <f t="shared" si="261"/>
        <v/>
      </c>
      <c r="AG948" s="39">
        <f t="shared" si="262"/>
        <v>0</v>
      </c>
      <c r="AH948" s="39" t="str">
        <f t="shared" si="263"/>
        <v/>
      </c>
      <c r="AI948" s="39">
        <f>IF(AND($E948="timed",$N948&gt;=Settings!$C$9),1,0)</f>
        <v>0</v>
      </c>
      <c r="AJ948" s="39" t="str">
        <f>IF(OR($S948="",Settings!$C$16=""),"",IF($S948&lt;=Settings!$C$16,1,2))</f>
        <v/>
      </c>
      <c r="AK948" s="39" t="str">
        <f>IF($C948="","",IFERROR(IF(INDEX(Settings!$C$20:$C$59,MATCH($C948,Settings!$B$20:$B$59,0))="",Settings!$C$10,INDEX(Settings!$C$20:$C$59,MATCH($C948,Settings!$B$20:$B$59,0))),Settings!$C$10))</f>
        <v/>
      </c>
      <c r="AL948" s="108">
        <f t="shared" si="264"/>
        <v>0</v>
      </c>
      <c r="AM948" s="39" t="str">
        <f t="shared" si="265"/>
        <v/>
      </c>
      <c r="AN948" s="39" t="str">
        <f t="shared" si="266"/>
        <v/>
      </c>
      <c r="AO948" s="39" t="str">
        <f t="shared" si="267"/>
        <v/>
      </c>
      <c r="AP948" s="39">
        <f t="shared" si="268"/>
        <v>0</v>
      </c>
      <c r="AQ948" s="39">
        <f t="shared" si="269"/>
        <v>0</v>
      </c>
    </row>
    <row r="949" spans="14:43" x14ac:dyDescent="0.25">
      <c r="N949" s="105">
        <f t="shared" si="252"/>
        <v>0</v>
      </c>
      <c r="O949" s="106" t="str">
        <f>IF($F949="","",IF(ISNUMBER($F949),$F949+Settings!$C$7/24,IFERROR(DATEVALUE(LEFT($F949,10))+TIMEVALUE(MID($F949,12,8))+Settings!$C$7/24,"")))</f>
        <v/>
      </c>
      <c r="P949" s="106" t="str">
        <f>IF($G949="","",IF(ISNUMBER($G949),$G949+Settings!$C$7/24,IFERROR(DATEVALUE(LEFT($G949,10))+TIMEVALUE(MID($G949,12,8))+Settings!$C$7/24,"")))</f>
        <v/>
      </c>
      <c r="Q949" s="39" t="str">
        <f t="shared" si="253"/>
        <v/>
      </c>
      <c r="R949" s="39" t="str">
        <f t="shared" si="254"/>
        <v/>
      </c>
      <c r="S949" s="107" t="str">
        <f t="shared" si="255"/>
        <v/>
      </c>
      <c r="T949" s="39" t="str">
        <f>IF($C949="","",IF(COUNTIF($C$2:$C949,$C949)=1,1,0))</f>
        <v/>
      </c>
      <c r="U949" s="39" t="str">
        <f>IF($T949=1,COUNTIF($T$2:$T949,1),"")</f>
        <v/>
      </c>
      <c r="V949" s="39" t="str">
        <f>IF($B949="","",IF(COUNTIF($B$2:$B949,$B949)=1,1,0))</f>
        <v/>
      </c>
      <c r="W949" s="39" t="str">
        <f>IF($V949=1,COUNTIF($V$2:$V949,1),"")</f>
        <v/>
      </c>
      <c r="X949" s="39" t="str">
        <f>IF($A949="","",IF(COUNTIF($A$2:$A949,$A949)=1,1,0))</f>
        <v/>
      </c>
      <c r="Y949" s="39" t="str">
        <f>IF($X949=1,COUNTIF($X$2:$X949,1),"")</f>
        <v/>
      </c>
      <c r="Z949" s="39">
        <f>IF(AND($E949="timed",$N949&gt;Settings!$C$8),1,0)</f>
        <v>0</v>
      </c>
      <c r="AA949" s="39">
        <f t="shared" si="256"/>
        <v>0</v>
      </c>
      <c r="AB949" s="39">
        <f t="shared" si="257"/>
        <v>0</v>
      </c>
      <c r="AC949" s="39" t="str">
        <f t="shared" si="258"/>
        <v/>
      </c>
      <c r="AD949" s="39" t="str">
        <f t="shared" si="259"/>
        <v/>
      </c>
      <c r="AE949" s="39" t="str">
        <f t="shared" si="260"/>
        <v/>
      </c>
      <c r="AF949" s="106" t="str">
        <f t="shared" si="261"/>
        <v/>
      </c>
      <c r="AG949" s="39">
        <f t="shared" si="262"/>
        <v>0</v>
      </c>
      <c r="AH949" s="39" t="str">
        <f t="shared" si="263"/>
        <v/>
      </c>
      <c r="AI949" s="39">
        <f>IF(AND($E949="timed",$N949&gt;=Settings!$C$9),1,0)</f>
        <v>0</v>
      </c>
      <c r="AJ949" s="39" t="str">
        <f>IF(OR($S949="",Settings!$C$16=""),"",IF($S949&lt;=Settings!$C$16,1,2))</f>
        <v/>
      </c>
      <c r="AK949" s="39" t="str">
        <f>IF($C949="","",IFERROR(IF(INDEX(Settings!$C$20:$C$59,MATCH($C949,Settings!$B$20:$B$59,0))="",Settings!$C$10,INDEX(Settings!$C$20:$C$59,MATCH($C949,Settings!$B$20:$B$59,0))),Settings!$C$10))</f>
        <v/>
      </c>
      <c r="AL949" s="108">
        <f t="shared" si="264"/>
        <v>0</v>
      </c>
      <c r="AM949" s="39" t="str">
        <f t="shared" si="265"/>
        <v/>
      </c>
      <c r="AN949" s="39" t="str">
        <f t="shared" si="266"/>
        <v/>
      </c>
      <c r="AO949" s="39" t="str">
        <f t="shared" si="267"/>
        <v/>
      </c>
      <c r="AP949" s="39">
        <f t="shared" si="268"/>
        <v>0</v>
      </c>
      <c r="AQ949" s="39">
        <f t="shared" si="269"/>
        <v>0</v>
      </c>
    </row>
    <row r="950" spans="14:43" x14ac:dyDescent="0.25">
      <c r="N950" s="105">
        <f t="shared" si="252"/>
        <v>0</v>
      </c>
      <c r="O950" s="106" t="str">
        <f>IF($F950="","",IF(ISNUMBER($F950),$F950+Settings!$C$7/24,IFERROR(DATEVALUE(LEFT($F950,10))+TIMEVALUE(MID($F950,12,8))+Settings!$C$7/24,"")))</f>
        <v/>
      </c>
      <c r="P950" s="106" t="str">
        <f>IF($G950="","",IF(ISNUMBER($G950),$G950+Settings!$C$7/24,IFERROR(DATEVALUE(LEFT($G950,10))+TIMEVALUE(MID($G950,12,8))+Settings!$C$7/24,"")))</f>
        <v/>
      </c>
      <c r="Q950" s="39" t="str">
        <f t="shared" si="253"/>
        <v/>
      </c>
      <c r="R950" s="39" t="str">
        <f t="shared" si="254"/>
        <v/>
      </c>
      <c r="S950" s="107" t="str">
        <f t="shared" si="255"/>
        <v/>
      </c>
      <c r="T950" s="39" t="str">
        <f>IF($C950="","",IF(COUNTIF($C$2:$C950,$C950)=1,1,0))</f>
        <v/>
      </c>
      <c r="U950" s="39" t="str">
        <f>IF($T950=1,COUNTIF($T$2:$T950,1),"")</f>
        <v/>
      </c>
      <c r="V950" s="39" t="str">
        <f>IF($B950="","",IF(COUNTIF($B$2:$B950,$B950)=1,1,0))</f>
        <v/>
      </c>
      <c r="W950" s="39" t="str">
        <f>IF($V950=1,COUNTIF($V$2:$V950,1),"")</f>
        <v/>
      </c>
      <c r="X950" s="39" t="str">
        <f>IF($A950="","",IF(COUNTIF($A$2:$A950,$A950)=1,1,0))</f>
        <v/>
      </c>
      <c r="Y950" s="39" t="str">
        <f>IF($X950=1,COUNTIF($X$2:$X950,1),"")</f>
        <v/>
      </c>
      <c r="Z950" s="39">
        <f>IF(AND($E950="timed",$N950&gt;Settings!$C$8),1,0)</f>
        <v>0</v>
      </c>
      <c r="AA950" s="39">
        <f t="shared" si="256"/>
        <v>0</v>
      </c>
      <c r="AB950" s="39">
        <f t="shared" si="257"/>
        <v>0</v>
      </c>
      <c r="AC950" s="39" t="str">
        <f t="shared" si="258"/>
        <v/>
      </c>
      <c r="AD950" s="39" t="str">
        <f t="shared" si="259"/>
        <v/>
      </c>
      <c r="AE950" s="39" t="str">
        <f t="shared" si="260"/>
        <v/>
      </c>
      <c r="AF950" s="106" t="str">
        <f t="shared" si="261"/>
        <v/>
      </c>
      <c r="AG950" s="39">
        <f t="shared" si="262"/>
        <v>0</v>
      </c>
      <c r="AH950" s="39" t="str">
        <f t="shared" si="263"/>
        <v/>
      </c>
      <c r="AI950" s="39">
        <f>IF(AND($E950="timed",$N950&gt;=Settings!$C$9),1,0)</f>
        <v>0</v>
      </c>
      <c r="AJ950" s="39" t="str">
        <f>IF(OR($S950="",Settings!$C$16=""),"",IF($S950&lt;=Settings!$C$16,1,2))</f>
        <v/>
      </c>
      <c r="AK950" s="39" t="str">
        <f>IF($C950="","",IFERROR(IF(INDEX(Settings!$C$20:$C$59,MATCH($C950,Settings!$B$20:$B$59,0))="",Settings!$C$10,INDEX(Settings!$C$20:$C$59,MATCH($C950,Settings!$B$20:$B$59,0))),Settings!$C$10))</f>
        <v/>
      </c>
      <c r="AL950" s="108">
        <f t="shared" si="264"/>
        <v>0</v>
      </c>
      <c r="AM950" s="39" t="str">
        <f t="shared" si="265"/>
        <v/>
      </c>
      <c r="AN950" s="39" t="str">
        <f t="shared" si="266"/>
        <v/>
      </c>
      <c r="AO950" s="39" t="str">
        <f t="shared" si="267"/>
        <v/>
      </c>
      <c r="AP950" s="39">
        <f t="shared" si="268"/>
        <v>0</v>
      </c>
      <c r="AQ950" s="39">
        <f t="shared" si="269"/>
        <v>0</v>
      </c>
    </row>
    <row r="951" spans="14:43" x14ac:dyDescent="0.25">
      <c r="N951" s="105">
        <f t="shared" si="252"/>
        <v>0</v>
      </c>
      <c r="O951" s="106" t="str">
        <f>IF($F951="","",IF(ISNUMBER($F951),$F951+Settings!$C$7/24,IFERROR(DATEVALUE(LEFT($F951,10))+TIMEVALUE(MID($F951,12,8))+Settings!$C$7/24,"")))</f>
        <v/>
      </c>
      <c r="P951" s="106" t="str">
        <f>IF($G951="","",IF(ISNUMBER($G951),$G951+Settings!$C$7/24,IFERROR(DATEVALUE(LEFT($G951,10))+TIMEVALUE(MID($G951,12,8))+Settings!$C$7/24,"")))</f>
        <v/>
      </c>
      <c r="Q951" s="39" t="str">
        <f t="shared" si="253"/>
        <v/>
      </c>
      <c r="R951" s="39" t="str">
        <f t="shared" si="254"/>
        <v/>
      </c>
      <c r="S951" s="107" t="str">
        <f t="shared" si="255"/>
        <v/>
      </c>
      <c r="T951" s="39" t="str">
        <f>IF($C951="","",IF(COUNTIF($C$2:$C951,$C951)=1,1,0))</f>
        <v/>
      </c>
      <c r="U951" s="39" t="str">
        <f>IF($T951=1,COUNTIF($T$2:$T951,1),"")</f>
        <v/>
      </c>
      <c r="V951" s="39" t="str">
        <f>IF($B951="","",IF(COUNTIF($B$2:$B951,$B951)=1,1,0))</f>
        <v/>
      </c>
      <c r="W951" s="39" t="str">
        <f>IF($V951=1,COUNTIF($V$2:$V951,1),"")</f>
        <v/>
      </c>
      <c r="X951" s="39" t="str">
        <f>IF($A951="","",IF(COUNTIF($A$2:$A951,$A951)=1,1,0))</f>
        <v/>
      </c>
      <c r="Y951" s="39" t="str">
        <f>IF($X951=1,COUNTIF($X$2:$X951,1),"")</f>
        <v/>
      </c>
      <c r="Z951" s="39">
        <f>IF(AND($E951="timed",$N951&gt;Settings!$C$8),1,0)</f>
        <v>0</v>
      </c>
      <c r="AA951" s="39">
        <f t="shared" si="256"/>
        <v>0</v>
      </c>
      <c r="AB951" s="39">
        <f t="shared" si="257"/>
        <v>0</v>
      </c>
      <c r="AC951" s="39" t="str">
        <f t="shared" si="258"/>
        <v/>
      </c>
      <c r="AD951" s="39" t="str">
        <f t="shared" si="259"/>
        <v/>
      </c>
      <c r="AE951" s="39" t="str">
        <f t="shared" si="260"/>
        <v/>
      </c>
      <c r="AF951" s="106" t="str">
        <f t="shared" si="261"/>
        <v/>
      </c>
      <c r="AG951" s="39">
        <f t="shared" si="262"/>
        <v>0</v>
      </c>
      <c r="AH951" s="39" t="str">
        <f t="shared" si="263"/>
        <v/>
      </c>
      <c r="AI951" s="39">
        <f>IF(AND($E951="timed",$N951&gt;=Settings!$C$9),1,0)</f>
        <v>0</v>
      </c>
      <c r="AJ951" s="39" t="str">
        <f>IF(OR($S951="",Settings!$C$16=""),"",IF($S951&lt;=Settings!$C$16,1,2))</f>
        <v/>
      </c>
      <c r="AK951" s="39" t="str">
        <f>IF($C951="","",IFERROR(IF(INDEX(Settings!$C$20:$C$59,MATCH($C951,Settings!$B$20:$B$59,0))="",Settings!$C$10,INDEX(Settings!$C$20:$C$59,MATCH($C951,Settings!$B$20:$B$59,0))),Settings!$C$10))</f>
        <v/>
      </c>
      <c r="AL951" s="108">
        <f t="shared" si="264"/>
        <v>0</v>
      </c>
      <c r="AM951" s="39" t="str">
        <f t="shared" si="265"/>
        <v/>
      </c>
      <c r="AN951" s="39" t="str">
        <f t="shared" si="266"/>
        <v/>
      </c>
      <c r="AO951" s="39" t="str">
        <f t="shared" si="267"/>
        <v/>
      </c>
      <c r="AP951" s="39">
        <f t="shared" si="268"/>
        <v>0</v>
      </c>
      <c r="AQ951" s="39">
        <f t="shared" si="269"/>
        <v>0</v>
      </c>
    </row>
    <row r="952" spans="14:43" x14ac:dyDescent="0.25">
      <c r="N952" s="105">
        <f t="shared" si="252"/>
        <v>0</v>
      </c>
      <c r="O952" s="106" t="str">
        <f>IF($F952="","",IF(ISNUMBER($F952),$F952+Settings!$C$7/24,IFERROR(DATEVALUE(LEFT($F952,10))+TIMEVALUE(MID($F952,12,8))+Settings!$C$7/24,"")))</f>
        <v/>
      </c>
      <c r="P952" s="106" t="str">
        <f>IF($G952="","",IF(ISNUMBER($G952),$G952+Settings!$C$7/24,IFERROR(DATEVALUE(LEFT($G952,10))+TIMEVALUE(MID($G952,12,8))+Settings!$C$7/24,"")))</f>
        <v/>
      </c>
      <c r="Q952" s="39" t="str">
        <f t="shared" si="253"/>
        <v/>
      </c>
      <c r="R952" s="39" t="str">
        <f t="shared" si="254"/>
        <v/>
      </c>
      <c r="S952" s="107" t="str">
        <f t="shared" si="255"/>
        <v/>
      </c>
      <c r="T952" s="39" t="str">
        <f>IF($C952="","",IF(COUNTIF($C$2:$C952,$C952)=1,1,0))</f>
        <v/>
      </c>
      <c r="U952" s="39" t="str">
        <f>IF($T952=1,COUNTIF($T$2:$T952,1),"")</f>
        <v/>
      </c>
      <c r="V952" s="39" t="str">
        <f>IF($B952="","",IF(COUNTIF($B$2:$B952,$B952)=1,1,0))</f>
        <v/>
      </c>
      <c r="W952" s="39" t="str">
        <f>IF($V952=1,COUNTIF($V$2:$V952,1),"")</f>
        <v/>
      </c>
      <c r="X952" s="39" t="str">
        <f>IF($A952="","",IF(COUNTIF($A$2:$A952,$A952)=1,1,0))</f>
        <v/>
      </c>
      <c r="Y952" s="39" t="str">
        <f>IF($X952=1,COUNTIF($X$2:$X952,1),"")</f>
        <v/>
      </c>
      <c r="Z952" s="39">
        <f>IF(AND($E952="timed",$N952&gt;Settings!$C$8),1,0)</f>
        <v>0</v>
      </c>
      <c r="AA952" s="39">
        <f t="shared" si="256"/>
        <v>0</v>
      </c>
      <c r="AB952" s="39">
        <f t="shared" si="257"/>
        <v>0</v>
      </c>
      <c r="AC952" s="39" t="str">
        <f t="shared" si="258"/>
        <v/>
      </c>
      <c r="AD952" s="39" t="str">
        <f t="shared" si="259"/>
        <v/>
      </c>
      <c r="AE952" s="39" t="str">
        <f t="shared" si="260"/>
        <v/>
      </c>
      <c r="AF952" s="106" t="str">
        <f t="shared" si="261"/>
        <v/>
      </c>
      <c r="AG952" s="39">
        <f t="shared" si="262"/>
        <v>0</v>
      </c>
      <c r="AH952" s="39" t="str">
        <f t="shared" si="263"/>
        <v/>
      </c>
      <c r="AI952" s="39">
        <f>IF(AND($E952="timed",$N952&gt;=Settings!$C$9),1,0)</f>
        <v>0</v>
      </c>
      <c r="AJ952" s="39" t="str">
        <f>IF(OR($S952="",Settings!$C$16=""),"",IF($S952&lt;=Settings!$C$16,1,2))</f>
        <v/>
      </c>
      <c r="AK952" s="39" t="str">
        <f>IF($C952="","",IFERROR(IF(INDEX(Settings!$C$20:$C$59,MATCH($C952,Settings!$B$20:$B$59,0))="",Settings!$C$10,INDEX(Settings!$C$20:$C$59,MATCH($C952,Settings!$B$20:$B$59,0))),Settings!$C$10))</f>
        <v/>
      </c>
      <c r="AL952" s="108">
        <f t="shared" si="264"/>
        <v>0</v>
      </c>
      <c r="AM952" s="39" t="str">
        <f t="shared" si="265"/>
        <v/>
      </c>
      <c r="AN952" s="39" t="str">
        <f t="shared" si="266"/>
        <v/>
      </c>
      <c r="AO952" s="39" t="str">
        <f t="shared" si="267"/>
        <v/>
      </c>
      <c r="AP952" s="39">
        <f t="shared" si="268"/>
        <v>0</v>
      </c>
      <c r="AQ952" s="39">
        <f t="shared" si="269"/>
        <v>0</v>
      </c>
    </row>
    <row r="953" spans="14:43" x14ac:dyDescent="0.25">
      <c r="N953" s="105">
        <f t="shared" si="252"/>
        <v>0</v>
      </c>
      <c r="O953" s="106" t="str">
        <f>IF($F953="","",IF(ISNUMBER($F953),$F953+Settings!$C$7/24,IFERROR(DATEVALUE(LEFT($F953,10))+TIMEVALUE(MID($F953,12,8))+Settings!$C$7/24,"")))</f>
        <v/>
      </c>
      <c r="P953" s="106" t="str">
        <f>IF($G953="","",IF(ISNUMBER($G953),$G953+Settings!$C$7/24,IFERROR(DATEVALUE(LEFT($G953,10))+TIMEVALUE(MID($G953,12,8))+Settings!$C$7/24,"")))</f>
        <v/>
      </c>
      <c r="Q953" s="39" t="str">
        <f t="shared" si="253"/>
        <v/>
      </c>
      <c r="R953" s="39" t="str">
        <f t="shared" si="254"/>
        <v/>
      </c>
      <c r="S953" s="107" t="str">
        <f t="shared" si="255"/>
        <v/>
      </c>
      <c r="T953" s="39" t="str">
        <f>IF($C953="","",IF(COUNTIF($C$2:$C953,$C953)=1,1,0))</f>
        <v/>
      </c>
      <c r="U953" s="39" t="str">
        <f>IF($T953=1,COUNTIF($T$2:$T953,1),"")</f>
        <v/>
      </c>
      <c r="V953" s="39" t="str">
        <f>IF($B953="","",IF(COUNTIF($B$2:$B953,$B953)=1,1,0))</f>
        <v/>
      </c>
      <c r="W953" s="39" t="str">
        <f>IF($V953=1,COUNTIF($V$2:$V953,1),"")</f>
        <v/>
      </c>
      <c r="X953" s="39" t="str">
        <f>IF($A953="","",IF(COUNTIF($A$2:$A953,$A953)=1,1,0))</f>
        <v/>
      </c>
      <c r="Y953" s="39" t="str">
        <f>IF($X953=1,COUNTIF($X$2:$X953,1),"")</f>
        <v/>
      </c>
      <c r="Z953" s="39">
        <f>IF(AND($E953="timed",$N953&gt;Settings!$C$8),1,0)</f>
        <v>0</v>
      </c>
      <c r="AA953" s="39">
        <f t="shared" si="256"/>
        <v>0</v>
      </c>
      <c r="AB953" s="39">
        <f t="shared" si="257"/>
        <v>0</v>
      </c>
      <c r="AC953" s="39" t="str">
        <f t="shared" si="258"/>
        <v/>
      </c>
      <c r="AD953" s="39" t="str">
        <f t="shared" si="259"/>
        <v/>
      </c>
      <c r="AE953" s="39" t="str">
        <f t="shared" si="260"/>
        <v/>
      </c>
      <c r="AF953" s="106" t="str">
        <f t="shared" si="261"/>
        <v/>
      </c>
      <c r="AG953" s="39">
        <f t="shared" si="262"/>
        <v>0</v>
      </c>
      <c r="AH953" s="39" t="str">
        <f t="shared" si="263"/>
        <v/>
      </c>
      <c r="AI953" s="39">
        <f>IF(AND($E953="timed",$N953&gt;=Settings!$C$9),1,0)</f>
        <v>0</v>
      </c>
      <c r="AJ953" s="39" t="str">
        <f>IF(OR($S953="",Settings!$C$16=""),"",IF($S953&lt;=Settings!$C$16,1,2))</f>
        <v/>
      </c>
      <c r="AK953" s="39" t="str">
        <f>IF($C953="","",IFERROR(IF(INDEX(Settings!$C$20:$C$59,MATCH($C953,Settings!$B$20:$B$59,0))="",Settings!$C$10,INDEX(Settings!$C$20:$C$59,MATCH($C953,Settings!$B$20:$B$59,0))),Settings!$C$10))</f>
        <v/>
      </c>
      <c r="AL953" s="108">
        <f t="shared" si="264"/>
        <v>0</v>
      </c>
      <c r="AM953" s="39" t="str">
        <f t="shared" si="265"/>
        <v/>
      </c>
      <c r="AN953" s="39" t="str">
        <f t="shared" si="266"/>
        <v/>
      </c>
      <c r="AO953" s="39" t="str">
        <f t="shared" si="267"/>
        <v/>
      </c>
      <c r="AP953" s="39">
        <f t="shared" si="268"/>
        <v>0</v>
      </c>
      <c r="AQ953" s="39">
        <f t="shared" si="269"/>
        <v>0</v>
      </c>
    </row>
    <row r="954" spans="14:43" x14ac:dyDescent="0.25">
      <c r="N954" s="105">
        <f t="shared" si="252"/>
        <v>0</v>
      </c>
      <c r="O954" s="106" t="str">
        <f>IF($F954="","",IF(ISNUMBER($F954),$F954+Settings!$C$7/24,IFERROR(DATEVALUE(LEFT($F954,10))+TIMEVALUE(MID($F954,12,8))+Settings!$C$7/24,"")))</f>
        <v/>
      </c>
      <c r="P954" s="106" t="str">
        <f>IF($G954="","",IF(ISNUMBER($G954),$G954+Settings!$C$7/24,IFERROR(DATEVALUE(LEFT($G954,10))+TIMEVALUE(MID($G954,12,8))+Settings!$C$7/24,"")))</f>
        <v/>
      </c>
      <c r="Q954" s="39" t="str">
        <f t="shared" si="253"/>
        <v/>
      </c>
      <c r="R954" s="39" t="str">
        <f t="shared" si="254"/>
        <v/>
      </c>
      <c r="S954" s="107" t="str">
        <f t="shared" si="255"/>
        <v/>
      </c>
      <c r="T954" s="39" t="str">
        <f>IF($C954="","",IF(COUNTIF($C$2:$C954,$C954)=1,1,0))</f>
        <v/>
      </c>
      <c r="U954" s="39" t="str">
        <f>IF($T954=1,COUNTIF($T$2:$T954,1),"")</f>
        <v/>
      </c>
      <c r="V954" s="39" t="str">
        <f>IF($B954="","",IF(COUNTIF($B$2:$B954,$B954)=1,1,0))</f>
        <v/>
      </c>
      <c r="W954" s="39" t="str">
        <f>IF($V954=1,COUNTIF($V$2:$V954,1),"")</f>
        <v/>
      </c>
      <c r="X954" s="39" t="str">
        <f>IF($A954="","",IF(COUNTIF($A$2:$A954,$A954)=1,1,0))</f>
        <v/>
      </c>
      <c r="Y954" s="39" t="str">
        <f>IF($X954=1,COUNTIF($X$2:$X954,1),"")</f>
        <v/>
      </c>
      <c r="Z954" s="39">
        <f>IF(AND($E954="timed",$N954&gt;Settings!$C$8),1,0)</f>
        <v>0</v>
      </c>
      <c r="AA954" s="39">
        <f t="shared" si="256"/>
        <v>0</v>
      </c>
      <c r="AB954" s="39">
        <f t="shared" si="257"/>
        <v>0</v>
      </c>
      <c r="AC954" s="39" t="str">
        <f t="shared" si="258"/>
        <v/>
      </c>
      <c r="AD954" s="39" t="str">
        <f t="shared" si="259"/>
        <v/>
      </c>
      <c r="AE954" s="39" t="str">
        <f t="shared" si="260"/>
        <v/>
      </c>
      <c r="AF954" s="106" t="str">
        <f t="shared" si="261"/>
        <v/>
      </c>
      <c r="AG954" s="39">
        <f t="shared" si="262"/>
        <v>0</v>
      </c>
      <c r="AH954" s="39" t="str">
        <f t="shared" si="263"/>
        <v/>
      </c>
      <c r="AI954" s="39">
        <f>IF(AND($E954="timed",$N954&gt;=Settings!$C$9),1,0)</f>
        <v>0</v>
      </c>
      <c r="AJ954" s="39" t="str">
        <f>IF(OR($S954="",Settings!$C$16=""),"",IF($S954&lt;=Settings!$C$16,1,2))</f>
        <v/>
      </c>
      <c r="AK954" s="39" t="str">
        <f>IF($C954="","",IFERROR(IF(INDEX(Settings!$C$20:$C$59,MATCH($C954,Settings!$B$20:$B$59,0))="",Settings!$C$10,INDEX(Settings!$C$20:$C$59,MATCH($C954,Settings!$B$20:$B$59,0))),Settings!$C$10))</f>
        <v/>
      </c>
      <c r="AL954" s="108">
        <f t="shared" si="264"/>
        <v>0</v>
      </c>
      <c r="AM954" s="39" t="str">
        <f t="shared" si="265"/>
        <v/>
      </c>
      <c r="AN954" s="39" t="str">
        <f t="shared" si="266"/>
        <v/>
      </c>
      <c r="AO954" s="39" t="str">
        <f t="shared" si="267"/>
        <v/>
      </c>
      <c r="AP954" s="39">
        <f t="shared" si="268"/>
        <v>0</v>
      </c>
      <c r="AQ954" s="39">
        <f t="shared" si="269"/>
        <v>0</v>
      </c>
    </row>
    <row r="955" spans="14:43" x14ac:dyDescent="0.25">
      <c r="N955" s="105">
        <f t="shared" si="252"/>
        <v>0</v>
      </c>
      <c r="O955" s="106" t="str">
        <f>IF($F955="","",IF(ISNUMBER($F955),$F955+Settings!$C$7/24,IFERROR(DATEVALUE(LEFT($F955,10))+TIMEVALUE(MID($F955,12,8))+Settings!$C$7/24,"")))</f>
        <v/>
      </c>
      <c r="P955" s="106" t="str">
        <f>IF($G955="","",IF(ISNUMBER($G955),$G955+Settings!$C$7/24,IFERROR(DATEVALUE(LEFT($G955,10))+TIMEVALUE(MID($G955,12,8))+Settings!$C$7/24,"")))</f>
        <v/>
      </c>
      <c r="Q955" s="39" t="str">
        <f t="shared" si="253"/>
        <v/>
      </c>
      <c r="R955" s="39" t="str">
        <f t="shared" si="254"/>
        <v/>
      </c>
      <c r="S955" s="107" t="str">
        <f t="shared" si="255"/>
        <v/>
      </c>
      <c r="T955" s="39" t="str">
        <f>IF($C955="","",IF(COUNTIF($C$2:$C955,$C955)=1,1,0))</f>
        <v/>
      </c>
      <c r="U955" s="39" t="str">
        <f>IF($T955=1,COUNTIF($T$2:$T955,1),"")</f>
        <v/>
      </c>
      <c r="V955" s="39" t="str">
        <f>IF($B955="","",IF(COUNTIF($B$2:$B955,$B955)=1,1,0))</f>
        <v/>
      </c>
      <c r="W955" s="39" t="str">
        <f>IF($V955=1,COUNTIF($V$2:$V955,1),"")</f>
        <v/>
      </c>
      <c r="X955" s="39" t="str">
        <f>IF($A955="","",IF(COUNTIF($A$2:$A955,$A955)=1,1,0))</f>
        <v/>
      </c>
      <c r="Y955" s="39" t="str">
        <f>IF($X955=1,COUNTIF($X$2:$X955,1),"")</f>
        <v/>
      </c>
      <c r="Z955" s="39">
        <f>IF(AND($E955="timed",$N955&gt;Settings!$C$8),1,0)</f>
        <v>0</v>
      </c>
      <c r="AA955" s="39">
        <f t="shared" si="256"/>
        <v>0</v>
      </c>
      <c r="AB955" s="39">
        <f t="shared" si="257"/>
        <v>0</v>
      </c>
      <c r="AC955" s="39" t="str">
        <f t="shared" si="258"/>
        <v/>
      </c>
      <c r="AD955" s="39" t="str">
        <f t="shared" si="259"/>
        <v/>
      </c>
      <c r="AE955" s="39" t="str">
        <f t="shared" si="260"/>
        <v/>
      </c>
      <c r="AF955" s="106" t="str">
        <f t="shared" si="261"/>
        <v/>
      </c>
      <c r="AG955" s="39">
        <f t="shared" si="262"/>
        <v>0</v>
      </c>
      <c r="AH955" s="39" t="str">
        <f t="shared" si="263"/>
        <v/>
      </c>
      <c r="AI955" s="39">
        <f>IF(AND($E955="timed",$N955&gt;=Settings!$C$9),1,0)</f>
        <v>0</v>
      </c>
      <c r="AJ955" s="39" t="str">
        <f>IF(OR($S955="",Settings!$C$16=""),"",IF($S955&lt;=Settings!$C$16,1,2))</f>
        <v/>
      </c>
      <c r="AK955" s="39" t="str">
        <f>IF($C955="","",IFERROR(IF(INDEX(Settings!$C$20:$C$59,MATCH($C955,Settings!$B$20:$B$59,0))="",Settings!$C$10,INDEX(Settings!$C$20:$C$59,MATCH($C955,Settings!$B$20:$B$59,0))),Settings!$C$10))</f>
        <v/>
      </c>
      <c r="AL955" s="108">
        <f t="shared" si="264"/>
        <v>0</v>
      </c>
      <c r="AM955" s="39" t="str">
        <f t="shared" si="265"/>
        <v/>
      </c>
      <c r="AN955" s="39" t="str">
        <f t="shared" si="266"/>
        <v/>
      </c>
      <c r="AO955" s="39" t="str">
        <f t="shared" si="267"/>
        <v/>
      </c>
      <c r="AP955" s="39">
        <f t="shared" si="268"/>
        <v>0</v>
      </c>
      <c r="AQ955" s="39">
        <f t="shared" si="269"/>
        <v>0</v>
      </c>
    </row>
    <row r="956" spans="14:43" x14ac:dyDescent="0.25">
      <c r="N956" s="105">
        <f t="shared" si="252"/>
        <v>0</v>
      </c>
      <c r="O956" s="106" t="str">
        <f>IF($F956="","",IF(ISNUMBER($F956),$F956+Settings!$C$7/24,IFERROR(DATEVALUE(LEFT($F956,10))+TIMEVALUE(MID($F956,12,8))+Settings!$C$7/24,"")))</f>
        <v/>
      </c>
      <c r="P956" s="106" t="str">
        <f>IF($G956="","",IF(ISNUMBER($G956),$G956+Settings!$C$7/24,IFERROR(DATEVALUE(LEFT($G956,10))+TIMEVALUE(MID($G956,12,8))+Settings!$C$7/24,"")))</f>
        <v/>
      </c>
      <c r="Q956" s="39" t="str">
        <f t="shared" si="253"/>
        <v/>
      </c>
      <c r="R956" s="39" t="str">
        <f t="shared" si="254"/>
        <v/>
      </c>
      <c r="S956" s="107" t="str">
        <f t="shared" si="255"/>
        <v/>
      </c>
      <c r="T956" s="39" t="str">
        <f>IF($C956="","",IF(COUNTIF($C$2:$C956,$C956)=1,1,0))</f>
        <v/>
      </c>
      <c r="U956" s="39" t="str">
        <f>IF($T956=1,COUNTIF($T$2:$T956,1),"")</f>
        <v/>
      </c>
      <c r="V956" s="39" t="str">
        <f>IF($B956="","",IF(COUNTIF($B$2:$B956,$B956)=1,1,0))</f>
        <v/>
      </c>
      <c r="W956" s="39" t="str">
        <f>IF($V956=1,COUNTIF($V$2:$V956,1),"")</f>
        <v/>
      </c>
      <c r="X956" s="39" t="str">
        <f>IF($A956="","",IF(COUNTIF($A$2:$A956,$A956)=1,1,0))</f>
        <v/>
      </c>
      <c r="Y956" s="39" t="str">
        <f>IF($X956=1,COUNTIF($X$2:$X956,1),"")</f>
        <v/>
      </c>
      <c r="Z956" s="39">
        <f>IF(AND($E956="timed",$N956&gt;Settings!$C$8),1,0)</f>
        <v>0</v>
      </c>
      <c r="AA956" s="39">
        <f t="shared" si="256"/>
        <v>0</v>
      </c>
      <c r="AB956" s="39">
        <f t="shared" si="257"/>
        <v>0</v>
      </c>
      <c r="AC956" s="39" t="str">
        <f t="shared" si="258"/>
        <v/>
      </c>
      <c r="AD956" s="39" t="str">
        <f t="shared" si="259"/>
        <v/>
      </c>
      <c r="AE956" s="39" t="str">
        <f t="shared" si="260"/>
        <v/>
      </c>
      <c r="AF956" s="106" t="str">
        <f t="shared" si="261"/>
        <v/>
      </c>
      <c r="AG956" s="39">
        <f t="shared" si="262"/>
        <v>0</v>
      </c>
      <c r="AH956" s="39" t="str">
        <f t="shared" si="263"/>
        <v/>
      </c>
      <c r="AI956" s="39">
        <f>IF(AND($E956="timed",$N956&gt;=Settings!$C$9),1,0)</f>
        <v>0</v>
      </c>
      <c r="AJ956" s="39" t="str">
        <f>IF(OR($S956="",Settings!$C$16=""),"",IF($S956&lt;=Settings!$C$16,1,2))</f>
        <v/>
      </c>
      <c r="AK956" s="39" t="str">
        <f>IF($C956="","",IFERROR(IF(INDEX(Settings!$C$20:$C$59,MATCH($C956,Settings!$B$20:$B$59,0))="",Settings!$C$10,INDEX(Settings!$C$20:$C$59,MATCH($C956,Settings!$B$20:$B$59,0))),Settings!$C$10))</f>
        <v/>
      </c>
      <c r="AL956" s="108">
        <f t="shared" si="264"/>
        <v>0</v>
      </c>
      <c r="AM956" s="39" t="str">
        <f t="shared" si="265"/>
        <v/>
      </c>
      <c r="AN956" s="39" t="str">
        <f t="shared" si="266"/>
        <v/>
      </c>
      <c r="AO956" s="39" t="str">
        <f t="shared" si="267"/>
        <v/>
      </c>
      <c r="AP956" s="39">
        <f t="shared" si="268"/>
        <v>0</v>
      </c>
      <c r="AQ956" s="39">
        <f t="shared" si="269"/>
        <v>0</v>
      </c>
    </row>
    <row r="957" spans="14:43" x14ac:dyDescent="0.25">
      <c r="N957" s="105">
        <f t="shared" si="252"/>
        <v>0</v>
      </c>
      <c r="O957" s="106" t="str">
        <f>IF($F957="","",IF(ISNUMBER($F957),$F957+Settings!$C$7/24,IFERROR(DATEVALUE(LEFT($F957,10))+TIMEVALUE(MID($F957,12,8))+Settings!$C$7/24,"")))</f>
        <v/>
      </c>
      <c r="P957" s="106" t="str">
        <f>IF($G957="","",IF(ISNUMBER($G957),$G957+Settings!$C$7/24,IFERROR(DATEVALUE(LEFT($G957,10))+TIMEVALUE(MID($G957,12,8))+Settings!$C$7/24,"")))</f>
        <v/>
      </c>
      <c r="Q957" s="39" t="str">
        <f t="shared" si="253"/>
        <v/>
      </c>
      <c r="R957" s="39" t="str">
        <f t="shared" si="254"/>
        <v/>
      </c>
      <c r="S957" s="107" t="str">
        <f t="shared" si="255"/>
        <v/>
      </c>
      <c r="T957" s="39" t="str">
        <f>IF($C957="","",IF(COUNTIF($C$2:$C957,$C957)=1,1,0))</f>
        <v/>
      </c>
      <c r="U957" s="39" t="str">
        <f>IF($T957=1,COUNTIF($T$2:$T957,1),"")</f>
        <v/>
      </c>
      <c r="V957" s="39" t="str">
        <f>IF($B957="","",IF(COUNTIF($B$2:$B957,$B957)=1,1,0))</f>
        <v/>
      </c>
      <c r="W957" s="39" t="str">
        <f>IF($V957=1,COUNTIF($V$2:$V957,1),"")</f>
        <v/>
      </c>
      <c r="X957" s="39" t="str">
        <f>IF($A957="","",IF(COUNTIF($A$2:$A957,$A957)=1,1,0))</f>
        <v/>
      </c>
      <c r="Y957" s="39" t="str">
        <f>IF($X957=1,COUNTIF($X$2:$X957,1),"")</f>
        <v/>
      </c>
      <c r="Z957" s="39">
        <f>IF(AND($E957="timed",$N957&gt;Settings!$C$8),1,0)</f>
        <v>0</v>
      </c>
      <c r="AA957" s="39">
        <f t="shared" si="256"/>
        <v>0</v>
      </c>
      <c r="AB957" s="39">
        <f t="shared" si="257"/>
        <v>0</v>
      </c>
      <c r="AC957" s="39" t="str">
        <f t="shared" si="258"/>
        <v/>
      </c>
      <c r="AD957" s="39" t="str">
        <f t="shared" si="259"/>
        <v/>
      </c>
      <c r="AE957" s="39" t="str">
        <f t="shared" si="260"/>
        <v/>
      </c>
      <c r="AF957" s="106" t="str">
        <f t="shared" si="261"/>
        <v/>
      </c>
      <c r="AG957" s="39">
        <f t="shared" si="262"/>
        <v>0</v>
      </c>
      <c r="AH957" s="39" t="str">
        <f t="shared" si="263"/>
        <v/>
      </c>
      <c r="AI957" s="39">
        <f>IF(AND($E957="timed",$N957&gt;=Settings!$C$9),1,0)</f>
        <v>0</v>
      </c>
      <c r="AJ957" s="39" t="str">
        <f>IF(OR($S957="",Settings!$C$16=""),"",IF($S957&lt;=Settings!$C$16,1,2))</f>
        <v/>
      </c>
      <c r="AK957" s="39" t="str">
        <f>IF($C957="","",IFERROR(IF(INDEX(Settings!$C$20:$C$59,MATCH($C957,Settings!$B$20:$B$59,0))="",Settings!$C$10,INDEX(Settings!$C$20:$C$59,MATCH($C957,Settings!$B$20:$B$59,0))),Settings!$C$10))</f>
        <v/>
      </c>
      <c r="AL957" s="108">
        <f t="shared" si="264"/>
        <v>0</v>
      </c>
      <c r="AM957" s="39" t="str">
        <f t="shared" si="265"/>
        <v/>
      </c>
      <c r="AN957" s="39" t="str">
        <f t="shared" si="266"/>
        <v/>
      </c>
      <c r="AO957" s="39" t="str">
        <f t="shared" si="267"/>
        <v/>
      </c>
      <c r="AP957" s="39">
        <f t="shared" si="268"/>
        <v>0</v>
      </c>
      <c r="AQ957" s="39">
        <f t="shared" si="269"/>
        <v>0</v>
      </c>
    </row>
    <row r="958" spans="14:43" x14ac:dyDescent="0.25">
      <c r="N958" s="105">
        <f t="shared" si="252"/>
        <v>0</v>
      </c>
      <c r="O958" s="106" t="str">
        <f>IF($F958="","",IF(ISNUMBER($F958),$F958+Settings!$C$7/24,IFERROR(DATEVALUE(LEFT($F958,10))+TIMEVALUE(MID($F958,12,8))+Settings!$C$7/24,"")))</f>
        <v/>
      </c>
      <c r="P958" s="106" t="str">
        <f>IF($G958="","",IF(ISNUMBER($G958),$G958+Settings!$C$7/24,IFERROR(DATEVALUE(LEFT($G958,10))+TIMEVALUE(MID($G958,12,8))+Settings!$C$7/24,"")))</f>
        <v/>
      </c>
      <c r="Q958" s="39" t="str">
        <f t="shared" si="253"/>
        <v/>
      </c>
      <c r="R958" s="39" t="str">
        <f t="shared" si="254"/>
        <v/>
      </c>
      <c r="S958" s="107" t="str">
        <f t="shared" si="255"/>
        <v/>
      </c>
      <c r="T958" s="39" t="str">
        <f>IF($C958="","",IF(COUNTIF($C$2:$C958,$C958)=1,1,0))</f>
        <v/>
      </c>
      <c r="U958" s="39" t="str">
        <f>IF($T958=1,COUNTIF($T$2:$T958,1),"")</f>
        <v/>
      </c>
      <c r="V958" s="39" t="str">
        <f>IF($B958="","",IF(COUNTIF($B$2:$B958,$B958)=1,1,0))</f>
        <v/>
      </c>
      <c r="W958" s="39" t="str">
        <f>IF($V958=1,COUNTIF($V$2:$V958,1),"")</f>
        <v/>
      </c>
      <c r="X958" s="39" t="str">
        <f>IF($A958="","",IF(COUNTIF($A$2:$A958,$A958)=1,1,0))</f>
        <v/>
      </c>
      <c r="Y958" s="39" t="str">
        <f>IF($X958=1,COUNTIF($X$2:$X958,1),"")</f>
        <v/>
      </c>
      <c r="Z958" s="39">
        <f>IF(AND($E958="timed",$N958&gt;Settings!$C$8),1,0)</f>
        <v>0</v>
      </c>
      <c r="AA958" s="39">
        <f t="shared" si="256"/>
        <v>0</v>
      </c>
      <c r="AB958" s="39">
        <f t="shared" si="257"/>
        <v>0</v>
      </c>
      <c r="AC958" s="39" t="str">
        <f t="shared" si="258"/>
        <v/>
      </c>
      <c r="AD958" s="39" t="str">
        <f t="shared" si="259"/>
        <v/>
      </c>
      <c r="AE958" s="39" t="str">
        <f t="shared" si="260"/>
        <v/>
      </c>
      <c r="AF958" s="106" t="str">
        <f t="shared" si="261"/>
        <v/>
      </c>
      <c r="AG958" s="39">
        <f t="shared" si="262"/>
        <v>0</v>
      </c>
      <c r="AH958" s="39" t="str">
        <f t="shared" si="263"/>
        <v/>
      </c>
      <c r="AI958" s="39">
        <f>IF(AND($E958="timed",$N958&gt;=Settings!$C$9),1,0)</f>
        <v>0</v>
      </c>
      <c r="AJ958" s="39" t="str">
        <f>IF(OR($S958="",Settings!$C$16=""),"",IF($S958&lt;=Settings!$C$16,1,2))</f>
        <v/>
      </c>
      <c r="AK958" s="39" t="str">
        <f>IF($C958="","",IFERROR(IF(INDEX(Settings!$C$20:$C$59,MATCH($C958,Settings!$B$20:$B$59,0))="",Settings!$C$10,INDEX(Settings!$C$20:$C$59,MATCH($C958,Settings!$B$20:$B$59,0))),Settings!$C$10))</f>
        <v/>
      </c>
      <c r="AL958" s="108">
        <f t="shared" si="264"/>
        <v>0</v>
      </c>
      <c r="AM958" s="39" t="str">
        <f t="shared" si="265"/>
        <v/>
      </c>
      <c r="AN958" s="39" t="str">
        <f t="shared" si="266"/>
        <v/>
      </c>
      <c r="AO958" s="39" t="str">
        <f t="shared" si="267"/>
        <v/>
      </c>
      <c r="AP958" s="39">
        <f t="shared" si="268"/>
        <v>0</v>
      </c>
      <c r="AQ958" s="39">
        <f t="shared" si="269"/>
        <v>0</v>
      </c>
    </row>
    <row r="959" spans="14:43" x14ac:dyDescent="0.25">
      <c r="N959" s="105">
        <f t="shared" si="252"/>
        <v>0</v>
      </c>
      <c r="O959" s="106" t="str">
        <f>IF($F959="","",IF(ISNUMBER($F959),$F959+Settings!$C$7/24,IFERROR(DATEVALUE(LEFT($F959,10))+TIMEVALUE(MID($F959,12,8))+Settings!$C$7/24,"")))</f>
        <v/>
      </c>
      <c r="P959" s="106" t="str">
        <f>IF($G959="","",IF(ISNUMBER($G959),$G959+Settings!$C$7/24,IFERROR(DATEVALUE(LEFT($G959,10))+TIMEVALUE(MID($G959,12,8))+Settings!$C$7/24,"")))</f>
        <v/>
      </c>
      <c r="Q959" s="39" t="str">
        <f t="shared" si="253"/>
        <v/>
      </c>
      <c r="R959" s="39" t="str">
        <f t="shared" si="254"/>
        <v/>
      </c>
      <c r="S959" s="107" t="str">
        <f t="shared" si="255"/>
        <v/>
      </c>
      <c r="T959" s="39" t="str">
        <f>IF($C959="","",IF(COUNTIF($C$2:$C959,$C959)=1,1,0))</f>
        <v/>
      </c>
      <c r="U959" s="39" t="str">
        <f>IF($T959=1,COUNTIF($T$2:$T959,1),"")</f>
        <v/>
      </c>
      <c r="V959" s="39" t="str">
        <f>IF($B959="","",IF(COUNTIF($B$2:$B959,$B959)=1,1,0))</f>
        <v/>
      </c>
      <c r="W959" s="39" t="str">
        <f>IF($V959=1,COUNTIF($V$2:$V959,1),"")</f>
        <v/>
      </c>
      <c r="X959" s="39" t="str">
        <f>IF($A959="","",IF(COUNTIF($A$2:$A959,$A959)=1,1,0))</f>
        <v/>
      </c>
      <c r="Y959" s="39" t="str">
        <f>IF($X959=1,COUNTIF($X$2:$X959,1),"")</f>
        <v/>
      </c>
      <c r="Z959" s="39">
        <f>IF(AND($E959="timed",$N959&gt;Settings!$C$8),1,0)</f>
        <v>0</v>
      </c>
      <c r="AA959" s="39">
        <f t="shared" si="256"/>
        <v>0</v>
      </c>
      <c r="AB959" s="39">
        <f t="shared" si="257"/>
        <v>0</v>
      </c>
      <c r="AC959" s="39" t="str">
        <f t="shared" si="258"/>
        <v/>
      </c>
      <c r="AD959" s="39" t="str">
        <f t="shared" si="259"/>
        <v/>
      </c>
      <c r="AE959" s="39" t="str">
        <f t="shared" si="260"/>
        <v/>
      </c>
      <c r="AF959" s="106" t="str">
        <f t="shared" si="261"/>
        <v/>
      </c>
      <c r="AG959" s="39">
        <f t="shared" si="262"/>
        <v>0</v>
      </c>
      <c r="AH959" s="39" t="str">
        <f t="shared" si="263"/>
        <v/>
      </c>
      <c r="AI959" s="39">
        <f>IF(AND($E959="timed",$N959&gt;=Settings!$C$9),1,0)</f>
        <v>0</v>
      </c>
      <c r="AJ959" s="39" t="str">
        <f>IF(OR($S959="",Settings!$C$16=""),"",IF($S959&lt;=Settings!$C$16,1,2))</f>
        <v/>
      </c>
      <c r="AK959" s="39" t="str">
        <f>IF($C959="","",IFERROR(IF(INDEX(Settings!$C$20:$C$59,MATCH($C959,Settings!$B$20:$B$59,0))="",Settings!$C$10,INDEX(Settings!$C$20:$C$59,MATCH($C959,Settings!$B$20:$B$59,0))),Settings!$C$10))</f>
        <v/>
      </c>
      <c r="AL959" s="108">
        <f t="shared" si="264"/>
        <v>0</v>
      </c>
      <c r="AM959" s="39" t="str">
        <f t="shared" si="265"/>
        <v/>
      </c>
      <c r="AN959" s="39" t="str">
        <f t="shared" si="266"/>
        <v/>
      </c>
      <c r="AO959" s="39" t="str">
        <f t="shared" si="267"/>
        <v/>
      </c>
      <c r="AP959" s="39">
        <f t="shared" si="268"/>
        <v>0</v>
      </c>
      <c r="AQ959" s="39">
        <f t="shared" si="269"/>
        <v>0</v>
      </c>
    </row>
    <row r="960" spans="14:43" x14ac:dyDescent="0.25">
      <c r="N960" s="105">
        <f t="shared" si="252"/>
        <v>0</v>
      </c>
      <c r="O960" s="106" t="str">
        <f>IF($F960="","",IF(ISNUMBER($F960),$F960+Settings!$C$7/24,IFERROR(DATEVALUE(LEFT($F960,10))+TIMEVALUE(MID($F960,12,8))+Settings!$C$7/24,"")))</f>
        <v/>
      </c>
      <c r="P960" s="106" t="str">
        <f>IF($G960="","",IF(ISNUMBER($G960),$G960+Settings!$C$7/24,IFERROR(DATEVALUE(LEFT($G960,10))+TIMEVALUE(MID($G960,12,8))+Settings!$C$7/24,"")))</f>
        <v/>
      </c>
      <c r="Q960" s="39" t="str">
        <f t="shared" si="253"/>
        <v/>
      </c>
      <c r="R960" s="39" t="str">
        <f t="shared" si="254"/>
        <v/>
      </c>
      <c r="S960" s="107" t="str">
        <f t="shared" si="255"/>
        <v/>
      </c>
      <c r="T960" s="39" t="str">
        <f>IF($C960="","",IF(COUNTIF($C$2:$C960,$C960)=1,1,0))</f>
        <v/>
      </c>
      <c r="U960" s="39" t="str">
        <f>IF($T960=1,COUNTIF($T$2:$T960,1),"")</f>
        <v/>
      </c>
      <c r="V960" s="39" t="str">
        <f>IF($B960="","",IF(COUNTIF($B$2:$B960,$B960)=1,1,0))</f>
        <v/>
      </c>
      <c r="W960" s="39" t="str">
        <f>IF($V960=1,COUNTIF($V$2:$V960,1),"")</f>
        <v/>
      </c>
      <c r="X960" s="39" t="str">
        <f>IF($A960="","",IF(COUNTIF($A$2:$A960,$A960)=1,1,0))</f>
        <v/>
      </c>
      <c r="Y960" s="39" t="str">
        <f>IF($X960=1,COUNTIF($X$2:$X960,1),"")</f>
        <v/>
      </c>
      <c r="Z960" s="39">
        <f>IF(AND($E960="timed",$N960&gt;Settings!$C$8),1,0)</f>
        <v>0</v>
      </c>
      <c r="AA960" s="39">
        <f t="shared" si="256"/>
        <v>0</v>
      </c>
      <c r="AB960" s="39">
        <f t="shared" si="257"/>
        <v>0</v>
      </c>
      <c r="AC960" s="39" t="str">
        <f t="shared" si="258"/>
        <v/>
      </c>
      <c r="AD960" s="39" t="str">
        <f t="shared" si="259"/>
        <v/>
      </c>
      <c r="AE960" s="39" t="str">
        <f t="shared" si="260"/>
        <v/>
      </c>
      <c r="AF960" s="106" t="str">
        <f t="shared" si="261"/>
        <v/>
      </c>
      <c r="AG960" s="39">
        <f t="shared" si="262"/>
        <v>0</v>
      </c>
      <c r="AH960" s="39" t="str">
        <f t="shared" si="263"/>
        <v/>
      </c>
      <c r="AI960" s="39">
        <f>IF(AND($E960="timed",$N960&gt;=Settings!$C$9),1,0)</f>
        <v>0</v>
      </c>
      <c r="AJ960" s="39" t="str">
        <f>IF(OR($S960="",Settings!$C$16=""),"",IF($S960&lt;=Settings!$C$16,1,2))</f>
        <v/>
      </c>
      <c r="AK960" s="39" t="str">
        <f>IF($C960="","",IFERROR(IF(INDEX(Settings!$C$20:$C$59,MATCH($C960,Settings!$B$20:$B$59,0))="",Settings!$C$10,INDEX(Settings!$C$20:$C$59,MATCH($C960,Settings!$B$20:$B$59,0))),Settings!$C$10))</f>
        <v/>
      </c>
      <c r="AL960" s="108">
        <f t="shared" si="264"/>
        <v>0</v>
      </c>
      <c r="AM960" s="39" t="str">
        <f t="shared" si="265"/>
        <v/>
      </c>
      <c r="AN960" s="39" t="str">
        <f t="shared" si="266"/>
        <v/>
      </c>
      <c r="AO960" s="39" t="str">
        <f t="shared" si="267"/>
        <v/>
      </c>
      <c r="AP960" s="39">
        <f t="shared" si="268"/>
        <v>0</v>
      </c>
      <c r="AQ960" s="39">
        <f t="shared" si="269"/>
        <v>0</v>
      </c>
    </row>
    <row r="961" spans="14:43" x14ac:dyDescent="0.25">
      <c r="N961" s="105">
        <f t="shared" si="252"/>
        <v>0</v>
      </c>
      <c r="O961" s="106" t="str">
        <f>IF($F961="","",IF(ISNUMBER($F961),$F961+Settings!$C$7/24,IFERROR(DATEVALUE(LEFT($F961,10))+TIMEVALUE(MID($F961,12,8))+Settings!$C$7/24,"")))</f>
        <v/>
      </c>
      <c r="P961" s="106" t="str">
        <f>IF($G961="","",IF(ISNUMBER($G961),$G961+Settings!$C$7/24,IFERROR(DATEVALUE(LEFT($G961,10))+TIMEVALUE(MID($G961,12,8))+Settings!$C$7/24,"")))</f>
        <v/>
      </c>
      <c r="Q961" s="39" t="str">
        <f t="shared" si="253"/>
        <v/>
      </c>
      <c r="R961" s="39" t="str">
        <f t="shared" si="254"/>
        <v/>
      </c>
      <c r="S961" s="107" t="str">
        <f t="shared" si="255"/>
        <v/>
      </c>
      <c r="T961" s="39" t="str">
        <f>IF($C961="","",IF(COUNTIF($C$2:$C961,$C961)=1,1,0))</f>
        <v/>
      </c>
      <c r="U961" s="39" t="str">
        <f>IF($T961=1,COUNTIF($T$2:$T961,1),"")</f>
        <v/>
      </c>
      <c r="V961" s="39" t="str">
        <f>IF($B961="","",IF(COUNTIF($B$2:$B961,$B961)=1,1,0))</f>
        <v/>
      </c>
      <c r="W961" s="39" t="str">
        <f>IF($V961=1,COUNTIF($V$2:$V961,1),"")</f>
        <v/>
      </c>
      <c r="X961" s="39" t="str">
        <f>IF($A961="","",IF(COUNTIF($A$2:$A961,$A961)=1,1,0))</f>
        <v/>
      </c>
      <c r="Y961" s="39" t="str">
        <f>IF($X961=1,COUNTIF($X$2:$X961,1),"")</f>
        <v/>
      </c>
      <c r="Z961" s="39">
        <f>IF(AND($E961="timed",$N961&gt;Settings!$C$8),1,0)</f>
        <v>0</v>
      </c>
      <c r="AA961" s="39">
        <f t="shared" si="256"/>
        <v>0</v>
      </c>
      <c r="AB961" s="39">
        <f t="shared" si="257"/>
        <v>0</v>
      </c>
      <c r="AC961" s="39" t="str">
        <f t="shared" si="258"/>
        <v/>
      </c>
      <c r="AD961" s="39" t="str">
        <f t="shared" si="259"/>
        <v/>
      </c>
      <c r="AE961" s="39" t="str">
        <f t="shared" si="260"/>
        <v/>
      </c>
      <c r="AF961" s="106" t="str">
        <f t="shared" si="261"/>
        <v/>
      </c>
      <c r="AG961" s="39">
        <f t="shared" si="262"/>
        <v>0</v>
      </c>
      <c r="AH961" s="39" t="str">
        <f t="shared" si="263"/>
        <v/>
      </c>
      <c r="AI961" s="39">
        <f>IF(AND($E961="timed",$N961&gt;=Settings!$C$9),1,0)</f>
        <v>0</v>
      </c>
      <c r="AJ961" s="39" t="str">
        <f>IF(OR($S961="",Settings!$C$16=""),"",IF($S961&lt;=Settings!$C$16,1,2))</f>
        <v/>
      </c>
      <c r="AK961" s="39" t="str">
        <f>IF($C961="","",IFERROR(IF(INDEX(Settings!$C$20:$C$59,MATCH($C961,Settings!$B$20:$B$59,0))="",Settings!$C$10,INDEX(Settings!$C$20:$C$59,MATCH($C961,Settings!$B$20:$B$59,0))),Settings!$C$10))</f>
        <v/>
      </c>
      <c r="AL961" s="108">
        <f t="shared" si="264"/>
        <v>0</v>
      </c>
      <c r="AM961" s="39" t="str">
        <f t="shared" si="265"/>
        <v/>
      </c>
      <c r="AN961" s="39" t="str">
        <f t="shared" si="266"/>
        <v/>
      </c>
      <c r="AO961" s="39" t="str">
        <f t="shared" si="267"/>
        <v/>
      </c>
      <c r="AP961" s="39">
        <f t="shared" si="268"/>
        <v>0</v>
      </c>
      <c r="AQ961" s="39">
        <f t="shared" si="269"/>
        <v>0</v>
      </c>
    </row>
    <row r="962" spans="14:43" x14ac:dyDescent="0.25">
      <c r="N962" s="105">
        <f t="shared" ref="N962:N1025" si="270">IF($E962&lt;&gt;"timed",0,IF(ISNUMBER($H962),$H962,IFERROR(VALUE($H962),0)))</f>
        <v>0</v>
      </c>
      <c r="O962" s="106" t="str">
        <f>IF($F962="","",IF(ISNUMBER($F962),$F962+Settings!$C$7/24,IFERROR(DATEVALUE(LEFT($F962,10))+TIMEVALUE(MID($F962,12,8))+Settings!$C$7/24,"")))</f>
        <v/>
      </c>
      <c r="P962" s="106" t="str">
        <f>IF($G962="","",IF(ISNUMBER($G962),$G962+Settings!$C$7/24,IFERROR(DATEVALUE(LEFT($G962,10))+TIMEVALUE(MID($G962,12,8))+Settings!$C$7/24,"")))</f>
        <v/>
      </c>
      <c r="Q962" s="39" t="str">
        <f t="shared" ref="Q962:Q1025" si="271">IF($O962="","",HOUR($O962))</f>
        <v/>
      </c>
      <c r="R962" s="39" t="str">
        <f t="shared" ref="R962:R1025" si="272">IF($O962="","",WEEKDAY($O962,2))</f>
        <v/>
      </c>
      <c r="S962" s="107" t="str">
        <f t="shared" ref="S962:S1025" si="273">IF($A962="","",IF(ISNUMBER($A962),INT($A962),IFERROR(DATEVALUE($A962),"")))</f>
        <v/>
      </c>
      <c r="T962" s="39" t="str">
        <f>IF($C962="","",IF(COUNTIF($C$2:$C962,$C962)=1,1,0))</f>
        <v/>
      </c>
      <c r="U962" s="39" t="str">
        <f>IF($T962=1,COUNTIF($T$2:$T962,1),"")</f>
        <v/>
      </c>
      <c r="V962" s="39" t="str">
        <f>IF($B962="","",IF(COUNTIF($B$2:$B962,$B962)=1,1,0))</f>
        <v/>
      </c>
      <c r="W962" s="39" t="str">
        <f>IF($V962=1,COUNTIF($V$2:$V962,1),"")</f>
        <v/>
      </c>
      <c r="X962" s="39" t="str">
        <f>IF($A962="","",IF(COUNTIF($A$2:$A962,$A962)=1,1,0))</f>
        <v/>
      </c>
      <c r="Y962" s="39" t="str">
        <f>IF($X962=1,COUNTIF($X$2:$X962,1),"")</f>
        <v/>
      </c>
      <c r="Z962" s="39">
        <f>IF(AND($E962="timed",$N962&gt;Settings!$C$8),1,0)</f>
        <v>0</v>
      </c>
      <c r="AA962" s="39">
        <f t="shared" ref="AA962:AA1025" si="274">IF(AND($E962="timed",$G962=""),1,0)</f>
        <v>0</v>
      </c>
      <c r="AB962" s="39">
        <f t="shared" ref="AB962:AB1025" si="275">IF($E962&lt;&gt;"timed",0,IF(ISNUMBER($I962),$I962,IFERROR(VALUE($I962),0)))</f>
        <v>0</v>
      </c>
      <c r="AC962" s="39" t="str">
        <f t="shared" ref="AC962:AC1025" si="276">IF(OR($E962&lt;&gt;"timed",$O962=""),"",ROUND($O962*86400,0)*10000+ROW())</f>
        <v/>
      </c>
      <c r="AD962" s="39" t="str">
        <f t="shared" ref="AD962:AD1025" si="277">IF($AC962="","",COUNTIF($AC$2:$AC$1201,"&lt;"&amp;$AC962)+1)</f>
        <v/>
      </c>
      <c r="AE962" s="39" t="str">
        <f t="shared" ref="AE962:AE1025" si="278">IF($AD962="","",IFERROR(IF(INDEX($S$2:$S$1201,MATCH($AD962-1,$AD$2:$AD$1201,0))=$S962,INDEX($C$2:$C$1201,MATCH($AD962-1,$AD$2:$AD$1201,0)),""),""))</f>
        <v/>
      </c>
      <c r="AF962" s="106" t="str">
        <f t="shared" ref="AF962:AF1025" si="279">IF($AD962="","",IFERROR(IF(INDEX($S$2:$S$1201,MATCH($AD962-1,$AD$2:$AD$1201,0))=$S962,INDEX($P$2:$P$1201,MATCH($AD962-1,$AD$2:$AD$1201,0)),""),""))</f>
        <v/>
      </c>
      <c r="AG962" s="39">
        <f t="shared" ref="AG962:AG1025" si="280">IF(OR($E962&lt;&gt;"timed",$AE962=""),0,IF($AE962=$C962,0,1))</f>
        <v>0</v>
      </c>
      <c r="AH962" s="39" t="str">
        <f t="shared" ref="AH962:AH1025" si="281">IF(OR($AF962="",$O962=""),"",MAX(0,ROUND(($O962-$AF962)*1440,0)))</f>
        <v/>
      </c>
      <c r="AI962" s="39">
        <f>IF(AND($E962="timed",$N962&gt;=Settings!$C$9),1,0)</f>
        <v>0</v>
      </c>
      <c r="AJ962" s="39" t="str">
        <f>IF(OR($S962="",Settings!$C$16=""),"",IF($S962&lt;=Settings!$C$16,1,2))</f>
        <v/>
      </c>
      <c r="AK962" s="39" t="str">
        <f>IF($C962="","",IFERROR(IF(INDEX(Settings!$C$20:$C$59,MATCH($C962,Settings!$B$20:$B$59,0))="",Settings!$C$10,INDEX(Settings!$C$20:$C$59,MATCH($C962,Settings!$B$20:$B$59,0))),Settings!$C$10))</f>
        <v/>
      </c>
      <c r="AL962" s="108">
        <f t="shared" ref="AL962:AL1025" si="282">IF(OR($N962=0,$AK962=""),0,ROUND($N962/60*$AK962,2))</f>
        <v>0</v>
      </c>
      <c r="AM962" s="39" t="str">
        <f t="shared" ref="AM962:AM1025" si="283">IF($AD962="","",IFERROR(INDEX($S$2:$S$1201,MATCH($AD962-1,$AD$2:$AD$1201,0)),""))</f>
        <v/>
      </c>
      <c r="AN962" s="39" t="str">
        <f t="shared" ref="AN962:AN1025" si="284">IF($Z962=1,$N962+ROW()/1000000,"")</f>
        <v/>
      </c>
      <c r="AO962" s="39" t="str">
        <f t="shared" ref="AO962:AO1025" si="285">IF(OR($E962&lt;&gt;"timed",$P962=""),"",ROUND($P962*86400,0)*10000+ROW())</f>
        <v/>
      </c>
      <c r="AP962" s="39">
        <f t="shared" ref="AP962:AP1025" si="286">IF($AC962="",0,IF(COUNTIFS($S$2:$S$1201,$S962,$AC$2:$AC$1201,"&lt;"&amp;$AC962)=0,1,0))</f>
        <v>0</v>
      </c>
      <c r="AQ962" s="39">
        <f t="shared" ref="AQ962:AQ1025" si="287">IF($AO962="",0,IF(COUNTIFS($S$2:$S$1201,$S962,$AO$2:$AO$1201,"&gt;"&amp;$AO962)=0,1,0))</f>
        <v>0</v>
      </c>
    </row>
    <row r="963" spans="14:43" x14ac:dyDescent="0.25">
      <c r="N963" s="105">
        <f t="shared" si="270"/>
        <v>0</v>
      </c>
      <c r="O963" s="106" t="str">
        <f>IF($F963="","",IF(ISNUMBER($F963),$F963+Settings!$C$7/24,IFERROR(DATEVALUE(LEFT($F963,10))+TIMEVALUE(MID($F963,12,8))+Settings!$C$7/24,"")))</f>
        <v/>
      </c>
      <c r="P963" s="106" t="str">
        <f>IF($G963="","",IF(ISNUMBER($G963),$G963+Settings!$C$7/24,IFERROR(DATEVALUE(LEFT($G963,10))+TIMEVALUE(MID($G963,12,8))+Settings!$C$7/24,"")))</f>
        <v/>
      </c>
      <c r="Q963" s="39" t="str">
        <f t="shared" si="271"/>
        <v/>
      </c>
      <c r="R963" s="39" t="str">
        <f t="shared" si="272"/>
        <v/>
      </c>
      <c r="S963" s="107" t="str">
        <f t="shared" si="273"/>
        <v/>
      </c>
      <c r="T963" s="39" t="str">
        <f>IF($C963="","",IF(COUNTIF($C$2:$C963,$C963)=1,1,0))</f>
        <v/>
      </c>
      <c r="U963" s="39" t="str">
        <f>IF($T963=1,COUNTIF($T$2:$T963,1),"")</f>
        <v/>
      </c>
      <c r="V963" s="39" t="str">
        <f>IF($B963="","",IF(COUNTIF($B$2:$B963,$B963)=1,1,0))</f>
        <v/>
      </c>
      <c r="W963" s="39" t="str">
        <f>IF($V963=1,COUNTIF($V$2:$V963,1),"")</f>
        <v/>
      </c>
      <c r="X963" s="39" t="str">
        <f>IF($A963="","",IF(COUNTIF($A$2:$A963,$A963)=1,1,0))</f>
        <v/>
      </c>
      <c r="Y963" s="39" t="str">
        <f>IF($X963=1,COUNTIF($X$2:$X963,1),"")</f>
        <v/>
      </c>
      <c r="Z963" s="39">
        <f>IF(AND($E963="timed",$N963&gt;Settings!$C$8),1,0)</f>
        <v>0</v>
      </c>
      <c r="AA963" s="39">
        <f t="shared" si="274"/>
        <v>0</v>
      </c>
      <c r="AB963" s="39">
        <f t="shared" si="275"/>
        <v>0</v>
      </c>
      <c r="AC963" s="39" t="str">
        <f t="shared" si="276"/>
        <v/>
      </c>
      <c r="AD963" s="39" t="str">
        <f t="shared" si="277"/>
        <v/>
      </c>
      <c r="AE963" s="39" t="str">
        <f t="shared" si="278"/>
        <v/>
      </c>
      <c r="AF963" s="106" t="str">
        <f t="shared" si="279"/>
        <v/>
      </c>
      <c r="AG963" s="39">
        <f t="shared" si="280"/>
        <v>0</v>
      </c>
      <c r="AH963" s="39" t="str">
        <f t="shared" si="281"/>
        <v/>
      </c>
      <c r="AI963" s="39">
        <f>IF(AND($E963="timed",$N963&gt;=Settings!$C$9),1,0)</f>
        <v>0</v>
      </c>
      <c r="AJ963" s="39" t="str">
        <f>IF(OR($S963="",Settings!$C$16=""),"",IF($S963&lt;=Settings!$C$16,1,2))</f>
        <v/>
      </c>
      <c r="AK963" s="39" t="str">
        <f>IF($C963="","",IFERROR(IF(INDEX(Settings!$C$20:$C$59,MATCH($C963,Settings!$B$20:$B$59,0))="",Settings!$C$10,INDEX(Settings!$C$20:$C$59,MATCH($C963,Settings!$B$20:$B$59,0))),Settings!$C$10))</f>
        <v/>
      </c>
      <c r="AL963" s="108">
        <f t="shared" si="282"/>
        <v>0</v>
      </c>
      <c r="AM963" s="39" t="str">
        <f t="shared" si="283"/>
        <v/>
      </c>
      <c r="AN963" s="39" t="str">
        <f t="shared" si="284"/>
        <v/>
      </c>
      <c r="AO963" s="39" t="str">
        <f t="shared" si="285"/>
        <v/>
      </c>
      <c r="AP963" s="39">
        <f t="shared" si="286"/>
        <v>0</v>
      </c>
      <c r="AQ963" s="39">
        <f t="shared" si="287"/>
        <v>0</v>
      </c>
    </row>
    <row r="964" spans="14:43" x14ac:dyDescent="0.25">
      <c r="N964" s="105">
        <f t="shared" si="270"/>
        <v>0</v>
      </c>
      <c r="O964" s="106" t="str">
        <f>IF($F964="","",IF(ISNUMBER($F964),$F964+Settings!$C$7/24,IFERROR(DATEVALUE(LEFT($F964,10))+TIMEVALUE(MID($F964,12,8))+Settings!$C$7/24,"")))</f>
        <v/>
      </c>
      <c r="P964" s="106" t="str">
        <f>IF($G964="","",IF(ISNUMBER($G964),$G964+Settings!$C$7/24,IFERROR(DATEVALUE(LEFT($G964,10))+TIMEVALUE(MID($G964,12,8))+Settings!$C$7/24,"")))</f>
        <v/>
      </c>
      <c r="Q964" s="39" t="str">
        <f t="shared" si="271"/>
        <v/>
      </c>
      <c r="R964" s="39" t="str">
        <f t="shared" si="272"/>
        <v/>
      </c>
      <c r="S964" s="107" t="str">
        <f t="shared" si="273"/>
        <v/>
      </c>
      <c r="T964" s="39" t="str">
        <f>IF($C964="","",IF(COUNTIF($C$2:$C964,$C964)=1,1,0))</f>
        <v/>
      </c>
      <c r="U964" s="39" t="str">
        <f>IF($T964=1,COUNTIF($T$2:$T964,1),"")</f>
        <v/>
      </c>
      <c r="V964" s="39" t="str">
        <f>IF($B964="","",IF(COUNTIF($B$2:$B964,$B964)=1,1,0))</f>
        <v/>
      </c>
      <c r="W964" s="39" t="str">
        <f>IF($V964=1,COUNTIF($V$2:$V964,1),"")</f>
        <v/>
      </c>
      <c r="X964" s="39" t="str">
        <f>IF($A964="","",IF(COUNTIF($A$2:$A964,$A964)=1,1,0))</f>
        <v/>
      </c>
      <c r="Y964" s="39" t="str">
        <f>IF($X964=1,COUNTIF($X$2:$X964,1),"")</f>
        <v/>
      </c>
      <c r="Z964" s="39">
        <f>IF(AND($E964="timed",$N964&gt;Settings!$C$8),1,0)</f>
        <v>0</v>
      </c>
      <c r="AA964" s="39">
        <f t="shared" si="274"/>
        <v>0</v>
      </c>
      <c r="AB964" s="39">
        <f t="shared" si="275"/>
        <v>0</v>
      </c>
      <c r="AC964" s="39" t="str">
        <f t="shared" si="276"/>
        <v/>
      </c>
      <c r="AD964" s="39" t="str">
        <f t="shared" si="277"/>
        <v/>
      </c>
      <c r="AE964" s="39" t="str">
        <f t="shared" si="278"/>
        <v/>
      </c>
      <c r="AF964" s="106" t="str">
        <f t="shared" si="279"/>
        <v/>
      </c>
      <c r="AG964" s="39">
        <f t="shared" si="280"/>
        <v>0</v>
      </c>
      <c r="AH964" s="39" t="str">
        <f t="shared" si="281"/>
        <v/>
      </c>
      <c r="AI964" s="39">
        <f>IF(AND($E964="timed",$N964&gt;=Settings!$C$9),1,0)</f>
        <v>0</v>
      </c>
      <c r="AJ964" s="39" t="str">
        <f>IF(OR($S964="",Settings!$C$16=""),"",IF($S964&lt;=Settings!$C$16,1,2))</f>
        <v/>
      </c>
      <c r="AK964" s="39" t="str">
        <f>IF($C964="","",IFERROR(IF(INDEX(Settings!$C$20:$C$59,MATCH($C964,Settings!$B$20:$B$59,0))="",Settings!$C$10,INDEX(Settings!$C$20:$C$59,MATCH($C964,Settings!$B$20:$B$59,0))),Settings!$C$10))</f>
        <v/>
      </c>
      <c r="AL964" s="108">
        <f t="shared" si="282"/>
        <v>0</v>
      </c>
      <c r="AM964" s="39" t="str">
        <f t="shared" si="283"/>
        <v/>
      </c>
      <c r="AN964" s="39" t="str">
        <f t="shared" si="284"/>
        <v/>
      </c>
      <c r="AO964" s="39" t="str">
        <f t="shared" si="285"/>
        <v/>
      </c>
      <c r="AP964" s="39">
        <f t="shared" si="286"/>
        <v>0</v>
      </c>
      <c r="AQ964" s="39">
        <f t="shared" si="287"/>
        <v>0</v>
      </c>
    </row>
    <row r="965" spans="14:43" x14ac:dyDescent="0.25">
      <c r="N965" s="105">
        <f t="shared" si="270"/>
        <v>0</v>
      </c>
      <c r="O965" s="106" t="str">
        <f>IF($F965="","",IF(ISNUMBER($F965),$F965+Settings!$C$7/24,IFERROR(DATEVALUE(LEFT($F965,10))+TIMEVALUE(MID($F965,12,8))+Settings!$C$7/24,"")))</f>
        <v/>
      </c>
      <c r="P965" s="106" t="str">
        <f>IF($G965="","",IF(ISNUMBER($G965),$G965+Settings!$C$7/24,IFERROR(DATEVALUE(LEFT($G965,10))+TIMEVALUE(MID($G965,12,8))+Settings!$C$7/24,"")))</f>
        <v/>
      </c>
      <c r="Q965" s="39" t="str">
        <f t="shared" si="271"/>
        <v/>
      </c>
      <c r="R965" s="39" t="str">
        <f t="shared" si="272"/>
        <v/>
      </c>
      <c r="S965" s="107" t="str">
        <f t="shared" si="273"/>
        <v/>
      </c>
      <c r="T965" s="39" t="str">
        <f>IF($C965="","",IF(COUNTIF($C$2:$C965,$C965)=1,1,0))</f>
        <v/>
      </c>
      <c r="U965" s="39" t="str">
        <f>IF($T965=1,COUNTIF($T$2:$T965,1),"")</f>
        <v/>
      </c>
      <c r="V965" s="39" t="str">
        <f>IF($B965="","",IF(COUNTIF($B$2:$B965,$B965)=1,1,0))</f>
        <v/>
      </c>
      <c r="W965" s="39" t="str">
        <f>IF($V965=1,COUNTIF($V$2:$V965,1),"")</f>
        <v/>
      </c>
      <c r="X965" s="39" t="str">
        <f>IF($A965="","",IF(COUNTIF($A$2:$A965,$A965)=1,1,0))</f>
        <v/>
      </c>
      <c r="Y965" s="39" t="str">
        <f>IF($X965=1,COUNTIF($X$2:$X965,1),"")</f>
        <v/>
      </c>
      <c r="Z965" s="39">
        <f>IF(AND($E965="timed",$N965&gt;Settings!$C$8),1,0)</f>
        <v>0</v>
      </c>
      <c r="AA965" s="39">
        <f t="shared" si="274"/>
        <v>0</v>
      </c>
      <c r="AB965" s="39">
        <f t="shared" si="275"/>
        <v>0</v>
      </c>
      <c r="AC965" s="39" t="str">
        <f t="shared" si="276"/>
        <v/>
      </c>
      <c r="AD965" s="39" t="str">
        <f t="shared" si="277"/>
        <v/>
      </c>
      <c r="AE965" s="39" t="str">
        <f t="shared" si="278"/>
        <v/>
      </c>
      <c r="AF965" s="106" t="str">
        <f t="shared" si="279"/>
        <v/>
      </c>
      <c r="AG965" s="39">
        <f t="shared" si="280"/>
        <v>0</v>
      </c>
      <c r="AH965" s="39" t="str">
        <f t="shared" si="281"/>
        <v/>
      </c>
      <c r="AI965" s="39">
        <f>IF(AND($E965="timed",$N965&gt;=Settings!$C$9),1,0)</f>
        <v>0</v>
      </c>
      <c r="AJ965" s="39" t="str">
        <f>IF(OR($S965="",Settings!$C$16=""),"",IF($S965&lt;=Settings!$C$16,1,2))</f>
        <v/>
      </c>
      <c r="AK965" s="39" t="str">
        <f>IF($C965="","",IFERROR(IF(INDEX(Settings!$C$20:$C$59,MATCH($C965,Settings!$B$20:$B$59,0))="",Settings!$C$10,INDEX(Settings!$C$20:$C$59,MATCH($C965,Settings!$B$20:$B$59,0))),Settings!$C$10))</f>
        <v/>
      </c>
      <c r="AL965" s="108">
        <f t="shared" si="282"/>
        <v>0</v>
      </c>
      <c r="AM965" s="39" t="str">
        <f t="shared" si="283"/>
        <v/>
      </c>
      <c r="AN965" s="39" t="str">
        <f t="shared" si="284"/>
        <v/>
      </c>
      <c r="AO965" s="39" t="str">
        <f t="shared" si="285"/>
        <v/>
      </c>
      <c r="AP965" s="39">
        <f t="shared" si="286"/>
        <v>0</v>
      </c>
      <c r="AQ965" s="39">
        <f t="shared" si="287"/>
        <v>0</v>
      </c>
    </row>
    <row r="966" spans="14:43" x14ac:dyDescent="0.25">
      <c r="N966" s="105">
        <f t="shared" si="270"/>
        <v>0</v>
      </c>
      <c r="O966" s="106" t="str">
        <f>IF($F966="","",IF(ISNUMBER($F966),$F966+Settings!$C$7/24,IFERROR(DATEVALUE(LEFT($F966,10))+TIMEVALUE(MID($F966,12,8))+Settings!$C$7/24,"")))</f>
        <v/>
      </c>
      <c r="P966" s="106" t="str">
        <f>IF($G966="","",IF(ISNUMBER($G966),$G966+Settings!$C$7/24,IFERROR(DATEVALUE(LEFT($G966,10))+TIMEVALUE(MID($G966,12,8))+Settings!$C$7/24,"")))</f>
        <v/>
      </c>
      <c r="Q966" s="39" t="str">
        <f t="shared" si="271"/>
        <v/>
      </c>
      <c r="R966" s="39" t="str">
        <f t="shared" si="272"/>
        <v/>
      </c>
      <c r="S966" s="107" t="str">
        <f t="shared" si="273"/>
        <v/>
      </c>
      <c r="T966" s="39" t="str">
        <f>IF($C966="","",IF(COUNTIF($C$2:$C966,$C966)=1,1,0))</f>
        <v/>
      </c>
      <c r="U966" s="39" t="str">
        <f>IF($T966=1,COUNTIF($T$2:$T966,1),"")</f>
        <v/>
      </c>
      <c r="V966" s="39" t="str">
        <f>IF($B966="","",IF(COUNTIF($B$2:$B966,$B966)=1,1,0))</f>
        <v/>
      </c>
      <c r="W966" s="39" t="str">
        <f>IF($V966=1,COUNTIF($V$2:$V966,1),"")</f>
        <v/>
      </c>
      <c r="X966" s="39" t="str">
        <f>IF($A966="","",IF(COUNTIF($A$2:$A966,$A966)=1,1,0))</f>
        <v/>
      </c>
      <c r="Y966" s="39" t="str">
        <f>IF($X966=1,COUNTIF($X$2:$X966,1),"")</f>
        <v/>
      </c>
      <c r="Z966" s="39">
        <f>IF(AND($E966="timed",$N966&gt;Settings!$C$8),1,0)</f>
        <v>0</v>
      </c>
      <c r="AA966" s="39">
        <f t="shared" si="274"/>
        <v>0</v>
      </c>
      <c r="AB966" s="39">
        <f t="shared" si="275"/>
        <v>0</v>
      </c>
      <c r="AC966" s="39" t="str">
        <f t="shared" si="276"/>
        <v/>
      </c>
      <c r="AD966" s="39" t="str">
        <f t="shared" si="277"/>
        <v/>
      </c>
      <c r="AE966" s="39" t="str">
        <f t="shared" si="278"/>
        <v/>
      </c>
      <c r="AF966" s="106" t="str">
        <f t="shared" si="279"/>
        <v/>
      </c>
      <c r="AG966" s="39">
        <f t="shared" si="280"/>
        <v>0</v>
      </c>
      <c r="AH966" s="39" t="str">
        <f t="shared" si="281"/>
        <v/>
      </c>
      <c r="AI966" s="39">
        <f>IF(AND($E966="timed",$N966&gt;=Settings!$C$9),1,0)</f>
        <v>0</v>
      </c>
      <c r="AJ966" s="39" t="str">
        <f>IF(OR($S966="",Settings!$C$16=""),"",IF($S966&lt;=Settings!$C$16,1,2))</f>
        <v/>
      </c>
      <c r="AK966" s="39" t="str">
        <f>IF($C966="","",IFERROR(IF(INDEX(Settings!$C$20:$C$59,MATCH($C966,Settings!$B$20:$B$59,0))="",Settings!$C$10,INDEX(Settings!$C$20:$C$59,MATCH($C966,Settings!$B$20:$B$59,0))),Settings!$C$10))</f>
        <v/>
      </c>
      <c r="AL966" s="108">
        <f t="shared" si="282"/>
        <v>0</v>
      </c>
      <c r="AM966" s="39" t="str">
        <f t="shared" si="283"/>
        <v/>
      </c>
      <c r="AN966" s="39" t="str">
        <f t="shared" si="284"/>
        <v/>
      </c>
      <c r="AO966" s="39" t="str">
        <f t="shared" si="285"/>
        <v/>
      </c>
      <c r="AP966" s="39">
        <f t="shared" si="286"/>
        <v>0</v>
      </c>
      <c r="AQ966" s="39">
        <f t="shared" si="287"/>
        <v>0</v>
      </c>
    </row>
    <row r="967" spans="14:43" x14ac:dyDescent="0.25">
      <c r="N967" s="105">
        <f t="shared" si="270"/>
        <v>0</v>
      </c>
      <c r="O967" s="106" t="str">
        <f>IF($F967="","",IF(ISNUMBER($F967),$F967+Settings!$C$7/24,IFERROR(DATEVALUE(LEFT($F967,10))+TIMEVALUE(MID($F967,12,8))+Settings!$C$7/24,"")))</f>
        <v/>
      </c>
      <c r="P967" s="106" t="str">
        <f>IF($G967="","",IF(ISNUMBER($G967),$G967+Settings!$C$7/24,IFERROR(DATEVALUE(LEFT($G967,10))+TIMEVALUE(MID($G967,12,8))+Settings!$C$7/24,"")))</f>
        <v/>
      </c>
      <c r="Q967" s="39" t="str">
        <f t="shared" si="271"/>
        <v/>
      </c>
      <c r="R967" s="39" t="str">
        <f t="shared" si="272"/>
        <v/>
      </c>
      <c r="S967" s="107" t="str">
        <f t="shared" si="273"/>
        <v/>
      </c>
      <c r="T967" s="39" t="str">
        <f>IF($C967="","",IF(COUNTIF($C$2:$C967,$C967)=1,1,0))</f>
        <v/>
      </c>
      <c r="U967" s="39" t="str">
        <f>IF($T967=1,COUNTIF($T$2:$T967,1),"")</f>
        <v/>
      </c>
      <c r="V967" s="39" t="str">
        <f>IF($B967="","",IF(COUNTIF($B$2:$B967,$B967)=1,1,0))</f>
        <v/>
      </c>
      <c r="W967" s="39" t="str">
        <f>IF($V967=1,COUNTIF($V$2:$V967,1),"")</f>
        <v/>
      </c>
      <c r="X967" s="39" t="str">
        <f>IF($A967="","",IF(COUNTIF($A$2:$A967,$A967)=1,1,0))</f>
        <v/>
      </c>
      <c r="Y967" s="39" t="str">
        <f>IF($X967=1,COUNTIF($X$2:$X967,1),"")</f>
        <v/>
      </c>
      <c r="Z967" s="39">
        <f>IF(AND($E967="timed",$N967&gt;Settings!$C$8),1,0)</f>
        <v>0</v>
      </c>
      <c r="AA967" s="39">
        <f t="shared" si="274"/>
        <v>0</v>
      </c>
      <c r="AB967" s="39">
        <f t="shared" si="275"/>
        <v>0</v>
      </c>
      <c r="AC967" s="39" t="str">
        <f t="shared" si="276"/>
        <v/>
      </c>
      <c r="AD967" s="39" t="str">
        <f t="shared" si="277"/>
        <v/>
      </c>
      <c r="AE967" s="39" t="str">
        <f t="shared" si="278"/>
        <v/>
      </c>
      <c r="AF967" s="106" t="str">
        <f t="shared" si="279"/>
        <v/>
      </c>
      <c r="AG967" s="39">
        <f t="shared" si="280"/>
        <v>0</v>
      </c>
      <c r="AH967" s="39" t="str">
        <f t="shared" si="281"/>
        <v/>
      </c>
      <c r="AI967" s="39">
        <f>IF(AND($E967="timed",$N967&gt;=Settings!$C$9),1,0)</f>
        <v>0</v>
      </c>
      <c r="AJ967" s="39" t="str">
        <f>IF(OR($S967="",Settings!$C$16=""),"",IF($S967&lt;=Settings!$C$16,1,2))</f>
        <v/>
      </c>
      <c r="AK967" s="39" t="str">
        <f>IF($C967="","",IFERROR(IF(INDEX(Settings!$C$20:$C$59,MATCH($C967,Settings!$B$20:$B$59,0))="",Settings!$C$10,INDEX(Settings!$C$20:$C$59,MATCH($C967,Settings!$B$20:$B$59,0))),Settings!$C$10))</f>
        <v/>
      </c>
      <c r="AL967" s="108">
        <f t="shared" si="282"/>
        <v>0</v>
      </c>
      <c r="AM967" s="39" t="str">
        <f t="shared" si="283"/>
        <v/>
      </c>
      <c r="AN967" s="39" t="str">
        <f t="shared" si="284"/>
        <v/>
      </c>
      <c r="AO967" s="39" t="str">
        <f t="shared" si="285"/>
        <v/>
      </c>
      <c r="AP967" s="39">
        <f t="shared" si="286"/>
        <v>0</v>
      </c>
      <c r="AQ967" s="39">
        <f t="shared" si="287"/>
        <v>0</v>
      </c>
    </row>
    <row r="968" spans="14:43" x14ac:dyDescent="0.25">
      <c r="N968" s="105">
        <f t="shared" si="270"/>
        <v>0</v>
      </c>
      <c r="O968" s="106" t="str">
        <f>IF($F968="","",IF(ISNUMBER($F968),$F968+Settings!$C$7/24,IFERROR(DATEVALUE(LEFT($F968,10))+TIMEVALUE(MID($F968,12,8))+Settings!$C$7/24,"")))</f>
        <v/>
      </c>
      <c r="P968" s="106" t="str">
        <f>IF($G968="","",IF(ISNUMBER($G968),$G968+Settings!$C$7/24,IFERROR(DATEVALUE(LEFT($G968,10))+TIMEVALUE(MID($G968,12,8))+Settings!$C$7/24,"")))</f>
        <v/>
      </c>
      <c r="Q968" s="39" t="str">
        <f t="shared" si="271"/>
        <v/>
      </c>
      <c r="R968" s="39" t="str">
        <f t="shared" si="272"/>
        <v/>
      </c>
      <c r="S968" s="107" t="str">
        <f t="shared" si="273"/>
        <v/>
      </c>
      <c r="T968" s="39" t="str">
        <f>IF($C968="","",IF(COUNTIF($C$2:$C968,$C968)=1,1,0))</f>
        <v/>
      </c>
      <c r="U968" s="39" t="str">
        <f>IF($T968=1,COUNTIF($T$2:$T968,1),"")</f>
        <v/>
      </c>
      <c r="V968" s="39" t="str">
        <f>IF($B968="","",IF(COUNTIF($B$2:$B968,$B968)=1,1,0))</f>
        <v/>
      </c>
      <c r="W968" s="39" t="str">
        <f>IF($V968=1,COUNTIF($V$2:$V968,1),"")</f>
        <v/>
      </c>
      <c r="X968" s="39" t="str">
        <f>IF($A968="","",IF(COUNTIF($A$2:$A968,$A968)=1,1,0))</f>
        <v/>
      </c>
      <c r="Y968" s="39" t="str">
        <f>IF($X968=1,COUNTIF($X$2:$X968,1),"")</f>
        <v/>
      </c>
      <c r="Z968" s="39">
        <f>IF(AND($E968="timed",$N968&gt;Settings!$C$8),1,0)</f>
        <v>0</v>
      </c>
      <c r="AA968" s="39">
        <f t="shared" si="274"/>
        <v>0</v>
      </c>
      <c r="AB968" s="39">
        <f t="shared" si="275"/>
        <v>0</v>
      </c>
      <c r="AC968" s="39" t="str">
        <f t="shared" si="276"/>
        <v/>
      </c>
      <c r="AD968" s="39" t="str">
        <f t="shared" si="277"/>
        <v/>
      </c>
      <c r="AE968" s="39" t="str">
        <f t="shared" si="278"/>
        <v/>
      </c>
      <c r="AF968" s="106" t="str">
        <f t="shared" si="279"/>
        <v/>
      </c>
      <c r="AG968" s="39">
        <f t="shared" si="280"/>
        <v>0</v>
      </c>
      <c r="AH968" s="39" t="str">
        <f t="shared" si="281"/>
        <v/>
      </c>
      <c r="AI968" s="39">
        <f>IF(AND($E968="timed",$N968&gt;=Settings!$C$9),1,0)</f>
        <v>0</v>
      </c>
      <c r="AJ968" s="39" t="str">
        <f>IF(OR($S968="",Settings!$C$16=""),"",IF($S968&lt;=Settings!$C$16,1,2))</f>
        <v/>
      </c>
      <c r="AK968" s="39" t="str">
        <f>IF($C968="","",IFERROR(IF(INDEX(Settings!$C$20:$C$59,MATCH($C968,Settings!$B$20:$B$59,0))="",Settings!$C$10,INDEX(Settings!$C$20:$C$59,MATCH($C968,Settings!$B$20:$B$59,0))),Settings!$C$10))</f>
        <v/>
      </c>
      <c r="AL968" s="108">
        <f t="shared" si="282"/>
        <v>0</v>
      </c>
      <c r="AM968" s="39" t="str">
        <f t="shared" si="283"/>
        <v/>
      </c>
      <c r="AN968" s="39" t="str">
        <f t="shared" si="284"/>
        <v/>
      </c>
      <c r="AO968" s="39" t="str">
        <f t="shared" si="285"/>
        <v/>
      </c>
      <c r="AP968" s="39">
        <f t="shared" si="286"/>
        <v>0</v>
      </c>
      <c r="AQ968" s="39">
        <f t="shared" si="287"/>
        <v>0</v>
      </c>
    </row>
    <row r="969" spans="14:43" x14ac:dyDescent="0.25">
      <c r="N969" s="105">
        <f t="shared" si="270"/>
        <v>0</v>
      </c>
      <c r="O969" s="106" t="str">
        <f>IF($F969="","",IF(ISNUMBER($F969),$F969+Settings!$C$7/24,IFERROR(DATEVALUE(LEFT($F969,10))+TIMEVALUE(MID($F969,12,8))+Settings!$C$7/24,"")))</f>
        <v/>
      </c>
      <c r="P969" s="106" t="str">
        <f>IF($G969="","",IF(ISNUMBER($G969),$G969+Settings!$C$7/24,IFERROR(DATEVALUE(LEFT($G969,10))+TIMEVALUE(MID($G969,12,8))+Settings!$C$7/24,"")))</f>
        <v/>
      </c>
      <c r="Q969" s="39" t="str">
        <f t="shared" si="271"/>
        <v/>
      </c>
      <c r="R969" s="39" t="str">
        <f t="shared" si="272"/>
        <v/>
      </c>
      <c r="S969" s="107" t="str">
        <f t="shared" si="273"/>
        <v/>
      </c>
      <c r="T969" s="39" t="str">
        <f>IF($C969="","",IF(COUNTIF($C$2:$C969,$C969)=1,1,0))</f>
        <v/>
      </c>
      <c r="U969" s="39" t="str">
        <f>IF($T969=1,COUNTIF($T$2:$T969,1),"")</f>
        <v/>
      </c>
      <c r="V969" s="39" t="str">
        <f>IF($B969="","",IF(COUNTIF($B$2:$B969,$B969)=1,1,0))</f>
        <v/>
      </c>
      <c r="W969" s="39" t="str">
        <f>IF($V969=1,COUNTIF($V$2:$V969,1),"")</f>
        <v/>
      </c>
      <c r="X969" s="39" t="str">
        <f>IF($A969="","",IF(COUNTIF($A$2:$A969,$A969)=1,1,0))</f>
        <v/>
      </c>
      <c r="Y969" s="39" t="str">
        <f>IF($X969=1,COUNTIF($X$2:$X969,1),"")</f>
        <v/>
      </c>
      <c r="Z969" s="39">
        <f>IF(AND($E969="timed",$N969&gt;Settings!$C$8),1,0)</f>
        <v>0</v>
      </c>
      <c r="AA969" s="39">
        <f t="shared" si="274"/>
        <v>0</v>
      </c>
      <c r="AB969" s="39">
        <f t="shared" si="275"/>
        <v>0</v>
      </c>
      <c r="AC969" s="39" t="str">
        <f t="shared" si="276"/>
        <v/>
      </c>
      <c r="AD969" s="39" t="str">
        <f t="shared" si="277"/>
        <v/>
      </c>
      <c r="AE969" s="39" t="str">
        <f t="shared" si="278"/>
        <v/>
      </c>
      <c r="AF969" s="106" t="str">
        <f t="shared" si="279"/>
        <v/>
      </c>
      <c r="AG969" s="39">
        <f t="shared" si="280"/>
        <v>0</v>
      </c>
      <c r="AH969" s="39" t="str">
        <f t="shared" si="281"/>
        <v/>
      </c>
      <c r="AI969" s="39">
        <f>IF(AND($E969="timed",$N969&gt;=Settings!$C$9),1,0)</f>
        <v>0</v>
      </c>
      <c r="AJ969" s="39" t="str">
        <f>IF(OR($S969="",Settings!$C$16=""),"",IF($S969&lt;=Settings!$C$16,1,2))</f>
        <v/>
      </c>
      <c r="AK969" s="39" t="str">
        <f>IF($C969="","",IFERROR(IF(INDEX(Settings!$C$20:$C$59,MATCH($C969,Settings!$B$20:$B$59,0))="",Settings!$C$10,INDEX(Settings!$C$20:$C$59,MATCH($C969,Settings!$B$20:$B$59,0))),Settings!$C$10))</f>
        <v/>
      </c>
      <c r="AL969" s="108">
        <f t="shared" si="282"/>
        <v>0</v>
      </c>
      <c r="AM969" s="39" t="str">
        <f t="shared" si="283"/>
        <v/>
      </c>
      <c r="AN969" s="39" t="str">
        <f t="shared" si="284"/>
        <v/>
      </c>
      <c r="AO969" s="39" t="str">
        <f t="shared" si="285"/>
        <v/>
      </c>
      <c r="AP969" s="39">
        <f t="shared" si="286"/>
        <v>0</v>
      </c>
      <c r="AQ969" s="39">
        <f t="shared" si="287"/>
        <v>0</v>
      </c>
    </row>
    <row r="970" spans="14:43" x14ac:dyDescent="0.25">
      <c r="N970" s="105">
        <f t="shared" si="270"/>
        <v>0</v>
      </c>
      <c r="O970" s="106" t="str">
        <f>IF($F970="","",IF(ISNUMBER($F970),$F970+Settings!$C$7/24,IFERROR(DATEVALUE(LEFT($F970,10))+TIMEVALUE(MID($F970,12,8))+Settings!$C$7/24,"")))</f>
        <v/>
      </c>
      <c r="P970" s="106" t="str">
        <f>IF($G970="","",IF(ISNUMBER($G970),$G970+Settings!$C$7/24,IFERROR(DATEVALUE(LEFT($G970,10))+TIMEVALUE(MID($G970,12,8))+Settings!$C$7/24,"")))</f>
        <v/>
      </c>
      <c r="Q970" s="39" t="str">
        <f t="shared" si="271"/>
        <v/>
      </c>
      <c r="R970" s="39" t="str">
        <f t="shared" si="272"/>
        <v/>
      </c>
      <c r="S970" s="107" t="str">
        <f t="shared" si="273"/>
        <v/>
      </c>
      <c r="T970" s="39" t="str">
        <f>IF($C970="","",IF(COUNTIF($C$2:$C970,$C970)=1,1,0))</f>
        <v/>
      </c>
      <c r="U970" s="39" t="str">
        <f>IF($T970=1,COUNTIF($T$2:$T970,1),"")</f>
        <v/>
      </c>
      <c r="V970" s="39" t="str">
        <f>IF($B970="","",IF(COUNTIF($B$2:$B970,$B970)=1,1,0))</f>
        <v/>
      </c>
      <c r="W970" s="39" t="str">
        <f>IF($V970=1,COUNTIF($V$2:$V970,1),"")</f>
        <v/>
      </c>
      <c r="X970" s="39" t="str">
        <f>IF($A970="","",IF(COUNTIF($A$2:$A970,$A970)=1,1,0))</f>
        <v/>
      </c>
      <c r="Y970" s="39" t="str">
        <f>IF($X970=1,COUNTIF($X$2:$X970,1),"")</f>
        <v/>
      </c>
      <c r="Z970" s="39">
        <f>IF(AND($E970="timed",$N970&gt;Settings!$C$8),1,0)</f>
        <v>0</v>
      </c>
      <c r="AA970" s="39">
        <f t="shared" si="274"/>
        <v>0</v>
      </c>
      <c r="AB970" s="39">
        <f t="shared" si="275"/>
        <v>0</v>
      </c>
      <c r="AC970" s="39" t="str">
        <f t="shared" si="276"/>
        <v/>
      </c>
      <c r="AD970" s="39" t="str">
        <f t="shared" si="277"/>
        <v/>
      </c>
      <c r="AE970" s="39" t="str">
        <f t="shared" si="278"/>
        <v/>
      </c>
      <c r="AF970" s="106" t="str">
        <f t="shared" si="279"/>
        <v/>
      </c>
      <c r="AG970" s="39">
        <f t="shared" si="280"/>
        <v>0</v>
      </c>
      <c r="AH970" s="39" t="str">
        <f t="shared" si="281"/>
        <v/>
      </c>
      <c r="AI970" s="39">
        <f>IF(AND($E970="timed",$N970&gt;=Settings!$C$9),1,0)</f>
        <v>0</v>
      </c>
      <c r="AJ970" s="39" t="str">
        <f>IF(OR($S970="",Settings!$C$16=""),"",IF($S970&lt;=Settings!$C$16,1,2))</f>
        <v/>
      </c>
      <c r="AK970" s="39" t="str">
        <f>IF($C970="","",IFERROR(IF(INDEX(Settings!$C$20:$C$59,MATCH($C970,Settings!$B$20:$B$59,0))="",Settings!$C$10,INDEX(Settings!$C$20:$C$59,MATCH($C970,Settings!$B$20:$B$59,0))),Settings!$C$10))</f>
        <v/>
      </c>
      <c r="AL970" s="108">
        <f t="shared" si="282"/>
        <v>0</v>
      </c>
      <c r="AM970" s="39" t="str">
        <f t="shared" si="283"/>
        <v/>
      </c>
      <c r="AN970" s="39" t="str">
        <f t="shared" si="284"/>
        <v/>
      </c>
      <c r="AO970" s="39" t="str">
        <f t="shared" si="285"/>
        <v/>
      </c>
      <c r="AP970" s="39">
        <f t="shared" si="286"/>
        <v>0</v>
      </c>
      <c r="AQ970" s="39">
        <f t="shared" si="287"/>
        <v>0</v>
      </c>
    </row>
    <row r="971" spans="14:43" x14ac:dyDescent="0.25">
      <c r="N971" s="105">
        <f t="shared" si="270"/>
        <v>0</v>
      </c>
      <c r="O971" s="106" t="str">
        <f>IF($F971="","",IF(ISNUMBER($F971),$F971+Settings!$C$7/24,IFERROR(DATEVALUE(LEFT($F971,10))+TIMEVALUE(MID($F971,12,8))+Settings!$C$7/24,"")))</f>
        <v/>
      </c>
      <c r="P971" s="106" t="str">
        <f>IF($G971="","",IF(ISNUMBER($G971),$G971+Settings!$C$7/24,IFERROR(DATEVALUE(LEFT($G971,10))+TIMEVALUE(MID($G971,12,8))+Settings!$C$7/24,"")))</f>
        <v/>
      </c>
      <c r="Q971" s="39" t="str">
        <f t="shared" si="271"/>
        <v/>
      </c>
      <c r="R971" s="39" t="str">
        <f t="shared" si="272"/>
        <v/>
      </c>
      <c r="S971" s="107" t="str">
        <f t="shared" si="273"/>
        <v/>
      </c>
      <c r="T971" s="39" t="str">
        <f>IF($C971="","",IF(COUNTIF($C$2:$C971,$C971)=1,1,0))</f>
        <v/>
      </c>
      <c r="U971" s="39" t="str">
        <f>IF($T971=1,COUNTIF($T$2:$T971,1),"")</f>
        <v/>
      </c>
      <c r="V971" s="39" t="str">
        <f>IF($B971="","",IF(COUNTIF($B$2:$B971,$B971)=1,1,0))</f>
        <v/>
      </c>
      <c r="W971" s="39" t="str">
        <f>IF($V971=1,COUNTIF($V$2:$V971,1),"")</f>
        <v/>
      </c>
      <c r="X971" s="39" t="str">
        <f>IF($A971="","",IF(COUNTIF($A$2:$A971,$A971)=1,1,0))</f>
        <v/>
      </c>
      <c r="Y971" s="39" t="str">
        <f>IF($X971=1,COUNTIF($X$2:$X971,1),"")</f>
        <v/>
      </c>
      <c r="Z971" s="39">
        <f>IF(AND($E971="timed",$N971&gt;Settings!$C$8),1,0)</f>
        <v>0</v>
      </c>
      <c r="AA971" s="39">
        <f t="shared" si="274"/>
        <v>0</v>
      </c>
      <c r="AB971" s="39">
        <f t="shared" si="275"/>
        <v>0</v>
      </c>
      <c r="AC971" s="39" t="str">
        <f t="shared" si="276"/>
        <v/>
      </c>
      <c r="AD971" s="39" t="str">
        <f t="shared" si="277"/>
        <v/>
      </c>
      <c r="AE971" s="39" t="str">
        <f t="shared" si="278"/>
        <v/>
      </c>
      <c r="AF971" s="106" t="str">
        <f t="shared" si="279"/>
        <v/>
      </c>
      <c r="AG971" s="39">
        <f t="shared" si="280"/>
        <v>0</v>
      </c>
      <c r="AH971" s="39" t="str">
        <f t="shared" si="281"/>
        <v/>
      </c>
      <c r="AI971" s="39">
        <f>IF(AND($E971="timed",$N971&gt;=Settings!$C$9),1,0)</f>
        <v>0</v>
      </c>
      <c r="AJ971" s="39" t="str">
        <f>IF(OR($S971="",Settings!$C$16=""),"",IF($S971&lt;=Settings!$C$16,1,2))</f>
        <v/>
      </c>
      <c r="AK971" s="39" t="str">
        <f>IF($C971="","",IFERROR(IF(INDEX(Settings!$C$20:$C$59,MATCH($C971,Settings!$B$20:$B$59,0))="",Settings!$C$10,INDEX(Settings!$C$20:$C$59,MATCH($C971,Settings!$B$20:$B$59,0))),Settings!$C$10))</f>
        <v/>
      </c>
      <c r="AL971" s="108">
        <f t="shared" si="282"/>
        <v>0</v>
      </c>
      <c r="AM971" s="39" t="str">
        <f t="shared" si="283"/>
        <v/>
      </c>
      <c r="AN971" s="39" t="str">
        <f t="shared" si="284"/>
        <v/>
      </c>
      <c r="AO971" s="39" t="str">
        <f t="shared" si="285"/>
        <v/>
      </c>
      <c r="AP971" s="39">
        <f t="shared" si="286"/>
        <v>0</v>
      </c>
      <c r="AQ971" s="39">
        <f t="shared" si="287"/>
        <v>0</v>
      </c>
    </row>
    <row r="972" spans="14:43" x14ac:dyDescent="0.25">
      <c r="N972" s="105">
        <f t="shared" si="270"/>
        <v>0</v>
      </c>
      <c r="O972" s="106" t="str">
        <f>IF($F972="","",IF(ISNUMBER($F972),$F972+Settings!$C$7/24,IFERROR(DATEVALUE(LEFT($F972,10))+TIMEVALUE(MID($F972,12,8))+Settings!$C$7/24,"")))</f>
        <v/>
      </c>
      <c r="P972" s="106" t="str">
        <f>IF($G972="","",IF(ISNUMBER($G972),$G972+Settings!$C$7/24,IFERROR(DATEVALUE(LEFT($G972,10))+TIMEVALUE(MID($G972,12,8))+Settings!$C$7/24,"")))</f>
        <v/>
      </c>
      <c r="Q972" s="39" t="str">
        <f t="shared" si="271"/>
        <v/>
      </c>
      <c r="R972" s="39" t="str">
        <f t="shared" si="272"/>
        <v/>
      </c>
      <c r="S972" s="107" t="str">
        <f t="shared" si="273"/>
        <v/>
      </c>
      <c r="T972" s="39" t="str">
        <f>IF($C972="","",IF(COUNTIF($C$2:$C972,$C972)=1,1,0))</f>
        <v/>
      </c>
      <c r="U972" s="39" t="str">
        <f>IF($T972=1,COUNTIF($T$2:$T972,1),"")</f>
        <v/>
      </c>
      <c r="V972" s="39" t="str">
        <f>IF($B972="","",IF(COUNTIF($B$2:$B972,$B972)=1,1,0))</f>
        <v/>
      </c>
      <c r="W972" s="39" t="str">
        <f>IF($V972=1,COUNTIF($V$2:$V972,1),"")</f>
        <v/>
      </c>
      <c r="X972" s="39" t="str">
        <f>IF($A972="","",IF(COUNTIF($A$2:$A972,$A972)=1,1,0))</f>
        <v/>
      </c>
      <c r="Y972" s="39" t="str">
        <f>IF($X972=1,COUNTIF($X$2:$X972,1),"")</f>
        <v/>
      </c>
      <c r="Z972" s="39">
        <f>IF(AND($E972="timed",$N972&gt;Settings!$C$8),1,0)</f>
        <v>0</v>
      </c>
      <c r="AA972" s="39">
        <f t="shared" si="274"/>
        <v>0</v>
      </c>
      <c r="AB972" s="39">
        <f t="shared" si="275"/>
        <v>0</v>
      </c>
      <c r="AC972" s="39" t="str">
        <f t="shared" si="276"/>
        <v/>
      </c>
      <c r="AD972" s="39" t="str">
        <f t="shared" si="277"/>
        <v/>
      </c>
      <c r="AE972" s="39" t="str">
        <f t="shared" si="278"/>
        <v/>
      </c>
      <c r="AF972" s="106" t="str">
        <f t="shared" si="279"/>
        <v/>
      </c>
      <c r="AG972" s="39">
        <f t="shared" si="280"/>
        <v>0</v>
      </c>
      <c r="AH972" s="39" t="str">
        <f t="shared" si="281"/>
        <v/>
      </c>
      <c r="AI972" s="39">
        <f>IF(AND($E972="timed",$N972&gt;=Settings!$C$9),1,0)</f>
        <v>0</v>
      </c>
      <c r="AJ972" s="39" t="str">
        <f>IF(OR($S972="",Settings!$C$16=""),"",IF($S972&lt;=Settings!$C$16,1,2))</f>
        <v/>
      </c>
      <c r="AK972" s="39" t="str">
        <f>IF($C972="","",IFERROR(IF(INDEX(Settings!$C$20:$C$59,MATCH($C972,Settings!$B$20:$B$59,0))="",Settings!$C$10,INDEX(Settings!$C$20:$C$59,MATCH($C972,Settings!$B$20:$B$59,0))),Settings!$C$10))</f>
        <v/>
      </c>
      <c r="AL972" s="108">
        <f t="shared" si="282"/>
        <v>0</v>
      </c>
      <c r="AM972" s="39" t="str">
        <f t="shared" si="283"/>
        <v/>
      </c>
      <c r="AN972" s="39" t="str">
        <f t="shared" si="284"/>
        <v/>
      </c>
      <c r="AO972" s="39" t="str">
        <f t="shared" si="285"/>
        <v/>
      </c>
      <c r="AP972" s="39">
        <f t="shared" si="286"/>
        <v>0</v>
      </c>
      <c r="AQ972" s="39">
        <f t="shared" si="287"/>
        <v>0</v>
      </c>
    </row>
    <row r="973" spans="14:43" x14ac:dyDescent="0.25">
      <c r="N973" s="105">
        <f t="shared" si="270"/>
        <v>0</v>
      </c>
      <c r="O973" s="106" t="str">
        <f>IF($F973="","",IF(ISNUMBER($F973),$F973+Settings!$C$7/24,IFERROR(DATEVALUE(LEFT($F973,10))+TIMEVALUE(MID($F973,12,8))+Settings!$C$7/24,"")))</f>
        <v/>
      </c>
      <c r="P973" s="106" t="str">
        <f>IF($G973="","",IF(ISNUMBER($G973),$G973+Settings!$C$7/24,IFERROR(DATEVALUE(LEFT($G973,10))+TIMEVALUE(MID($G973,12,8))+Settings!$C$7/24,"")))</f>
        <v/>
      </c>
      <c r="Q973" s="39" t="str">
        <f t="shared" si="271"/>
        <v/>
      </c>
      <c r="R973" s="39" t="str">
        <f t="shared" si="272"/>
        <v/>
      </c>
      <c r="S973" s="107" t="str">
        <f t="shared" si="273"/>
        <v/>
      </c>
      <c r="T973" s="39" t="str">
        <f>IF($C973="","",IF(COUNTIF($C$2:$C973,$C973)=1,1,0))</f>
        <v/>
      </c>
      <c r="U973" s="39" t="str">
        <f>IF($T973=1,COUNTIF($T$2:$T973,1),"")</f>
        <v/>
      </c>
      <c r="V973" s="39" t="str">
        <f>IF($B973="","",IF(COUNTIF($B$2:$B973,$B973)=1,1,0))</f>
        <v/>
      </c>
      <c r="W973" s="39" t="str">
        <f>IF($V973=1,COUNTIF($V$2:$V973,1),"")</f>
        <v/>
      </c>
      <c r="X973" s="39" t="str">
        <f>IF($A973="","",IF(COUNTIF($A$2:$A973,$A973)=1,1,0))</f>
        <v/>
      </c>
      <c r="Y973" s="39" t="str">
        <f>IF($X973=1,COUNTIF($X$2:$X973,1),"")</f>
        <v/>
      </c>
      <c r="Z973" s="39">
        <f>IF(AND($E973="timed",$N973&gt;Settings!$C$8),1,0)</f>
        <v>0</v>
      </c>
      <c r="AA973" s="39">
        <f t="shared" si="274"/>
        <v>0</v>
      </c>
      <c r="AB973" s="39">
        <f t="shared" si="275"/>
        <v>0</v>
      </c>
      <c r="AC973" s="39" t="str">
        <f t="shared" si="276"/>
        <v/>
      </c>
      <c r="AD973" s="39" t="str">
        <f t="shared" si="277"/>
        <v/>
      </c>
      <c r="AE973" s="39" t="str">
        <f t="shared" si="278"/>
        <v/>
      </c>
      <c r="AF973" s="106" t="str">
        <f t="shared" si="279"/>
        <v/>
      </c>
      <c r="AG973" s="39">
        <f t="shared" si="280"/>
        <v>0</v>
      </c>
      <c r="AH973" s="39" t="str">
        <f t="shared" si="281"/>
        <v/>
      </c>
      <c r="AI973" s="39">
        <f>IF(AND($E973="timed",$N973&gt;=Settings!$C$9),1,0)</f>
        <v>0</v>
      </c>
      <c r="AJ973" s="39" t="str">
        <f>IF(OR($S973="",Settings!$C$16=""),"",IF($S973&lt;=Settings!$C$16,1,2))</f>
        <v/>
      </c>
      <c r="AK973" s="39" t="str">
        <f>IF($C973="","",IFERROR(IF(INDEX(Settings!$C$20:$C$59,MATCH($C973,Settings!$B$20:$B$59,0))="",Settings!$C$10,INDEX(Settings!$C$20:$C$59,MATCH($C973,Settings!$B$20:$B$59,0))),Settings!$C$10))</f>
        <v/>
      </c>
      <c r="AL973" s="108">
        <f t="shared" si="282"/>
        <v>0</v>
      </c>
      <c r="AM973" s="39" t="str">
        <f t="shared" si="283"/>
        <v/>
      </c>
      <c r="AN973" s="39" t="str">
        <f t="shared" si="284"/>
        <v/>
      </c>
      <c r="AO973" s="39" t="str">
        <f t="shared" si="285"/>
        <v/>
      </c>
      <c r="AP973" s="39">
        <f t="shared" si="286"/>
        <v>0</v>
      </c>
      <c r="AQ973" s="39">
        <f t="shared" si="287"/>
        <v>0</v>
      </c>
    </row>
    <row r="974" spans="14:43" x14ac:dyDescent="0.25">
      <c r="N974" s="105">
        <f t="shared" si="270"/>
        <v>0</v>
      </c>
      <c r="O974" s="106" t="str">
        <f>IF($F974="","",IF(ISNUMBER($F974),$F974+Settings!$C$7/24,IFERROR(DATEVALUE(LEFT($F974,10))+TIMEVALUE(MID($F974,12,8))+Settings!$C$7/24,"")))</f>
        <v/>
      </c>
      <c r="P974" s="106" t="str">
        <f>IF($G974="","",IF(ISNUMBER($G974),$G974+Settings!$C$7/24,IFERROR(DATEVALUE(LEFT($G974,10))+TIMEVALUE(MID($G974,12,8))+Settings!$C$7/24,"")))</f>
        <v/>
      </c>
      <c r="Q974" s="39" t="str">
        <f t="shared" si="271"/>
        <v/>
      </c>
      <c r="R974" s="39" t="str">
        <f t="shared" si="272"/>
        <v/>
      </c>
      <c r="S974" s="107" t="str">
        <f t="shared" si="273"/>
        <v/>
      </c>
      <c r="T974" s="39" t="str">
        <f>IF($C974="","",IF(COUNTIF($C$2:$C974,$C974)=1,1,0))</f>
        <v/>
      </c>
      <c r="U974" s="39" t="str">
        <f>IF($T974=1,COUNTIF($T$2:$T974,1),"")</f>
        <v/>
      </c>
      <c r="V974" s="39" t="str">
        <f>IF($B974="","",IF(COUNTIF($B$2:$B974,$B974)=1,1,0))</f>
        <v/>
      </c>
      <c r="W974" s="39" t="str">
        <f>IF($V974=1,COUNTIF($V$2:$V974,1),"")</f>
        <v/>
      </c>
      <c r="X974" s="39" t="str">
        <f>IF($A974="","",IF(COUNTIF($A$2:$A974,$A974)=1,1,0))</f>
        <v/>
      </c>
      <c r="Y974" s="39" t="str">
        <f>IF($X974=1,COUNTIF($X$2:$X974,1),"")</f>
        <v/>
      </c>
      <c r="Z974" s="39">
        <f>IF(AND($E974="timed",$N974&gt;Settings!$C$8),1,0)</f>
        <v>0</v>
      </c>
      <c r="AA974" s="39">
        <f t="shared" si="274"/>
        <v>0</v>
      </c>
      <c r="AB974" s="39">
        <f t="shared" si="275"/>
        <v>0</v>
      </c>
      <c r="AC974" s="39" t="str">
        <f t="shared" si="276"/>
        <v/>
      </c>
      <c r="AD974" s="39" t="str">
        <f t="shared" si="277"/>
        <v/>
      </c>
      <c r="AE974" s="39" t="str">
        <f t="shared" si="278"/>
        <v/>
      </c>
      <c r="AF974" s="106" t="str">
        <f t="shared" si="279"/>
        <v/>
      </c>
      <c r="AG974" s="39">
        <f t="shared" si="280"/>
        <v>0</v>
      </c>
      <c r="AH974" s="39" t="str">
        <f t="shared" si="281"/>
        <v/>
      </c>
      <c r="AI974" s="39">
        <f>IF(AND($E974="timed",$N974&gt;=Settings!$C$9),1,0)</f>
        <v>0</v>
      </c>
      <c r="AJ974" s="39" t="str">
        <f>IF(OR($S974="",Settings!$C$16=""),"",IF($S974&lt;=Settings!$C$16,1,2))</f>
        <v/>
      </c>
      <c r="AK974" s="39" t="str">
        <f>IF($C974="","",IFERROR(IF(INDEX(Settings!$C$20:$C$59,MATCH($C974,Settings!$B$20:$B$59,0))="",Settings!$C$10,INDEX(Settings!$C$20:$C$59,MATCH($C974,Settings!$B$20:$B$59,0))),Settings!$C$10))</f>
        <v/>
      </c>
      <c r="AL974" s="108">
        <f t="shared" si="282"/>
        <v>0</v>
      </c>
      <c r="AM974" s="39" t="str">
        <f t="shared" si="283"/>
        <v/>
      </c>
      <c r="AN974" s="39" t="str">
        <f t="shared" si="284"/>
        <v/>
      </c>
      <c r="AO974" s="39" t="str">
        <f t="shared" si="285"/>
        <v/>
      </c>
      <c r="AP974" s="39">
        <f t="shared" si="286"/>
        <v>0</v>
      </c>
      <c r="AQ974" s="39">
        <f t="shared" si="287"/>
        <v>0</v>
      </c>
    </row>
    <row r="975" spans="14:43" x14ac:dyDescent="0.25">
      <c r="N975" s="105">
        <f t="shared" si="270"/>
        <v>0</v>
      </c>
      <c r="O975" s="106" t="str">
        <f>IF($F975="","",IF(ISNUMBER($F975),$F975+Settings!$C$7/24,IFERROR(DATEVALUE(LEFT($F975,10))+TIMEVALUE(MID($F975,12,8))+Settings!$C$7/24,"")))</f>
        <v/>
      </c>
      <c r="P975" s="106" t="str">
        <f>IF($G975="","",IF(ISNUMBER($G975),$G975+Settings!$C$7/24,IFERROR(DATEVALUE(LEFT($G975,10))+TIMEVALUE(MID($G975,12,8))+Settings!$C$7/24,"")))</f>
        <v/>
      </c>
      <c r="Q975" s="39" t="str">
        <f t="shared" si="271"/>
        <v/>
      </c>
      <c r="R975" s="39" t="str">
        <f t="shared" si="272"/>
        <v/>
      </c>
      <c r="S975" s="107" t="str">
        <f t="shared" si="273"/>
        <v/>
      </c>
      <c r="T975" s="39" t="str">
        <f>IF($C975="","",IF(COUNTIF($C$2:$C975,$C975)=1,1,0))</f>
        <v/>
      </c>
      <c r="U975" s="39" t="str">
        <f>IF($T975=1,COUNTIF($T$2:$T975,1),"")</f>
        <v/>
      </c>
      <c r="V975" s="39" t="str">
        <f>IF($B975="","",IF(COUNTIF($B$2:$B975,$B975)=1,1,0))</f>
        <v/>
      </c>
      <c r="W975" s="39" t="str">
        <f>IF($V975=1,COUNTIF($V$2:$V975,1),"")</f>
        <v/>
      </c>
      <c r="X975" s="39" t="str">
        <f>IF($A975="","",IF(COUNTIF($A$2:$A975,$A975)=1,1,0))</f>
        <v/>
      </c>
      <c r="Y975" s="39" t="str">
        <f>IF($X975=1,COUNTIF($X$2:$X975,1),"")</f>
        <v/>
      </c>
      <c r="Z975" s="39">
        <f>IF(AND($E975="timed",$N975&gt;Settings!$C$8),1,0)</f>
        <v>0</v>
      </c>
      <c r="AA975" s="39">
        <f t="shared" si="274"/>
        <v>0</v>
      </c>
      <c r="AB975" s="39">
        <f t="shared" si="275"/>
        <v>0</v>
      </c>
      <c r="AC975" s="39" t="str">
        <f t="shared" si="276"/>
        <v/>
      </c>
      <c r="AD975" s="39" t="str">
        <f t="shared" si="277"/>
        <v/>
      </c>
      <c r="AE975" s="39" t="str">
        <f t="shared" si="278"/>
        <v/>
      </c>
      <c r="AF975" s="106" t="str">
        <f t="shared" si="279"/>
        <v/>
      </c>
      <c r="AG975" s="39">
        <f t="shared" si="280"/>
        <v>0</v>
      </c>
      <c r="AH975" s="39" t="str">
        <f t="shared" si="281"/>
        <v/>
      </c>
      <c r="AI975" s="39">
        <f>IF(AND($E975="timed",$N975&gt;=Settings!$C$9),1,0)</f>
        <v>0</v>
      </c>
      <c r="AJ975" s="39" t="str">
        <f>IF(OR($S975="",Settings!$C$16=""),"",IF($S975&lt;=Settings!$C$16,1,2))</f>
        <v/>
      </c>
      <c r="AK975" s="39" t="str">
        <f>IF($C975="","",IFERROR(IF(INDEX(Settings!$C$20:$C$59,MATCH($C975,Settings!$B$20:$B$59,0))="",Settings!$C$10,INDEX(Settings!$C$20:$C$59,MATCH($C975,Settings!$B$20:$B$59,0))),Settings!$C$10))</f>
        <v/>
      </c>
      <c r="AL975" s="108">
        <f t="shared" si="282"/>
        <v>0</v>
      </c>
      <c r="AM975" s="39" t="str">
        <f t="shared" si="283"/>
        <v/>
      </c>
      <c r="AN975" s="39" t="str">
        <f t="shared" si="284"/>
        <v/>
      </c>
      <c r="AO975" s="39" t="str">
        <f t="shared" si="285"/>
        <v/>
      </c>
      <c r="AP975" s="39">
        <f t="shared" si="286"/>
        <v>0</v>
      </c>
      <c r="AQ975" s="39">
        <f t="shared" si="287"/>
        <v>0</v>
      </c>
    </row>
    <row r="976" spans="14:43" x14ac:dyDescent="0.25">
      <c r="N976" s="105">
        <f t="shared" si="270"/>
        <v>0</v>
      </c>
      <c r="O976" s="106" t="str">
        <f>IF($F976="","",IF(ISNUMBER($F976),$F976+Settings!$C$7/24,IFERROR(DATEVALUE(LEFT($F976,10))+TIMEVALUE(MID($F976,12,8))+Settings!$C$7/24,"")))</f>
        <v/>
      </c>
      <c r="P976" s="106" t="str">
        <f>IF($G976="","",IF(ISNUMBER($G976),$G976+Settings!$C$7/24,IFERROR(DATEVALUE(LEFT($G976,10))+TIMEVALUE(MID($G976,12,8))+Settings!$C$7/24,"")))</f>
        <v/>
      </c>
      <c r="Q976" s="39" t="str">
        <f t="shared" si="271"/>
        <v/>
      </c>
      <c r="R976" s="39" t="str">
        <f t="shared" si="272"/>
        <v/>
      </c>
      <c r="S976" s="107" t="str">
        <f t="shared" si="273"/>
        <v/>
      </c>
      <c r="T976" s="39" t="str">
        <f>IF($C976="","",IF(COUNTIF($C$2:$C976,$C976)=1,1,0))</f>
        <v/>
      </c>
      <c r="U976" s="39" t="str">
        <f>IF($T976=1,COUNTIF($T$2:$T976,1),"")</f>
        <v/>
      </c>
      <c r="V976" s="39" t="str">
        <f>IF($B976="","",IF(COUNTIF($B$2:$B976,$B976)=1,1,0))</f>
        <v/>
      </c>
      <c r="W976" s="39" t="str">
        <f>IF($V976=1,COUNTIF($V$2:$V976,1),"")</f>
        <v/>
      </c>
      <c r="X976" s="39" t="str">
        <f>IF($A976="","",IF(COUNTIF($A$2:$A976,$A976)=1,1,0))</f>
        <v/>
      </c>
      <c r="Y976" s="39" t="str">
        <f>IF($X976=1,COUNTIF($X$2:$X976,1),"")</f>
        <v/>
      </c>
      <c r="Z976" s="39">
        <f>IF(AND($E976="timed",$N976&gt;Settings!$C$8),1,0)</f>
        <v>0</v>
      </c>
      <c r="AA976" s="39">
        <f t="shared" si="274"/>
        <v>0</v>
      </c>
      <c r="AB976" s="39">
        <f t="shared" si="275"/>
        <v>0</v>
      </c>
      <c r="AC976" s="39" t="str">
        <f t="shared" si="276"/>
        <v/>
      </c>
      <c r="AD976" s="39" t="str">
        <f t="shared" si="277"/>
        <v/>
      </c>
      <c r="AE976" s="39" t="str">
        <f t="shared" si="278"/>
        <v/>
      </c>
      <c r="AF976" s="106" t="str">
        <f t="shared" si="279"/>
        <v/>
      </c>
      <c r="AG976" s="39">
        <f t="shared" si="280"/>
        <v>0</v>
      </c>
      <c r="AH976" s="39" t="str">
        <f t="shared" si="281"/>
        <v/>
      </c>
      <c r="AI976" s="39">
        <f>IF(AND($E976="timed",$N976&gt;=Settings!$C$9),1,0)</f>
        <v>0</v>
      </c>
      <c r="AJ976" s="39" t="str">
        <f>IF(OR($S976="",Settings!$C$16=""),"",IF($S976&lt;=Settings!$C$16,1,2))</f>
        <v/>
      </c>
      <c r="AK976" s="39" t="str">
        <f>IF($C976="","",IFERROR(IF(INDEX(Settings!$C$20:$C$59,MATCH($C976,Settings!$B$20:$B$59,0))="",Settings!$C$10,INDEX(Settings!$C$20:$C$59,MATCH($C976,Settings!$B$20:$B$59,0))),Settings!$C$10))</f>
        <v/>
      </c>
      <c r="AL976" s="108">
        <f t="shared" si="282"/>
        <v>0</v>
      </c>
      <c r="AM976" s="39" t="str">
        <f t="shared" si="283"/>
        <v/>
      </c>
      <c r="AN976" s="39" t="str">
        <f t="shared" si="284"/>
        <v/>
      </c>
      <c r="AO976" s="39" t="str">
        <f t="shared" si="285"/>
        <v/>
      </c>
      <c r="AP976" s="39">
        <f t="shared" si="286"/>
        <v>0</v>
      </c>
      <c r="AQ976" s="39">
        <f t="shared" si="287"/>
        <v>0</v>
      </c>
    </row>
    <row r="977" spans="14:43" x14ac:dyDescent="0.25">
      <c r="N977" s="105">
        <f t="shared" si="270"/>
        <v>0</v>
      </c>
      <c r="O977" s="106" t="str">
        <f>IF($F977="","",IF(ISNUMBER($F977),$F977+Settings!$C$7/24,IFERROR(DATEVALUE(LEFT($F977,10))+TIMEVALUE(MID($F977,12,8))+Settings!$C$7/24,"")))</f>
        <v/>
      </c>
      <c r="P977" s="106" t="str">
        <f>IF($G977="","",IF(ISNUMBER($G977),$G977+Settings!$C$7/24,IFERROR(DATEVALUE(LEFT($G977,10))+TIMEVALUE(MID($G977,12,8))+Settings!$C$7/24,"")))</f>
        <v/>
      </c>
      <c r="Q977" s="39" t="str">
        <f t="shared" si="271"/>
        <v/>
      </c>
      <c r="R977" s="39" t="str">
        <f t="shared" si="272"/>
        <v/>
      </c>
      <c r="S977" s="107" t="str">
        <f t="shared" si="273"/>
        <v/>
      </c>
      <c r="T977" s="39" t="str">
        <f>IF($C977="","",IF(COUNTIF($C$2:$C977,$C977)=1,1,0))</f>
        <v/>
      </c>
      <c r="U977" s="39" t="str">
        <f>IF($T977=1,COUNTIF($T$2:$T977,1),"")</f>
        <v/>
      </c>
      <c r="V977" s="39" t="str">
        <f>IF($B977="","",IF(COUNTIF($B$2:$B977,$B977)=1,1,0))</f>
        <v/>
      </c>
      <c r="W977" s="39" t="str">
        <f>IF($V977=1,COUNTIF($V$2:$V977,1),"")</f>
        <v/>
      </c>
      <c r="X977" s="39" t="str">
        <f>IF($A977="","",IF(COUNTIF($A$2:$A977,$A977)=1,1,0))</f>
        <v/>
      </c>
      <c r="Y977" s="39" t="str">
        <f>IF($X977=1,COUNTIF($X$2:$X977,1),"")</f>
        <v/>
      </c>
      <c r="Z977" s="39">
        <f>IF(AND($E977="timed",$N977&gt;Settings!$C$8),1,0)</f>
        <v>0</v>
      </c>
      <c r="AA977" s="39">
        <f t="shared" si="274"/>
        <v>0</v>
      </c>
      <c r="AB977" s="39">
        <f t="shared" si="275"/>
        <v>0</v>
      </c>
      <c r="AC977" s="39" t="str">
        <f t="shared" si="276"/>
        <v/>
      </c>
      <c r="AD977" s="39" t="str">
        <f t="shared" si="277"/>
        <v/>
      </c>
      <c r="AE977" s="39" t="str">
        <f t="shared" si="278"/>
        <v/>
      </c>
      <c r="AF977" s="106" t="str">
        <f t="shared" si="279"/>
        <v/>
      </c>
      <c r="AG977" s="39">
        <f t="shared" si="280"/>
        <v>0</v>
      </c>
      <c r="AH977" s="39" t="str">
        <f t="shared" si="281"/>
        <v/>
      </c>
      <c r="AI977" s="39">
        <f>IF(AND($E977="timed",$N977&gt;=Settings!$C$9),1,0)</f>
        <v>0</v>
      </c>
      <c r="AJ977" s="39" t="str">
        <f>IF(OR($S977="",Settings!$C$16=""),"",IF($S977&lt;=Settings!$C$16,1,2))</f>
        <v/>
      </c>
      <c r="AK977" s="39" t="str">
        <f>IF($C977="","",IFERROR(IF(INDEX(Settings!$C$20:$C$59,MATCH($C977,Settings!$B$20:$B$59,0))="",Settings!$C$10,INDEX(Settings!$C$20:$C$59,MATCH($C977,Settings!$B$20:$B$59,0))),Settings!$C$10))</f>
        <v/>
      </c>
      <c r="AL977" s="108">
        <f t="shared" si="282"/>
        <v>0</v>
      </c>
      <c r="AM977" s="39" t="str">
        <f t="shared" si="283"/>
        <v/>
      </c>
      <c r="AN977" s="39" t="str">
        <f t="shared" si="284"/>
        <v/>
      </c>
      <c r="AO977" s="39" t="str">
        <f t="shared" si="285"/>
        <v/>
      </c>
      <c r="AP977" s="39">
        <f t="shared" si="286"/>
        <v>0</v>
      </c>
      <c r="AQ977" s="39">
        <f t="shared" si="287"/>
        <v>0</v>
      </c>
    </row>
    <row r="978" spans="14:43" x14ac:dyDescent="0.25">
      <c r="N978" s="105">
        <f t="shared" si="270"/>
        <v>0</v>
      </c>
      <c r="O978" s="106" t="str">
        <f>IF($F978="","",IF(ISNUMBER($F978),$F978+Settings!$C$7/24,IFERROR(DATEVALUE(LEFT($F978,10))+TIMEVALUE(MID($F978,12,8))+Settings!$C$7/24,"")))</f>
        <v/>
      </c>
      <c r="P978" s="106" t="str">
        <f>IF($G978="","",IF(ISNUMBER($G978),$G978+Settings!$C$7/24,IFERROR(DATEVALUE(LEFT($G978,10))+TIMEVALUE(MID($G978,12,8))+Settings!$C$7/24,"")))</f>
        <v/>
      </c>
      <c r="Q978" s="39" t="str">
        <f t="shared" si="271"/>
        <v/>
      </c>
      <c r="R978" s="39" t="str">
        <f t="shared" si="272"/>
        <v/>
      </c>
      <c r="S978" s="107" t="str">
        <f t="shared" si="273"/>
        <v/>
      </c>
      <c r="T978" s="39" t="str">
        <f>IF($C978="","",IF(COUNTIF($C$2:$C978,$C978)=1,1,0))</f>
        <v/>
      </c>
      <c r="U978" s="39" t="str">
        <f>IF($T978=1,COUNTIF($T$2:$T978,1),"")</f>
        <v/>
      </c>
      <c r="V978" s="39" t="str">
        <f>IF($B978="","",IF(COUNTIF($B$2:$B978,$B978)=1,1,0))</f>
        <v/>
      </c>
      <c r="W978" s="39" t="str">
        <f>IF($V978=1,COUNTIF($V$2:$V978,1),"")</f>
        <v/>
      </c>
      <c r="X978" s="39" t="str">
        <f>IF($A978="","",IF(COUNTIF($A$2:$A978,$A978)=1,1,0))</f>
        <v/>
      </c>
      <c r="Y978" s="39" t="str">
        <f>IF($X978=1,COUNTIF($X$2:$X978,1),"")</f>
        <v/>
      </c>
      <c r="Z978" s="39">
        <f>IF(AND($E978="timed",$N978&gt;Settings!$C$8),1,0)</f>
        <v>0</v>
      </c>
      <c r="AA978" s="39">
        <f t="shared" si="274"/>
        <v>0</v>
      </c>
      <c r="AB978" s="39">
        <f t="shared" si="275"/>
        <v>0</v>
      </c>
      <c r="AC978" s="39" t="str">
        <f t="shared" si="276"/>
        <v/>
      </c>
      <c r="AD978" s="39" t="str">
        <f t="shared" si="277"/>
        <v/>
      </c>
      <c r="AE978" s="39" t="str">
        <f t="shared" si="278"/>
        <v/>
      </c>
      <c r="AF978" s="106" t="str">
        <f t="shared" si="279"/>
        <v/>
      </c>
      <c r="AG978" s="39">
        <f t="shared" si="280"/>
        <v>0</v>
      </c>
      <c r="AH978" s="39" t="str">
        <f t="shared" si="281"/>
        <v/>
      </c>
      <c r="AI978" s="39">
        <f>IF(AND($E978="timed",$N978&gt;=Settings!$C$9),1,0)</f>
        <v>0</v>
      </c>
      <c r="AJ978" s="39" t="str">
        <f>IF(OR($S978="",Settings!$C$16=""),"",IF($S978&lt;=Settings!$C$16,1,2))</f>
        <v/>
      </c>
      <c r="AK978" s="39" t="str">
        <f>IF($C978="","",IFERROR(IF(INDEX(Settings!$C$20:$C$59,MATCH($C978,Settings!$B$20:$B$59,0))="",Settings!$C$10,INDEX(Settings!$C$20:$C$59,MATCH($C978,Settings!$B$20:$B$59,0))),Settings!$C$10))</f>
        <v/>
      </c>
      <c r="AL978" s="108">
        <f t="shared" si="282"/>
        <v>0</v>
      </c>
      <c r="AM978" s="39" t="str">
        <f t="shared" si="283"/>
        <v/>
      </c>
      <c r="AN978" s="39" t="str">
        <f t="shared" si="284"/>
        <v/>
      </c>
      <c r="AO978" s="39" t="str">
        <f t="shared" si="285"/>
        <v/>
      </c>
      <c r="AP978" s="39">
        <f t="shared" si="286"/>
        <v>0</v>
      </c>
      <c r="AQ978" s="39">
        <f t="shared" si="287"/>
        <v>0</v>
      </c>
    </row>
    <row r="979" spans="14:43" x14ac:dyDescent="0.25">
      <c r="N979" s="105">
        <f t="shared" si="270"/>
        <v>0</v>
      </c>
      <c r="O979" s="106" t="str">
        <f>IF($F979="","",IF(ISNUMBER($F979),$F979+Settings!$C$7/24,IFERROR(DATEVALUE(LEFT($F979,10))+TIMEVALUE(MID($F979,12,8))+Settings!$C$7/24,"")))</f>
        <v/>
      </c>
      <c r="P979" s="106" t="str">
        <f>IF($G979="","",IF(ISNUMBER($G979),$G979+Settings!$C$7/24,IFERROR(DATEVALUE(LEFT($G979,10))+TIMEVALUE(MID($G979,12,8))+Settings!$C$7/24,"")))</f>
        <v/>
      </c>
      <c r="Q979" s="39" t="str">
        <f t="shared" si="271"/>
        <v/>
      </c>
      <c r="R979" s="39" t="str">
        <f t="shared" si="272"/>
        <v/>
      </c>
      <c r="S979" s="107" t="str">
        <f t="shared" si="273"/>
        <v/>
      </c>
      <c r="T979" s="39" t="str">
        <f>IF($C979="","",IF(COUNTIF($C$2:$C979,$C979)=1,1,0))</f>
        <v/>
      </c>
      <c r="U979" s="39" t="str">
        <f>IF($T979=1,COUNTIF($T$2:$T979,1),"")</f>
        <v/>
      </c>
      <c r="V979" s="39" t="str">
        <f>IF($B979="","",IF(COUNTIF($B$2:$B979,$B979)=1,1,0))</f>
        <v/>
      </c>
      <c r="W979" s="39" t="str">
        <f>IF($V979=1,COUNTIF($V$2:$V979,1),"")</f>
        <v/>
      </c>
      <c r="X979" s="39" t="str">
        <f>IF($A979="","",IF(COUNTIF($A$2:$A979,$A979)=1,1,0))</f>
        <v/>
      </c>
      <c r="Y979" s="39" t="str">
        <f>IF($X979=1,COUNTIF($X$2:$X979,1),"")</f>
        <v/>
      </c>
      <c r="Z979" s="39">
        <f>IF(AND($E979="timed",$N979&gt;Settings!$C$8),1,0)</f>
        <v>0</v>
      </c>
      <c r="AA979" s="39">
        <f t="shared" si="274"/>
        <v>0</v>
      </c>
      <c r="AB979" s="39">
        <f t="shared" si="275"/>
        <v>0</v>
      </c>
      <c r="AC979" s="39" t="str">
        <f t="shared" si="276"/>
        <v/>
      </c>
      <c r="AD979" s="39" t="str">
        <f t="shared" si="277"/>
        <v/>
      </c>
      <c r="AE979" s="39" t="str">
        <f t="shared" si="278"/>
        <v/>
      </c>
      <c r="AF979" s="106" t="str">
        <f t="shared" si="279"/>
        <v/>
      </c>
      <c r="AG979" s="39">
        <f t="shared" si="280"/>
        <v>0</v>
      </c>
      <c r="AH979" s="39" t="str">
        <f t="shared" si="281"/>
        <v/>
      </c>
      <c r="AI979" s="39">
        <f>IF(AND($E979="timed",$N979&gt;=Settings!$C$9),1,0)</f>
        <v>0</v>
      </c>
      <c r="AJ979" s="39" t="str">
        <f>IF(OR($S979="",Settings!$C$16=""),"",IF($S979&lt;=Settings!$C$16,1,2))</f>
        <v/>
      </c>
      <c r="AK979" s="39" t="str">
        <f>IF($C979="","",IFERROR(IF(INDEX(Settings!$C$20:$C$59,MATCH($C979,Settings!$B$20:$B$59,0))="",Settings!$C$10,INDEX(Settings!$C$20:$C$59,MATCH($C979,Settings!$B$20:$B$59,0))),Settings!$C$10))</f>
        <v/>
      </c>
      <c r="AL979" s="108">
        <f t="shared" si="282"/>
        <v>0</v>
      </c>
      <c r="AM979" s="39" t="str">
        <f t="shared" si="283"/>
        <v/>
      </c>
      <c r="AN979" s="39" t="str">
        <f t="shared" si="284"/>
        <v/>
      </c>
      <c r="AO979" s="39" t="str">
        <f t="shared" si="285"/>
        <v/>
      </c>
      <c r="AP979" s="39">
        <f t="shared" si="286"/>
        <v>0</v>
      </c>
      <c r="AQ979" s="39">
        <f t="shared" si="287"/>
        <v>0</v>
      </c>
    </row>
    <row r="980" spans="14:43" x14ac:dyDescent="0.25">
      <c r="N980" s="105">
        <f t="shared" si="270"/>
        <v>0</v>
      </c>
      <c r="O980" s="106" t="str">
        <f>IF($F980="","",IF(ISNUMBER($F980),$F980+Settings!$C$7/24,IFERROR(DATEVALUE(LEFT($F980,10))+TIMEVALUE(MID($F980,12,8))+Settings!$C$7/24,"")))</f>
        <v/>
      </c>
      <c r="P980" s="106" t="str">
        <f>IF($G980="","",IF(ISNUMBER($G980),$G980+Settings!$C$7/24,IFERROR(DATEVALUE(LEFT($G980,10))+TIMEVALUE(MID($G980,12,8))+Settings!$C$7/24,"")))</f>
        <v/>
      </c>
      <c r="Q980" s="39" t="str">
        <f t="shared" si="271"/>
        <v/>
      </c>
      <c r="R980" s="39" t="str">
        <f t="shared" si="272"/>
        <v/>
      </c>
      <c r="S980" s="107" t="str">
        <f t="shared" si="273"/>
        <v/>
      </c>
      <c r="T980" s="39" t="str">
        <f>IF($C980="","",IF(COUNTIF($C$2:$C980,$C980)=1,1,0))</f>
        <v/>
      </c>
      <c r="U980" s="39" t="str">
        <f>IF($T980=1,COUNTIF($T$2:$T980,1),"")</f>
        <v/>
      </c>
      <c r="V980" s="39" t="str">
        <f>IF($B980="","",IF(COUNTIF($B$2:$B980,$B980)=1,1,0))</f>
        <v/>
      </c>
      <c r="W980" s="39" t="str">
        <f>IF($V980=1,COUNTIF($V$2:$V980,1),"")</f>
        <v/>
      </c>
      <c r="X980" s="39" t="str">
        <f>IF($A980="","",IF(COUNTIF($A$2:$A980,$A980)=1,1,0))</f>
        <v/>
      </c>
      <c r="Y980" s="39" t="str">
        <f>IF($X980=1,COUNTIF($X$2:$X980,1),"")</f>
        <v/>
      </c>
      <c r="Z980" s="39">
        <f>IF(AND($E980="timed",$N980&gt;Settings!$C$8),1,0)</f>
        <v>0</v>
      </c>
      <c r="AA980" s="39">
        <f t="shared" si="274"/>
        <v>0</v>
      </c>
      <c r="AB980" s="39">
        <f t="shared" si="275"/>
        <v>0</v>
      </c>
      <c r="AC980" s="39" t="str">
        <f t="shared" si="276"/>
        <v/>
      </c>
      <c r="AD980" s="39" t="str">
        <f t="shared" si="277"/>
        <v/>
      </c>
      <c r="AE980" s="39" t="str">
        <f t="shared" si="278"/>
        <v/>
      </c>
      <c r="AF980" s="106" t="str">
        <f t="shared" si="279"/>
        <v/>
      </c>
      <c r="AG980" s="39">
        <f t="shared" si="280"/>
        <v>0</v>
      </c>
      <c r="AH980" s="39" t="str">
        <f t="shared" si="281"/>
        <v/>
      </c>
      <c r="AI980" s="39">
        <f>IF(AND($E980="timed",$N980&gt;=Settings!$C$9),1,0)</f>
        <v>0</v>
      </c>
      <c r="AJ980" s="39" t="str">
        <f>IF(OR($S980="",Settings!$C$16=""),"",IF($S980&lt;=Settings!$C$16,1,2))</f>
        <v/>
      </c>
      <c r="AK980" s="39" t="str">
        <f>IF($C980="","",IFERROR(IF(INDEX(Settings!$C$20:$C$59,MATCH($C980,Settings!$B$20:$B$59,0))="",Settings!$C$10,INDEX(Settings!$C$20:$C$59,MATCH($C980,Settings!$B$20:$B$59,0))),Settings!$C$10))</f>
        <v/>
      </c>
      <c r="AL980" s="108">
        <f t="shared" si="282"/>
        <v>0</v>
      </c>
      <c r="AM980" s="39" t="str">
        <f t="shared" si="283"/>
        <v/>
      </c>
      <c r="AN980" s="39" t="str">
        <f t="shared" si="284"/>
        <v/>
      </c>
      <c r="AO980" s="39" t="str">
        <f t="shared" si="285"/>
        <v/>
      </c>
      <c r="AP980" s="39">
        <f t="shared" si="286"/>
        <v>0</v>
      </c>
      <c r="AQ980" s="39">
        <f t="shared" si="287"/>
        <v>0</v>
      </c>
    </row>
    <row r="981" spans="14:43" x14ac:dyDescent="0.25">
      <c r="N981" s="105">
        <f t="shared" si="270"/>
        <v>0</v>
      </c>
      <c r="O981" s="106" t="str">
        <f>IF($F981="","",IF(ISNUMBER($F981),$F981+Settings!$C$7/24,IFERROR(DATEVALUE(LEFT($F981,10))+TIMEVALUE(MID($F981,12,8))+Settings!$C$7/24,"")))</f>
        <v/>
      </c>
      <c r="P981" s="106" t="str">
        <f>IF($G981="","",IF(ISNUMBER($G981),$G981+Settings!$C$7/24,IFERROR(DATEVALUE(LEFT($G981,10))+TIMEVALUE(MID($G981,12,8))+Settings!$C$7/24,"")))</f>
        <v/>
      </c>
      <c r="Q981" s="39" t="str">
        <f t="shared" si="271"/>
        <v/>
      </c>
      <c r="R981" s="39" t="str">
        <f t="shared" si="272"/>
        <v/>
      </c>
      <c r="S981" s="107" t="str">
        <f t="shared" si="273"/>
        <v/>
      </c>
      <c r="T981" s="39" t="str">
        <f>IF($C981="","",IF(COUNTIF($C$2:$C981,$C981)=1,1,0))</f>
        <v/>
      </c>
      <c r="U981" s="39" t="str">
        <f>IF($T981=1,COUNTIF($T$2:$T981,1),"")</f>
        <v/>
      </c>
      <c r="V981" s="39" t="str">
        <f>IF($B981="","",IF(COUNTIF($B$2:$B981,$B981)=1,1,0))</f>
        <v/>
      </c>
      <c r="W981" s="39" t="str">
        <f>IF($V981=1,COUNTIF($V$2:$V981,1),"")</f>
        <v/>
      </c>
      <c r="X981" s="39" t="str">
        <f>IF($A981="","",IF(COUNTIF($A$2:$A981,$A981)=1,1,0))</f>
        <v/>
      </c>
      <c r="Y981" s="39" t="str">
        <f>IF($X981=1,COUNTIF($X$2:$X981,1),"")</f>
        <v/>
      </c>
      <c r="Z981" s="39">
        <f>IF(AND($E981="timed",$N981&gt;Settings!$C$8),1,0)</f>
        <v>0</v>
      </c>
      <c r="AA981" s="39">
        <f t="shared" si="274"/>
        <v>0</v>
      </c>
      <c r="AB981" s="39">
        <f t="shared" si="275"/>
        <v>0</v>
      </c>
      <c r="AC981" s="39" t="str">
        <f t="shared" si="276"/>
        <v/>
      </c>
      <c r="AD981" s="39" t="str">
        <f t="shared" si="277"/>
        <v/>
      </c>
      <c r="AE981" s="39" t="str">
        <f t="shared" si="278"/>
        <v/>
      </c>
      <c r="AF981" s="106" t="str">
        <f t="shared" si="279"/>
        <v/>
      </c>
      <c r="AG981" s="39">
        <f t="shared" si="280"/>
        <v>0</v>
      </c>
      <c r="AH981" s="39" t="str">
        <f t="shared" si="281"/>
        <v/>
      </c>
      <c r="AI981" s="39">
        <f>IF(AND($E981="timed",$N981&gt;=Settings!$C$9),1,0)</f>
        <v>0</v>
      </c>
      <c r="AJ981" s="39" t="str">
        <f>IF(OR($S981="",Settings!$C$16=""),"",IF($S981&lt;=Settings!$C$16,1,2))</f>
        <v/>
      </c>
      <c r="AK981" s="39" t="str">
        <f>IF($C981="","",IFERROR(IF(INDEX(Settings!$C$20:$C$59,MATCH($C981,Settings!$B$20:$B$59,0))="",Settings!$C$10,INDEX(Settings!$C$20:$C$59,MATCH($C981,Settings!$B$20:$B$59,0))),Settings!$C$10))</f>
        <v/>
      </c>
      <c r="AL981" s="108">
        <f t="shared" si="282"/>
        <v>0</v>
      </c>
      <c r="AM981" s="39" t="str">
        <f t="shared" si="283"/>
        <v/>
      </c>
      <c r="AN981" s="39" t="str">
        <f t="shared" si="284"/>
        <v/>
      </c>
      <c r="AO981" s="39" t="str">
        <f t="shared" si="285"/>
        <v/>
      </c>
      <c r="AP981" s="39">
        <f t="shared" si="286"/>
        <v>0</v>
      </c>
      <c r="AQ981" s="39">
        <f t="shared" si="287"/>
        <v>0</v>
      </c>
    </row>
    <row r="982" spans="14:43" x14ac:dyDescent="0.25">
      <c r="N982" s="105">
        <f t="shared" si="270"/>
        <v>0</v>
      </c>
      <c r="O982" s="106" t="str">
        <f>IF($F982="","",IF(ISNUMBER($F982),$F982+Settings!$C$7/24,IFERROR(DATEVALUE(LEFT($F982,10))+TIMEVALUE(MID($F982,12,8))+Settings!$C$7/24,"")))</f>
        <v/>
      </c>
      <c r="P982" s="106" t="str">
        <f>IF($G982="","",IF(ISNUMBER($G982),$G982+Settings!$C$7/24,IFERROR(DATEVALUE(LEFT($G982,10))+TIMEVALUE(MID($G982,12,8))+Settings!$C$7/24,"")))</f>
        <v/>
      </c>
      <c r="Q982" s="39" t="str">
        <f t="shared" si="271"/>
        <v/>
      </c>
      <c r="R982" s="39" t="str">
        <f t="shared" si="272"/>
        <v/>
      </c>
      <c r="S982" s="107" t="str">
        <f t="shared" si="273"/>
        <v/>
      </c>
      <c r="T982" s="39" t="str">
        <f>IF($C982="","",IF(COUNTIF($C$2:$C982,$C982)=1,1,0))</f>
        <v/>
      </c>
      <c r="U982" s="39" t="str">
        <f>IF($T982=1,COUNTIF($T$2:$T982,1),"")</f>
        <v/>
      </c>
      <c r="V982" s="39" t="str">
        <f>IF($B982="","",IF(COUNTIF($B$2:$B982,$B982)=1,1,0))</f>
        <v/>
      </c>
      <c r="W982" s="39" t="str">
        <f>IF($V982=1,COUNTIF($V$2:$V982,1),"")</f>
        <v/>
      </c>
      <c r="X982" s="39" t="str">
        <f>IF($A982="","",IF(COUNTIF($A$2:$A982,$A982)=1,1,0))</f>
        <v/>
      </c>
      <c r="Y982" s="39" t="str">
        <f>IF($X982=1,COUNTIF($X$2:$X982,1),"")</f>
        <v/>
      </c>
      <c r="Z982" s="39">
        <f>IF(AND($E982="timed",$N982&gt;Settings!$C$8),1,0)</f>
        <v>0</v>
      </c>
      <c r="AA982" s="39">
        <f t="shared" si="274"/>
        <v>0</v>
      </c>
      <c r="AB982" s="39">
        <f t="shared" si="275"/>
        <v>0</v>
      </c>
      <c r="AC982" s="39" t="str">
        <f t="shared" si="276"/>
        <v/>
      </c>
      <c r="AD982" s="39" t="str">
        <f t="shared" si="277"/>
        <v/>
      </c>
      <c r="AE982" s="39" t="str">
        <f t="shared" si="278"/>
        <v/>
      </c>
      <c r="AF982" s="106" t="str">
        <f t="shared" si="279"/>
        <v/>
      </c>
      <c r="AG982" s="39">
        <f t="shared" si="280"/>
        <v>0</v>
      </c>
      <c r="AH982" s="39" t="str">
        <f t="shared" si="281"/>
        <v/>
      </c>
      <c r="AI982" s="39">
        <f>IF(AND($E982="timed",$N982&gt;=Settings!$C$9),1,0)</f>
        <v>0</v>
      </c>
      <c r="AJ982" s="39" t="str">
        <f>IF(OR($S982="",Settings!$C$16=""),"",IF($S982&lt;=Settings!$C$16,1,2))</f>
        <v/>
      </c>
      <c r="AK982" s="39" t="str">
        <f>IF($C982="","",IFERROR(IF(INDEX(Settings!$C$20:$C$59,MATCH($C982,Settings!$B$20:$B$59,0))="",Settings!$C$10,INDEX(Settings!$C$20:$C$59,MATCH($C982,Settings!$B$20:$B$59,0))),Settings!$C$10))</f>
        <v/>
      </c>
      <c r="AL982" s="108">
        <f t="shared" si="282"/>
        <v>0</v>
      </c>
      <c r="AM982" s="39" t="str">
        <f t="shared" si="283"/>
        <v/>
      </c>
      <c r="AN982" s="39" t="str">
        <f t="shared" si="284"/>
        <v/>
      </c>
      <c r="AO982" s="39" t="str">
        <f t="shared" si="285"/>
        <v/>
      </c>
      <c r="AP982" s="39">
        <f t="shared" si="286"/>
        <v>0</v>
      </c>
      <c r="AQ982" s="39">
        <f t="shared" si="287"/>
        <v>0</v>
      </c>
    </row>
    <row r="983" spans="14:43" x14ac:dyDescent="0.25">
      <c r="N983" s="105">
        <f t="shared" si="270"/>
        <v>0</v>
      </c>
      <c r="O983" s="106" t="str">
        <f>IF($F983="","",IF(ISNUMBER($F983),$F983+Settings!$C$7/24,IFERROR(DATEVALUE(LEFT($F983,10))+TIMEVALUE(MID($F983,12,8))+Settings!$C$7/24,"")))</f>
        <v/>
      </c>
      <c r="P983" s="106" t="str">
        <f>IF($G983="","",IF(ISNUMBER($G983),$G983+Settings!$C$7/24,IFERROR(DATEVALUE(LEFT($G983,10))+TIMEVALUE(MID($G983,12,8))+Settings!$C$7/24,"")))</f>
        <v/>
      </c>
      <c r="Q983" s="39" t="str">
        <f t="shared" si="271"/>
        <v/>
      </c>
      <c r="R983" s="39" t="str">
        <f t="shared" si="272"/>
        <v/>
      </c>
      <c r="S983" s="107" t="str">
        <f t="shared" si="273"/>
        <v/>
      </c>
      <c r="T983" s="39" t="str">
        <f>IF($C983="","",IF(COUNTIF($C$2:$C983,$C983)=1,1,0))</f>
        <v/>
      </c>
      <c r="U983" s="39" t="str">
        <f>IF($T983=1,COUNTIF($T$2:$T983,1),"")</f>
        <v/>
      </c>
      <c r="V983" s="39" t="str">
        <f>IF($B983="","",IF(COUNTIF($B$2:$B983,$B983)=1,1,0))</f>
        <v/>
      </c>
      <c r="W983" s="39" t="str">
        <f>IF($V983=1,COUNTIF($V$2:$V983,1),"")</f>
        <v/>
      </c>
      <c r="X983" s="39" t="str">
        <f>IF($A983="","",IF(COUNTIF($A$2:$A983,$A983)=1,1,0))</f>
        <v/>
      </c>
      <c r="Y983" s="39" t="str">
        <f>IF($X983=1,COUNTIF($X$2:$X983,1),"")</f>
        <v/>
      </c>
      <c r="Z983" s="39">
        <f>IF(AND($E983="timed",$N983&gt;Settings!$C$8),1,0)</f>
        <v>0</v>
      </c>
      <c r="AA983" s="39">
        <f t="shared" si="274"/>
        <v>0</v>
      </c>
      <c r="AB983" s="39">
        <f t="shared" si="275"/>
        <v>0</v>
      </c>
      <c r="AC983" s="39" t="str">
        <f t="shared" si="276"/>
        <v/>
      </c>
      <c r="AD983" s="39" t="str">
        <f t="shared" si="277"/>
        <v/>
      </c>
      <c r="AE983" s="39" t="str">
        <f t="shared" si="278"/>
        <v/>
      </c>
      <c r="AF983" s="106" t="str">
        <f t="shared" si="279"/>
        <v/>
      </c>
      <c r="AG983" s="39">
        <f t="shared" si="280"/>
        <v>0</v>
      </c>
      <c r="AH983" s="39" t="str">
        <f t="shared" si="281"/>
        <v/>
      </c>
      <c r="AI983" s="39">
        <f>IF(AND($E983="timed",$N983&gt;=Settings!$C$9),1,0)</f>
        <v>0</v>
      </c>
      <c r="AJ983" s="39" t="str">
        <f>IF(OR($S983="",Settings!$C$16=""),"",IF($S983&lt;=Settings!$C$16,1,2))</f>
        <v/>
      </c>
      <c r="AK983" s="39" t="str">
        <f>IF($C983="","",IFERROR(IF(INDEX(Settings!$C$20:$C$59,MATCH($C983,Settings!$B$20:$B$59,0))="",Settings!$C$10,INDEX(Settings!$C$20:$C$59,MATCH($C983,Settings!$B$20:$B$59,0))),Settings!$C$10))</f>
        <v/>
      </c>
      <c r="AL983" s="108">
        <f t="shared" si="282"/>
        <v>0</v>
      </c>
      <c r="AM983" s="39" t="str">
        <f t="shared" si="283"/>
        <v/>
      </c>
      <c r="AN983" s="39" t="str">
        <f t="shared" si="284"/>
        <v/>
      </c>
      <c r="AO983" s="39" t="str">
        <f t="shared" si="285"/>
        <v/>
      </c>
      <c r="AP983" s="39">
        <f t="shared" si="286"/>
        <v>0</v>
      </c>
      <c r="AQ983" s="39">
        <f t="shared" si="287"/>
        <v>0</v>
      </c>
    </row>
    <row r="984" spans="14:43" x14ac:dyDescent="0.25">
      <c r="N984" s="105">
        <f t="shared" si="270"/>
        <v>0</v>
      </c>
      <c r="O984" s="106" t="str">
        <f>IF($F984="","",IF(ISNUMBER($F984),$F984+Settings!$C$7/24,IFERROR(DATEVALUE(LEFT($F984,10))+TIMEVALUE(MID($F984,12,8))+Settings!$C$7/24,"")))</f>
        <v/>
      </c>
      <c r="P984" s="106" t="str">
        <f>IF($G984="","",IF(ISNUMBER($G984),$G984+Settings!$C$7/24,IFERROR(DATEVALUE(LEFT($G984,10))+TIMEVALUE(MID($G984,12,8))+Settings!$C$7/24,"")))</f>
        <v/>
      </c>
      <c r="Q984" s="39" t="str">
        <f t="shared" si="271"/>
        <v/>
      </c>
      <c r="R984" s="39" t="str">
        <f t="shared" si="272"/>
        <v/>
      </c>
      <c r="S984" s="107" t="str">
        <f t="shared" si="273"/>
        <v/>
      </c>
      <c r="T984" s="39" t="str">
        <f>IF($C984="","",IF(COUNTIF($C$2:$C984,$C984)=1,1,0))</f>
        <v/>
      </c>
      <c r="U984" s="39" t="str">
        <f>IF($T984=1,COUNTIF($T$2:$T984,1),"")</f>
        <v/>
      </c>
      <c r="V984" s="39" t="str">
        <f>IF($B984="","",IF(COUNTIF($B$2:$B984,$B984)=1,1,0))</f>
        <v/>
      </c>
      <c r="W984" s="39" t="str">
        <f>IF($V984=1,COUNTIF($V$2:$V984,1),"")</f>
        <v/>
      </c>
      <c r="X984" s="39" t="str">
        <f>IF($A984="","",IF(COUNTIF($A$2:$A984,$A984)=1,1,0))</f>
        <v/>
      </c>
      <c r="Y984" s="39" t="str">
        <f>IF($X984=1,COUNTIF($X$2:$X984,1),"")</f>
        <v/>
      </c>
      <c r="Z984" s="39">
        <f>IF(AND($E984="timed",$N984&gt;Settings!$C$8),1,0)</f>
        <v>0</v>
      </c>
      <c r="AA984" s="39">
        <f t="shared" si="274"/>
        <v>0</v>
      </c>
      <c r="AB984" s="39">
        <f t="shared" si="275"/>
        <v>0</v>
      </c>
      <c r="AC984" s="39" t="str">
        <f t="shared" si="276"/>
        <v/>
      </c>
      <c r="AD984" s="39" t="str">
        <f t="shared" si="277"/>
        <v/>
      </c>
      <c r="AE984" s="39" t="str">
        <f t="shared" si="278"/>
        <v/>
      </c>
      <c r="AF984" s="106" t="str">
        <f t="shared" si="279"/>
        <v/>
      </c>
      <c r="AG984" s="39">
        <f t="shared" si="280"/>
        <v>0</v>
      </c>
      <c r="AH984" s="39" t="str">
        <f t="shared" si="281"/>
        <v/>
      </c>
      <c r="AI984" s="39">
        <f>IF(AND($E984="timed",$N984&gt;=Settings!$C$9),1,0)</f>
        <v>0</v>
      </c>
      <c r="AJ984" s="39" t="str">
        <f>IF(OR($S984="",Settings!$C$16=""),"",IF($S984&lt;=Settings!$C$16,1,2))</f>
        <v/>
      </c>
      <c r="AK984" s="39" t="str">
        <f>IF($C984="","",IFERROR(IF(INDEX(Settings!$C$20:$C$59,MATCH($C984,Settings!$B$20:$B$59,0))="",Settings!$C$10,INDEX(Settings!$C$20:$C$59,MATCH($C984,Settings!$B$20:$B$59,0))),Settings!$C$10))</f>
        <v/>
      </c>
      <c r="AL984" s="108">
        <f t="shared" si="282"/>
        <v>0</v>
      </c>
      <c r="AM984" s="39" t="str">
        <f t="shared" si="283"/>
        <v/>
      </c>
      <c r="AN984" s="39" t="str">
        <f t="shared" si="284"/>
        <v/>
      </c>
      <c r="AO984" s="39" t="str">
        <f t="shared" si="285"/>
        <v/>
      </c>
      <c r="AP984" s="39">
        <f t="shared" si="286"/>
        <v>0</v>
      </c>
      <c r="AQ984" s="39">
        <f t="shared" si="287"/>
        <v>0</v>
      </c>
    </row>
    <row r="985" spans="14:43" x14ac:dyDescent="0.25">
      <c r="N985" s="105">
        <f t="shared" si="270"/>
        <v>0</v>
      </c>
      <c r="O985" s="106" t="str">
        <f>IF($F985="","",IF(ISNUMBER($F985),$F985+Settings!$C$7/24,IFERROR(DATEVALUE(LEFT($F985,10))+TIMEVALUE(MID($F985,12,8))+Settings!$C$7/24,"")))</f>
        <v/>
      </c>
      <c r="P985" s="106" t="str">
        <f>IF($G985="","",IF(ISNUMBER($G985),$G985+Settings!$C$7/24,IFERROR(DATEVALUE(LEFT($G985,10))+TIMEVALUE(MID($G985,12,8))+Settings!$C$7/24,"")))</f>
        <v/>
      </c>
      <c r="Q985" s="39" t="str">
        <f t="shared" si="271"/>
        <v/>
      </c>
      <c r="R985" s="39" t="str">
        <f t="shared" si="272"/>
        <v/>
      </c>
      <c r="S985" s="107" t="str">
        <f t="shared" si="273"/>
        <v/>
      </c>
      <c r="T985" s="39" t="str">
        <f>IF($C985="","",IF(COUNTIF($C$2:$C985,$C985)=1,1,0))</f>
        <v/>
      </c>
      <c r="U985" s="39" t="str">
        <f>IF($T985=1,COUNTIF($T$2:$T985,1),"")</f>
        <v/>
      </c>
      <c r="V985" s="39" t="str">
        <f>IF($B985="","",IF(COUNTIF($B$2:$B985,$B985)=1,1,0))</f>
        <v/>
      </c>
      <c r="W985" s="39" t="str">
        <f>IF($V985=1,COUNTIF($V$2:$V985,1),"")</f>
        <v/>
      </c>
      <c r="X985" s="39" t="str">
        <f>IF($A985="","",IF(COUNTIF($A$2:$A985,$A985)=1,1,0))</f>
        <v/>
      </c>
      <c r="Y985" s="39" t="str">
        <f>IF($X985=1,COUNTIF($X$2:$X985,1),"")</f>
        <v/>
      </c>
      <c r="Z985" s="39">
        <f>IF(AND($E985="timed",$N985&gt;Settings!$C$8),1,0)</f>
        <v>0</v>
      </c>
      <c r="AA985" s="39">
        <f t="shared" si="274"/>
        <v>0</v>
      </c>
      <c r="AB985" s="39">
        <f t="shared" si="275"/>
        <v>0</v>
      </c>
      <c r="AC985" s="39" t="str">
        <f t="shared" si="276"/>
        <v/>
      </c>
      <c r="AD985" s="39" t="str">
        <f t="shared" si="277"/>
        <v/>
      </c>
      <c r="AE985" s="39" t="str">
        <f t="shared" si="278"/>
        <v/>
      </c>
      <c r="AF985" s="106" t="str">
        <f t="shared" si="279"/>
        <v/>
      </c>
      <c r="AG985" s="39">
        <f t="shared" si="280"/>
        <v>0</v>
      </c>
      <c r="AH985" s="39" t="str">
        <f t="shared" si="281"/>
        <v/>
      </c>
      <c r="AI985" s="39">
        <f>IF(AND($E985="timed",$N985&gt;=Settings!$C$9),1,0)</f>
        <v>0</v>
      </c>
      <c r="AJ985" s="39" t="str">
        <f>IF(OR($S985="",Settings!$C$16=""),"",IF($S985&lt;=Settings!$C$16,1,2))</f>
        <v/>
      </c>
      <c r="AK985" s="39" t="str">
        <f>IF($C985="","",IFERROR(IF(INDEX(Settings!$C$20:$C$59,MATCH($C985,Settings!$B$20:$B$59,0))="",Settings!$C$10,INDEX(Settings!$C$20:$C$59,MATCH($C985,Settings!$B$20:$B$59,0))),Settings!$C$10))</f>
        <v/>
      </c>
      <c r="AL985" s="108">
        <f t="shared" si="282"/>
        <v>0</v>
      </c>
      <c r="AM985" s="39" t="str">
        <f t="shared" si="283"/>
        <v/>
      </c>
      <c r="AN985" s="39" t="str">
        <f t="shared" si="284"/>
        <v/>
      </c>
      <c r="AO985" s="39" t="str">
        <f t="shared" si="285"/>
        <v/>
      </c>
      <c r="AP985" s="39">
        <f t="shared" si="286"/>
        <v>0</v>
      </c>
      <c r="AQ985" s="39">
        <f t="shared" si="287"/>
        <v>0</v>
      </c>
    </row>
    <row r="986" spans="14:43" x14ac:dyDescent="0.25">
      <c r="N986" s="105">
        <f t="shared" si="270"/>
        <v>0</v>
      </c>
      <c r="O986" s="106" t="str">
        <f>IF($F986="","",IF(ISNUMBER($F986),$F986+Settings!$C$7/24,IFERROR(DATEVALUE(LEFT($F986,10))+TIMEVALUE(MID($F986,12,8))+Settings!$C$7/24,"")))</f>
        <v/>
      </c>
      <c r="P986" s="106" t="str">
        <f>IF($G986="","",IF(ISNUMBER($G986),$G986+Settings!$C$7/24,IFERROR(DATEVALUE(LEFT($G986,10))+TIMEVALUE(MID($G986,12,8))+Settings!$C$7/24,"")))</f>
        <v/>
      </c>
      <c r="Q986" s="39" t="str">
        <f t="shared" si="271"/>
        <v/>
      </c>
      <c r="R986" s="39" t="str">
        <f t="shared" si="272"/>
        <v/>
      </c>
      <c r="S986" s="107" t="str">
        <f t="shared" si="273"/>
        <v/>
      </c>
      <c r="T986" s="39" t="str">
        <f>IF($C986="","",IF(COUNTIF($C$2:$C986,$C986)=1,1,0))</f>
        <v/>
      </c>
      <c r="U986" s="39" t="str">
        <f>IF($T986=1,COUNTIF($T$2:$T986,1),"")</f>
        <v/>
      </c>
      <c r="V986" s="39" t="str">
        <f>IF($B986="","",IF(COUNTIF($B$2:$B986,$B986)=1,1,0))</f>
        <v/>
      </c>
      <c r="W986" s="39" t="str">
        <f>IF($V986=1,COUNTIF($V$2:$V986,1),"")</f>
        <v/>
      </c>
      <c r="X986" s="39" t="str">
        <f>IF($A986="","",IF(COUNTIF($A$2:$A986,$A986)=1,1,0))</f>
        <v/>
      </c>
      <c r="Y986" s="39" t="str">
        <f>IF($X986=1,COUNTIF($X$2:$X986,1),"")</f>
        <v/>
      </c>
      <c r="Z986" s="39">
        <f>IF(AND($E986="timed",$N986&gt;Settings!$C$8),1,0)</f>
        <v>0</v>
      </c>
      <c r="AA986" s="39">
        <f t="shared" si="274"/>
        <v>0</v>
      </c>
      <c r="AB986" s="39">
        <f t="shared" si="275"/>
        <v>0</v>
      </c>
      <c r="AC986" s="39" t="str">
        <f t="shared" si="276"/>
        <v/>
      </c>
      <c r="AD986" s="39" t="str">
        <f t="shared" si="277"/>
        <v/>
      </c>
      <c r="AE986" s="39" t="str">
        <f t="shared" si="278"/>
        <v/>
      </c>
      <c r="AF986" s="106" t="str">
        <f t="shared" si="279"/>
        <v/>
      </c>
      <c r="AG986" s="39">
        <f t="shared" si="280"/>
        <v>0</v>
      </c>
      <c r="AH986" s="39" t="str">
        <f t="shared" si="281"/>
        <v/>
      </c>
      <c r="AI986" s="39">
        <f>IF(AND($E986="timed",$N986&gt;=Settings!$C$9),1,0)</f>
        <v>0</v>
      </c>
      <c r="AJ986" s="39" t="str">
        <f>IF(OR($S986="",Settings!$C$16=""),"",IF($S986&lt;=Settings!$C$16,1,2))</f>
        <v/>
      </c>
      <c r="AK986" s="39" t="str">
        <f>IF($C986="","",IFERROR(IF(INDEX(Settings!$C$20:$C$59,MATCH($C986,Settings!$B$20:$B$59,0))="",Settings!$C$10,INDEX(Settings!$C$20:$C$59,MATCH($C986,Settings!$B$20:$B$59,0))),Settings!$C$10))</f>
        <v/>
      </c>
      <c r="AL986" s="108">
        <f t="shared" si="282"/>
        <v>0</v>
      </c>
      <c r="AM986" s="39" t="str">
        <f t="shared" si="283"/>
        <v/>
      </c>
      <c r="AN986" s="39" t="str">
        <f t="shared" si="284"/>
        <v/>
      </c>
      <c r="AO986" s="39" t="str">
        <f t="shared" si="285"/>
        <v/>
      </c>
      <c r="AP986" s="39">
        <f t="shared" si="286"/>
        <v>0</v>
      </c>
      <c r="AQ986" s="39">
        <f t="shared" si="287"/>
        <v>0</v>
      </c>
    </row>
    <row r="987" spans="14:43" x14ac:dyDescent="0.25">
      <c r="N987" s="105">
        <f t="shared" si="270"/>
        <v>0</v>
      </c>
      <c r="O987" s="106" t="str">
        <f>IF($F987="","",IF(ISNUMBER($F987),$F987+Settings!$C$7/24,IFERROR(DATEVALUE(LEFT($F987,10))+TIMEVALUE(MID($F987,12,8))+Settings!$C$7/24,"")))</f>
        <v/>
      </c>
      <c r="P987" s="106" t="str">
        <f>IF($G987="","",IF(ISNUMBER($G987),$G987+Settings!$C$7/24,IFERROR(DATEVALUE(LEFT($G987,10))+TIMEVALUE(MID($G987,12,8))+Settings!$C$7/24,"")))</f>
        <v/>
      </c>
      <c r="Q987" s="39" t="str">
        <f t="shared" si="271"/>
        <v/>
      </c>
      <c r="R987" s="39" t="str">
        <f t="shared" si="272"/>
        <v/>
      </c>
      <c r="S987" s="107" t="str">
        <f t="shared" si="273"/>
        <v/>
      </c>
      <c r="T987" s="39" t="str">
        <f>IF($C987="","",IF(COUNTIF($C$2:$C987,$C987)=1,1,0))</f>
        <v/>
      </c>
      <c r="U987" s="39" t="str">
        <f>IF($T987=1,COUNTIF($T$2:$T987,1),"")</f>
        <v/>
      </c>
      <c r="V987" s="39" t="str">
        <f>IF($B987="","",IF(COUNTIF($B$2:$B987,$B987)=1,1,0))</f>
        <v/>
      </c>
      <c r="W987" s="39" t="str">
        <f>IF($V987=1,COUNTIF($V$2:$V987,1),"")</f>
        <v/>
      </c>
      <c r="X987" s="39" t="str">
        <f>IF($A987="","",IF(COUNTIF($A$2:$A987,$A987)=1,1,0))</f>
        <v/>
      </c>
      <c r="Y987" s="39" t="str">
        <f>IF($X987=1,COUNTIF($X$2:$X987,1),"")</f>
        <v/>
      </c>
      <c r="Z987" s="39">
        <f>IF(AND($E987="timed",$N987&gt;Settings!$C$8),1,0)</f>
        <v>0</v>
      </c>
      <c r="AA987" s="39">
        <f t="shared" si="274"/>
        <v>0</v>
      </c>
      <c r="AB987" s="39">
        <f t="shared" si="275"/>
        <v>0</v>
      </c>
      <c r="AC987" s="39" t="str">
        <f t="shared" si="276"/>
        <v/>
      </c>
      <c r="AD987" s="39" t="str">
        <f t="shared" si="277"/>
        <v/>
      </c>
      <c r="AE987" s="39" t="str">
        <f t="shared" si="278"/>
        <v/>
      </c>
      <c r="AF987" s="106" t="str">
        <f t="shared" si="279"/>
        <v/>
      </c>
      <c r="AG987" s="39">
        <f t="shared" si="280"/>
        <v>0</v>
      </c>
      <c r="AH987" s="39" t="str">
        <f t="shared" si="281"/>
        <v/>
      </c>
      <c r="AI987" s="39">
        <f>IF(AND($E987="timed",$N987&gt;=Settings!$C$9),1,0)</f>
        <v>0</v>
      </c>
      <c r="AJ987" s="39" t="str">
        <f>IF(OR($S987="",Settings!$C$16=""),"",IF($S987&lt;=Settings!$C$16,1,2))</f>
        <v/>
      </c>
      <c r="AK987" s="39" t="str">
        <f>IF($C987="","",IFERROR(IF(INDEX(Settings!$C$20:$C$59,MATCH($C987,Settings!$B$20:$B$59,0))="",Settings!$C$10,INDEX(Settings!$C$20:$C$59,MATCH($C987,Settings!$B$20:$B$59,0))),Settings!$C$10))</f>
        <v/>
      </c>
      <c r="AL987" s="108">
        <f t="shared" si="282"/>
        <v>0</v>
      </c>
      <c r="AM987" s="39" t="str">
        <f t="shared" si="283"/>
        <v/>
      </c>
      <c r="AN987" s="39" t="str">
        <f t="shared" si="284"/>
        <v/>
      </c>
      <c r="AO987" s="39" t="str">
        <f t="shared" si="285"/>
        <v/>
      </c>
      <c r="AP987" s="39">
        <f t="shared" si="286"/>
        <v>0</v>
      </c>
      <c r="AQ987" s="39">
        <f t="shared" si="287"/>
        <v>0</v>
      </c>
    </row>
    <row r="988" spans="14:43" x14ac:dyDescent="0.25">
      <c r="N988" s="105">
        <f t="shared" si="270"/>
        <v>0</v>
      </c>
      <c r="O988" s="106" t="str">
        <f>IF($F988="","",IF(ISNUMBER($F988),$F988+Settings!$C$7/24,IFERROR(DATEVALUE(LEFT($F988,10))+TIMEVALUE(MID($F988,12,8))+Settings!$C$7/24,"")))</f>
        <v/>
      </c>
      <c r="P988" s="106" t="str">
        <f>IF($G988="","",IF(ISNUMBER($G988),$G988+Settings!$C$7/24,IFERROR(DATEVALUE(LEFT($G988,10))+TIMEVALUE(MID($G988,12,8))+Settings!$C$7/24,"")))</f>
        <v/>
      </c>
      <c r="Q988" s="39" t="str">
        <f t="shared" si="271"/>
        <v/>
      </c>
      <c r="R988" s="39" t="str">
        <f t="shared" si="272"/>
        <v/>
      </c>
      <c r="S988" s="107" t="str">
        <f t="shared" si="273"/>
        <v/>
      </c>
      <c r="T988" s="39" t="str">
        <f>IF($C988="","",IF(COUNTIF($C$2:$C988,$C988)=1,1,0))</f>
        <v/>
      </c>
      <c r="U988" s="39" t="str">
        <f>IF($T988=1,COUNTIF($T$2:$T988,1),"")</f>
        <v/>
      </c>
      <c r="V988" s="39" t="str">
        <f>IF($B988="","",IF(COUNTIF($B$2:$B988,$B988)=1,1,0))</f>
        <v/>
      </c>
      <c r="W988" s="39" t="str">
        <f>IF($V988=1,COUNTIF($V$2:$V988,1),"")</f>
        <v/>
      </c>
      <c r="X988" s="39" t="str">
        <f>IF($A988="","",IF(COUNTIF($A$2:$A988,$A988)=1,1,0))</f>
        <v/>
      </c>
      <c r="Y988" s="39" t="str">
        <f>IF($X988=1,COUNTIF($X$2:$X988,1),"")</f>
        <v/>
      </c>
      <c r="Z988" s="39">
        <f>IF(AND($E988="timed",$N988&gt;Settings!$C$8),1,0)</f>
        <v>0</v>
      </c>
      <c r="AA988" s="39">
        <f t="shared" si="274"/>
        <v>0</v>
      </c>
      <c r="AB988" s="39">
        <f t="shared" si="275"/>
        <v>0</v>
      </c>
      <c r="AC988" s="39" t="str">
        <f t="shared" si="276"/>
        <v/>
      </c>
      <c r="AD988" s="39" t="str">
        <f t="shared" si="277"/>
        <v/>
      </c>
      <c r="AE988" s="39" t="str">
        <f t="shared" si="278"/>
        <v/>
      </c>
      <c r="AF988" s="106" t="str">
        <f t="shared" si="279"/>
        <v/>
      </c>
      <c r="AG988" s="39">
        <f t="shared" si="280"/>
        <v>0</v>
      </c>
      <c r="AH988" s="39" t="str">
        <f t="shared" si="281"/>
        <v/>
      </c>
      <c r="AI988" s="39">
        <f>IF(AND($E988="timed",$N988&gt;=Settings!$C$9),1,0)</f>
        <v>0</v>
      </c>
      <c r="AJ988" s="39" t="str">
        <f>IF(OR($S988="",Settings!$C$16=""),"",IF($S988&lt;=Settings!$C$16,1,2))</f>
        <v/>
      </c>
      <c r="AK988" s="39" t="str">
        <f>IF($C988="","",IFERROR(IF(INDEX(Settings!$C$20:$C$59,MATCH($C988,Settings!$B$20:$B$59,0))="",Settings!$C$10,INDEX(Settings!$C$20:$C$59,MATCH($C988,Settings!$B$20:$B$59,0))),Settings!$C$10))</f>
        <v/>
      </c>
      <c r="AL988" s="108">
        <f t="shared" si="282"/>
        <v>0</v>
      </c>
      <c r="AM988" s="39" t="str">
        <f t="shared" si="283"/>
        <v/>
      </c>
      <c r="AN988" s="39" t="str">
        <f t="shared" si="284"/>
        <v/>
      </c>
      <c r="AO988" s="39" t="str">
        <f t="shared" si="285"/>
        <v/>
      </c>
      <c r="AP988" s="39">
        <f t="shared" si="286"/>
        <v>0</v>
      </c>
      <c r="AQ988" s="39">
        <f t="shared" si="287"/>
        <v>0</v>
      </c>
    </row>
    <row r="989" spans="14:43" x14ac:dyDescent="0.25">
      <c r="N989" s="105">
        <f t="shared" si="270"/>
        <v>0</v>
      </c>
      <c r="O989" s="106" t="str">
        <f>IF($F989="","",IF(ISNUMBER($F989),$F989+Settings!$C$7/24,IFERROR(DATEVALUE(LEFT($F989,10))+TIMEVALUE(MID($F989,12,8))+Settings!$C$7/24,"")))</f>
        <v/>
      </c>
      <c r="P989" s="106" t="str">
        <f>IF($G989="","",IF(ISNUMBER($G989),$G989+Settings!$C$7/24,IFERROR(DATEVALUE(LEFT($G989,10))+TIMEVALUE(MID($G989,12,8))+Settings!$C$7/24,"")))</f>
        <v/>
      </c>
      <c r="Q989" s="39" t="str">
        <f t="shared" si="271"/>
        <v/>
      </c>
      <c r="R989" s="39" t="str">
        <f t="shared" si="272"/>
        <v/>
      </c>
      <c r="S989" s="107" t="str">
        <f t="shared" si="273"/>
        <v/>
      </c>
      <c r="T989" s="39" t="str">
        <f>IF($C989="","",IF(COUNTIF($C$2:$C989,$C989)=1,1,0))</f>
        <v/>
      </c>
      <c r="U989" s="39" t="str">
        <f>IF($T989=1,COUNTIF($T$2:$T989,1),"")</f>
        <v/>
      </c>
      <c r="V989" s="39" t="str">
        <f>IF($B989="","",IF(COUNTIF($B$2:$B989,$B989)=1,1,0))</f>
        <v/>
      </c>
      <c r="W989" s="39" t="str">
        <f>IF($V989=1,COUNTIF($V$2:$V989,1),"")</f>
        <v/>
      </c>
      <c r="X989" s="39" t="str">
        <f>IF($A989="","",IF(COUNTIF($A$2:$A989,$A989)=1,1,0))</f>
        <v/>
      </c>
      <c r="Y989" s="39" t="str">
        <f>IF($X989=1,COUNTIF($X$2:$X989,1),"")</f>
        <v/>
      </c>
      <c r="Z989" s="39">
        <f>IF(AND($E989="timed",$N989&gt;Settings!$C$8),1,0)</f>
        <v>0</v>
      </c>
      <c r="AA989" s="39">
        <f t="shared" si="274"/>
        <v>0</v>
      </c>
      <c r="AB989" s="39">
        <f t="shared" si="275"/>
        <v>0</v>
      </c>
      <c r="AC989" s="39" t="str">
        <f t="shared" si="276"/>
        <v/>
      </c>
      <c r="AD989" s="39" t="str">
        <f t="shared" si="277"/>
        <v/>
      </c>
      <c r="AE989" s="39" t="str">
        <f t="shared" si="278"/>
        <v/>
      </c>
      <c r="AF989" s="106" t="str">
        <f t="shared" si="279"/>
        <v/>
      </c>
      <c r="AG989" s="39">
        <f t="shared" si="280"/>
        <v>0</v>
      </c>
      <c r="AH989" s="39" t="str">
        <f t="shared" si="281"/>
        <v/>
      </c>
      <c r="AI989" s="39">
        <f>IF(AND($E989="timed",$N989&gt;=Settings!$C$9),1,0)</f>
        <v>0</v>
      </c>
      <c r="AJ989" s="39" t="str">
        <f>IF(OR($S989="",Settings!$C$16=""),"",IF($S989&lt;=Settings!$C$16,1,2))</f>
        <v/>
      </c>
      <c r="AK989" s="39" t="str">
        <f>IF($C989="","",IFERROR(IF(INDEX(Settings!$C$20:$C$59,MATCH($C989,Settings!$B$20:$B$59,0))="",Settings!$C$10,INDEX(Settings!$C$20:$C$59,MATCH($C989,Settings!$B$20:$B$59,0))),Settings!$C$10))</f>
        <v/>
      </c>
      <c r="AL989" s="108">
        <f t="shared" si="282"/>
        <v>0</v>
      </c>
      <c r="AM989" s="39" t="str">
        <f t="shared" si="283"/>
        <v/>
      </c>
      <c r="AN989" s="39" t="str">
        <f t="shared" si="284"/>
        <v/>
      </c>
      <c r="AO989" s="39" t="str">
        <f t="shared" si="285"/>
        <v/>
      </c>
      <c r="AP989" s="39">
        <f t="shared" si="286"/>
        <v>0</v>
      </c>
      <c r="AQ989" s="39">
        <f t="shared" si="287"/>
        <v>0</v>
      </c>
    </row>
    <row r="990" spans="14:43" x14ac:dyDescent="0.25">
      <c r="N990" s="105">
        <f t="shared" si="270"/>
        <v>0</v>
      </c>
      <c r="O990" s="106" t="str">
        <f>IF($F990="","",IF(ISNUMBER($F990),$F990+Settings!$C$7/24,IFERROR(DATEVALUE(LEFT($F990,10))+TIMEVALUE(MID($F990,12,8))+Settings!$C$7/24,"")))</f>
        <v/>
      </c>
      <c r="P990" s="106" t="str">
        <f>IF($G990="","",IF(ISNUMBER($G990),$G990+Settings!$C$7/24,IFERROR(DATEVALUE(LEFT($G990,10))+TIMEVALUE(MID($G990,12,8))+Settings!$C$7/24,"")))</f>
        <v/>
      </c>
      <c r="Q990" s="39" t="str">
        <f t="shared" si="271"/>
        <v/>
      </c>
      <c r="R990" s="39" t="str">
        <f t="shared" si="272"/>
        <v/>
      </c>
      <c r="S990" s="107" t="str">
        <f t="shared" si="273"/>
        <v/>
      </c>
      <c r="T990" s="39" t="str">
        <f>IF($C990="","",IF(COUNTIF($C$2:$C990,$C990)=1,1,0))</f>
        <v/>
      </c>
      <c r="U990" s="39" t="str">
        <f>IF($T990=1,COUNTIF($T$2:$T990,1),"")</f>
        <v/>
      </c>
      <c r="V990" s="39" t="str">
        <f>IF($B990="","",IF(COUNTIF($B$2:$B990,$B990)=1,1,0))</f>
        <v/>
      </c>
      <c r="W990" s="39" t="str">
        <f>IF($V990=1,COUNTIF($V$2:$V990,1),"")</f>
        <v/>
      </c>
      <c r="X990" s="39" t="str">
        <f>IF($A990="","",IF(COUNTIF($A$2:$A990,$A990)=1,1,0))</f>
        <v/>
      </c>
      <c r="Y990" s="39" t="str">
        <f>IF($X990=1,COUNTIF($X$2:$X990,1),"")</f>
        <v/>
      </c>
      <c r="Z990" s="39">
        <f>IF(AND($E990="timed",$N990&gt;Settings!$C$8),1,0)</f>
        <v>0</v>
      </c>
      <c r="AA990" s="39">
        <f t="shared" si="274"/>
        <v>0</v>
      </c>
      <c r="AB990" s="39">
        <f t="shared" si="275"/>
        <v>0</v>
      </c>
      <c r="AC990" s="39" t="str">
        <f t="shared" si="276"/>
        <v/>
      </c>
      <c r="AD990" s="39" t="str">
        <f t="shared" si="277"/>
        <v/>
      </c>
      <c r="AE990" s="39" t="str">
        <f t="shared" si="278"/>
        <v/>
      </c>
      <c r="AF990" s="106" t="str">
        <f t="shared" si="279"/>
        <v/>
      </c>
      <c r="AG990" s="39">
        <f t="shared" si="280"/>
        <v>0</v>
      </c>
      <c r="AH990" s="39" t="str">
        <f t="shared" si="281"/>
        <v/>
      </c>
      <c r="AI990" s="39">
        <f>IF(AND($E990="timed",$N990&gt;=Settings!$C$9),1,0)</f>
        <v>0</v>
      </c>
      <c r="AJ990" s="39" t="str">
        <f>IF(OR($S990="",Settings!$C$16=""),"",IF($S990&lt;=Settings!$C$16,1,2))</f>
        <v/>
      </c>
      <c r="AK990" s="39" t="str">
        <f>IF($C990="","",IFERROR(IF(INDEX(Settings!$C$20:$C$59,MATCH($C990,Settings!$B$20:$B$59,0))="",Settings!$C$10,INDEX(Settings!$C$20:$C$59,MATCH($C990,Settings!$B$20:$B$59,0))),Settings!$C$10))</f>
        <v/>
      </c>
      <c r="AL990" s="108">
        <f t="shared" si="282"/>
        <v>0</v>
      </c>
      <c r="AM990" s="39" t="str">
        <f t="shared" si="283"/>
        <v/>
      </c>
      <c r="AN990" s="39" t="str">
        <f t="shared" si="284"/>
        <v/>
      </c>
      <c r="AO990" s="39" t="str">
        <f t="shared" si="285"/>
        <v/>
      </c>
      <c r="AP990" s="39">
        <f t="shared" si="286"/>
        <v>0</v>
      </c>
      <c r="AQ990" s="39">
        <f t="shared" si="287"/>
        <v>0</v>
      </c>
    </row>
    <row r="991" spans="14:43" x14ac:dyDescent="0.25">
      <c r="N991" s="105">
        <f t="shared" si="270"/>
        <v>0</v>
      </c>
      <c r="O991" s="106" t="str">
        <f>IF($F991="","",IF(ISNUMBER($F991),$F991+Settings!$C$7/24,IFERROR(DATEVALUE(LEFT($F991,10))+TIMEVALUE(MID($F991,12,8))+Settings!$C$7/24,"")))</f>
        <v/>
      </c>
      <c r="P991" s="106" t="str">
        <f>IF($G991="","",IF(ISNUMBER($G991),$G991+Settings!$C$7/24,IFERROR(DATEVALUE(LEFT($G991,10))+TIMEVALUE(MID($G991,12,8))+Settings!$C$7/24,"")))</f>
        <v/>
      </c>
      <c r="Q991" s="39" t="str">
        <f t="shared" si="271"/>
        <v/>
      </c>
      <c r="R991" s="39" t="str">
        <f t="shared" si="272"/>
        <v/>
      </c>
      <c r="S991" s="107" t="str">
        <f t="shared" si="273"/>
        <v/>
      </c>
      <c r="T991" s="39" t="str">
        <f>IF($C991="","",IF(COUNTIF($C$2:$C991,$C991)=1,1,0))</f>
        <v/>
      </c>
      <c r="U991" s="39" t="str">
        <f>IF($T991=1,COUNTIF($T$2:$T991,1),"")</f>
        <v/>
      </c>
      <c r="V991" s="39" t="str">
        <f>IF($B991="","",IF(COUNTIF($B$2:$B991,$B991)=1,1,0))</f>
        <v/>
      </c>
      <c r="W991" s="39" t="str">
        <f>IF($V991=1,COUNTIF($V$2:$V991,1),"")</f>
        <v/>
      </c>
      <c r="X991" s="39" t="str">
        <f>IF($A991="","",IF(COUNTIF($A$2:$A991,$A991)=1,1,0))</f>
        <v/>
      </c>
      <c r="Y991" s="39" t="str">
        <f>IF($X991=1,COUNTIF($X$2:$X991,1),"")</f>
        <v/>
      </c>
      <c r="Z991" s="39">
        <f>IF(AND($E991="timed",$N991&gt;Settings!$C$8),1,0)</f>
        <v>0</v>
      </c>
      <c r="AA991" s="39">
        <f t="shared" si="274"/>
        <v>0</v>
      </c>
      <c r="AB991" s="39">
        <f t="shared" si="275"/>
        <v>0</v>
      </c>
      <c r="AC991" s="39" t="str">
        <f t="shared" si="276"/>
        <v/>
      </c>
      <c r="AD991" s="39" t="str">
        <f t="shared" si="277"/>
        <v/>
      </c>
      <c r="AE991" s="39" t="str">
        <f t="shared" si="278"/>
        <v/>
      </c>
      <c r="AF991" s="106" t="str">
        <f t="shared" si="279"/>
        <v/>
      </c>
      <c r="AG991" s="39">
        <f t="shared" si="280"/>
        <v>0</v>
      </c>
      <c r="AH991" s="39" t="str">
        <f t="shared" si="281"/>
        <v/>
      </c>
      <c r="AI991" s="39">
        <f>IF(AND($E991="timed",$N991&gt;=Settings!$C$9),1,0)</f>
        <v>0</v>
      </c>
      <c r="AJ991" s="39" t="str">
        <f>IF(OR($S991="",Settings!$C$16=""),"",IF($S991&lt;=Settings!$C$16,1,2))</f>
        <v/>
      </c>
      <c r="AK991" s="39" t="str">
        <f>IF($C991="","",IFERROR(IF(INDEX(Settings!$C$20:$C$59,MATCH($C991,Settings!$B$20:$B$59,0))="",Settings!$C$10,INDEX(Settings!$C$20:$C$59,MATCH($C991,Settings!$B$20:$B$59,0))),Settings!$C$10))</f>
        <v/>
      </c>
      <c r="AL991" s="108">
        <f t="shared" si="282"/>
        <v>0</v>
      </c>
      <c r="AM991" s="39" t="str">
        <f t="shared" si="283"/>
        <v/>
      </c>
      <c r="AN991" s="39" t="str">
        <f t="shared" si="284"/>
        <v/>
      </c>
      <c r="AO991" s="39" t="str">
        <f t="shared" si="285"/>
        <v/>
      </c>
      <c r="AP991" s="39">
        <f t="shared" si="286"/>
        <v>0</v>
      </c>
      <c r="AQ991" s="39">
        <f t="shared" si="287"/>
        <v>0</v>
      </c>
    </row>
    <row r="992" spans="14:43" x14ac:dyDescent="0.25">
      <c r="N992" s="105">
        <f t="shared" si="270"/>
        <v>0</v>
      </c>
      <c r="O992" s="106" t="str">
        <f>IF($F992="","",IF(ISNUMBER($F992),$F992+Settings!$C$7/24,IFERROR(DATEVALUE(LEFT($F992,10))+TIMEVALUE(MID($F992,12,8))+Settings!$C$7/24,"")))</f>
        <v/>
      </c>
      <c r="P992" s="106" t="str">
        <f>IF($G992="","",IF(ISNUMBER($G992),$G992+Settings!$C$7/24,IFERROR(DATEVALUE(LEFT($G992,10))+TIMEVALUE(MID($G992,12,8))+Settings!$C$7/24,"")))</f>
        <v/>
      </c>
      <c r="Q992" s="39" t="str">
        <f t="shared" si="271"/>
        <v/>
      </c>
      <c r="R992" s="39" t="str">
        <f t="shared" si="272"/>
        <v/>
      </c>
      <c r="S992" s="107" t="str">
        <f t="shared" si="273"/>
        <v/>
      </c>
      <c r="T992" s="39" t="str">
        <f>IF($C992="","",IF(COUNTIF($C$2:$C992,$C992)=1,1,0))</f>
        <v/>
      </c>
      <c r="U992" s="39" t="str">
        <f>IF($T992=1,COUNTIF($T$2:$T992,1),"")</f>
        <v/>
      </c>
      <c r="V992" s="39" t="str">
        <f>IF($B992="","",IF(COUNTIF($B$2:$B992,$B992)=1,1,0))</f>
        <v/>
      </c>
      <c r="W992" s="39" t="str">
        <f>IF($V992=1,COUNTIF($V$2:$V992,1),"")</f>
        <v/>
      </c>
      <c r="X992" s="39" t="str">
        <f>IF($A992="","",IF(COUNTIF($A$2:$A992,$A992)=1,1,0))</f>
        <v/>
      </c>
      <c r="Y992" s="39" t="str">
        <f>IF($X992=1,COUNTIF($X$2:$X992,1),"")</f>
        <v/>
      </c>
      <c r="Z992" s="39">
        <f>IF(AND($E992="timed",$N992&gt;Settings!$C$8),1,0)</f>
        <v>0</v>
      </c>
      <c r="AA992" s="39">
        <f t="shared" si="274"/>
        <v>0</v>
      </c>
      <c r="AB992" s="39">
        <f t="shared" si="275"/>
        <v>0</v>
      </c>
      <c r="AC992" s="39" t="str">
        <f t="shared" si="276"/>
        <v/>
      </c>
      <c r="AD992" s="39" t="str">
        <f t="shared" si="277"/>
        <v/>
      </c>
      <c r="AE992" s="39" t="str">
        <f t="shared" si="278"/>
        <v/>
      </c>
      <c r="AF992" s="106" t="str">
        <f t="shared" si="279"/>
        <v/>
      </c>
      <c r="AG992" s="39">
        <f t="shared" si="280"/>
        <v>0</v>
      </c>
      <c r="AH992" s="39" t="str">
        <f t="shared" si="281"/>
        <v/>
      </c>
      <c r="AI992" s="39">
        <f>IF(AND($E992="timed",$N992&gt;=Settings!$C$9),1,0)</f>
        <v>0</v>
      </c>
      <c r="AJ992" s="39" t="str">
        <f>IF(OR($S992="",Settings!$C$16=""),"",IF($S992&lt;=Settings!$C$16,1,2))</f>
        <v/>
      </c>
      <c r="AK992" s="39" t="str">
        <f>IF($C992="","",IFERROR(IF(INDEX(Settings!$C$20:$C$59,MATCH($C992,Settings!$B$20:$B$59,0))="",Settings!$C$10,INDEX(Settings!$C$20:$C$59,MATCH($C992,Settings!$B$20:$B$59,0))),Settings!$C$10))</f>
        <v/>
      </c>
      <c r="AL992" s="108">
        <f t="shared" si="282"/>
        <v>0</v>
      </c>
      <c r="AM992" s="39" t="str">
        <f t="shared" si="283"/>
        <v/>
      </c>
      <c r="AN992" s="39" t="str">
        <f t="shared" si="284"/>
        <v/>
      </c>
      <c r="AO992" s="39" t="str">
        <f t="shared" si="285"/>
        <v/>
      </c>
      <c r="AP992" s="39">
        <f t="shared" si="286"/>
        <v>0</v>
      </c>
      <c r="AQ992" s="39">
        <f t="shared" si="287"/>
        <v>0</v>
      </c>
    </row>
    <row r="993" spans="14:43" x14ac:dyDescent="0.25">
      <c r="N993" s="105">
        <f t="shared" si="270"/>
        <v>0</v>
      </c>
      <c r="O993" s="106" t="str">
        <f>IF($F993="","",IF(ISNUMBER($F993),$F993+Settings!$C$7/24,IFERROR(DATEVALUE(LEFT($F993,10))+TIMEVALUE(MID($F993,12,8))+Settings!$C$7/24,"")))</f>
        <v/>
      </c>
      <c r="P993" s="106" t="str">
        <f>IF($G993="","",IF(ISNUMBER($G993),$G993+Settings!$C$7/24,IFERROR(DATEVALUE(LEFT($G993,10))+TIMEVALUE(MID($G993,12,8))+Settings!$C$7/24,"")))</f>
        <v/>
      </c>
      <c r="Q993" s="39" t="str">
        <f t="shared" si="271"/>
        <v/>
      </c>
      <c r="R993" s="39" t="str">
        <f t="shared" si="272"/>
        <v/>
      </c>
      <c r="S993" s="107" t="str">
        <f t="shared" si="273"/>
        <v/>
      </c>
      <c r="T993" s="39" t="str">
        <f>IF($C993="","",IF(COUNTIF($C$2:$C993,$C993)=1,1,0))</f>
        <v/>
      </c>
      <c r="U993" s="39" t="str">
        <f>IF($T993=1,COUNTIF($T$2:$T993,1),"")</f>
        <v/>
      </c>
      <c r="V993" s="39" t="str">
        <f>IF($B993="","",IF(COUNTIF($B$2:$B993,$B993)=1,1,0))</f>
        <v/>
      </c>
      <c r="W993" s="39" t="str">
        <f>IF($V993=1,COUNTIF($V$2:$V993,1),"")</f>
        <v/>
      </c>
      <c r="X993" s="39" t="str">
        <f>IF($A993="","",IF(COUNTIF($A$2:$A993,$A993)=1,1,0))</f>
        <v/>
      </c>
      <c r="Y993" s="39" t="str">
        <f>IF($X993=1,COUNTIF($X$2:$X993,1),"")</f>
        <v/>
      </c>
      <c r="Z993" s="39">
        <f>IF(AND($E993="timed",$N993&gt;Settings!$C$8),1,0)</f>
        <v>0</v>
      </c>
      <c r="AA993" s="39">
        <f t="shared" si="274"/>
        <v>0</v>
      </c>
      <c r="AB993" s="39">
        <f t="shared" si="275"/>
        <v>0</v>
      </c>
      <c r="AC993" s="39" t="str">
        <f t="shared" si="276"/>
        <v/>
      </c>
      <c r="AD993" s="39" t="str">
        <f t="shared" si="277"/>
        <v/>
      </c>
      <c r="AE993" s="39" t="str">
        <f t="shared" si="278"/>
        <v/>
      </c>
      <c r="AF993" s="106" t="str">
        <f t="shared" si="279"/>
        <v/>
      </c>
      <c r="AG993" s="39">
        <f t="shared" si="280"/>
        <v>0</v>
      </c>
      <c r="AH993" s="39" t="str">
        <f t="shared" si="281"/>
        <v/>
      </c>
      <c r="AI993" s="39">
        <f>IF(AND($E993="timed",$N993&gt;=Settings!$C$9),1,0)</f>
        <v>0</v>
      </c>
      <c r="AJ993" s="39" t="str">
        <f>IF(OR($S993="",Settings!$C$16=""),"",IF($S993&lt;=Settings!$C$16,1,2))</f>
        <v/>
      </c>
      <c r="AK993" s="39" t="str">
        <f>IF($C993="","",IFERROR(IF(INDEX(Settings!$C$20:$C$59,MATCH($C993,Settings!$B$20:$B$59,0))="",Settings!$C$10,INDEX(Settings!$C$20:$C$59,MATCH($C993,Settings!$B$20:$B$59,0))),Settings!$C$10))</f>
        <v/>
      </c>
      <c r="AL993" s="108">
        <f t="shared" si="282"/>
        <v>0</v>
      </c>
      <c r="AM993" s="39" t="str">
        <f t="shared" si="283"/>
        <v/>
      </c>
      <c r="AN993" s="39" t="str">
        <f t="shared" si="284"/>
        <v/>
      </c>
      <c r="AO993" s="39" t="str">
        <f t="shared" si="285"/>
        <v/>
      </c>
      <c r="AP993" s="39">
        <f t="shared" si="286"/>
        <v>0</v>
      </c>
      <c r="AQ993" s="39">
        <f t="shared" si="287"/>
        <v>0</v>
      </c>
    </row>
    <row r="994" spans="14:43" x14ac:dyDescent="0.25">
      <c r="N994" s="105">
        <f t="shared" si="270"/>
        <v>0</v>
      </c>
      <c r="O994" s="106" t="str">
        <f>IF($F994="","",IF(ISNUMBER($F994),$F994+Settings!$C$7/24,IFERROR(DATEVALUE(LEFT($F994,10))+TIMEVALUE(MID($F994,12,8))+Settings!$C$7/24,"")))</f>
        <v/>
      </c>
      <c r="P994" s="106" t="str">
        <f>IF($G994="","",IF(ISNUMBER($G994),$G994+Settings!$C$7/24,IFERROR(DATEVALUE(LEFT($G994,10))+TIMEVALUE(MID($G994,12,8))+Settings!$C$7/24,"")))</f>
        <v/>
      </c>
      <c r="Q994" s="39" t="str">
        <f t="shared" si="271"/>
        <v/>
      </c>
      <c r="R994" s="39" t="str">
        <f t="shared" si="272"/>
        <v/>
      </c>
      <c r="S994" s="107" t="str">
        <f t="shared" si="273"/>
        <v/>
      </c>
      <c r="T994" s="39" t="str">
        <f>IF($C994="","",IF(COUNTIF($C$2:$C994,$C994)=1,1,0))</f>
        <v/>
      </c>
      <c r="U994" s="39" t="str">
        <f>IF($T994=1,COUNTIF($T$2:$T994,1),"")</f>
        <v/>
      </c>
      <c r="V994" s="39" t="str">
        <f>IF($B994="","",IF(COUNTIF($B$2:$B994,$B994)=1,1,0))</f>
        <v/>
      </c>
      <c r="W994" s="39" t="str">
        <f>IF($V994=1,COUNTIF($V$2:$V994,1),"")</f>
        <v/>
      </c>
      <c r="X994" s="39" t="str">
        <f>IF($A994="","",IF(COUNTIF($A$2:$A994,$A994)=1,1,0))</f>
        <v/>
      </c>
      <c r="Y994" s="39" t="str">
        <f>IF($X994=1,COUNTIF($X$2:$X994,1),"")</f>
        <v/>
      </c>
      <c r="Z994" s="39">
        <f>IF(AND($E994="timed",$N994&gt;Settings!$C$8),1,0)</f>
        <v>0</v>
      </c>
      <c r="AA994" s="39">
        <f t="shared" si="274"/>
        <v>0</v>
      </c>
      <c r="AB994" s="39">
        <f t="shared" si="275"/>
        <v>0</v>
      </c>
      <c r="AC994" s="39" t="str">
        <f t="shared" si="276"/>
        <v/>
      </c>
      <c r="AD994" s="39" t="str">
        <f t="shared" si="277"/>
        <v/>
      </c>
      <c r="AE994" s="39" t="str">
        <f t="shared" si="278"/>
        <v/>
      </c>
      <c r="AF994" s="106" t="str">
        <f t="shared" si="279"/>
        <v/>
      </c>
      <c r="AG994" s="39">
        <f t="shared" si="280"/>
        <v>0</v>
      </c>
      <c r="AH994" s="39" t="str">
        <f t="shared" si="281"/>
        <v/>
      </c>
      <c r="AI994" s="39">
        <f>IF(AND($E994="timed",$N994&gt;=Settings!$C$9),1,0)</f>
        <v>0</v>
      </c>
      <c r="AJ994" s="39" t="str">
        <f>IF(OR($S994="",Settings!$C$16=""),"",IF($S994&lt;=Settings!$C$16,1,2))</f>
        <v/>
      </c>
      <c r="AK994" s="39" t="str">
        <f>IF($C994="","",IFERROR(IF(INDEX(Settings!$C$20:$C$59,MATCH($C994,Settings!$B$20:$B$59,0))="",Settings!$C$10,INDEX(Settings!$C$20:$C$59,MATCH($C994,Settings!$B$20:$B$59,0))),Settings!$C$10))</f>
        <v/>
      </c>
      <c r="AL994" s="108">
        <f t="shared" si="282"/>
        <v>0</v>
      </c>
      <c r="AM994" s="39" t="str">
        <f t="shared" si="283"/>
        <v/>
      </c>
      <c r="AN994" s="39" t="str">
        <f t="shared" si="284"/>
        <v/>
      </c>
      <c r="AO994" s="39" t="str">
        <f t="shared" si="285"/>
        <v/>
      </c>
      <c r="AP994" s="39">
        <f t="shared" si="286"/>
        <v>0</v>
      </c>
      <c r="AQ994" s="39">
        <f t="shared" si="287"/>
        <v>0</v>
      </c>
    </row>
    <row r="995" spans="14:43" x14ac:dyDescent="0.25">
      <c r="N995" s="105">
        <f t="shared" si="270"/>
        <v>0</v>
      </c>
      <c r="O995" s="106" t="str">
        <f>IF($F995="","",IF(ISNUMBER($F995),$F995+Settings!$C$7/24,IFERROR(DATEVALUE(LEFT($F995,10))+TIMEVALUE(MID($F995,12,8))+Settings!$C$7/24,"")))</f>
        <v/>
      </c>
      <c r="P995" s="106" t="str">
        <f>IF($G995="","",IF(ISNUMBER($G995),$G995+Settings!$C$7/24,IFERROR(DATEVALUE(LEFT($G995,10))+TIMEVALUE(MID($G995,12,8))+Settings!$C$7/24,"")))</f>
        <v/>
      </c>
      <c r="Q995" s="39" t="str">
        <f t="shared" si="271"/>
        <v/>
      </c>
      <c r="R995" s="39" t="str">
        <f t="shared" si="272"/>
        <v/>
      </c>
      <c r="S995" s="107" t="str">
        <f t="shared" si="273"/>
        <v/>
      </c>
      <c r="T995" s="39" t="str">
        <f>IF($C995="","",IF(COUNTIF($C$2:$C995,$C995)=1,1,0))</f>
        <v/>
      </c>
      <c r="U995" s="39" t="str">
        <f>IF($T995=1,COUNTIF($T$2:$T995,1),"")</f>
        <v/>
      </c>
      <c r="V995" s="39" t="str">
        <f>IF($B995="","",IF(COUNTIF($B$2:$B995,$B995)=1,1,0))</f>
        <v/>
      </c>
      <c r="W995" s="39" t="str">
        <f>IF($V995=1,COUNTIF($V$2:$V995,1),"")</f>
        <v/>
      </c>
      <c r="X995" s="39" t="str">
        <f>IF($A995="","",IF(COUNTIF($A$2:$A995,$A995)=1,1,0))</f>
        <v/>
      </c>
      <c r="Y995" s="39" t="str">
        <f>IF($X995=1,COUNTIF($X$2:$X995,1),"")</f>
        <v/>
      </c>
      <c r="Z995" s="39">
        <f>IF(AND($E995="timed",$N995&gt;Settings!$C$8),1,0)</f>
        <v>0</v>
      </c>
      <c r="AA995" s="39">
        <f t="shared" si="274"/>
        <v>0</v>
      </c>
      <c r="AB995" s="39">
        <f t="shared" si="275"/>
        <v>0</v>
      </c>
      <c r="AC995" s="39" t="str">
        <f t="shared" si="276"/>
        <v/>
      </c>
      <c r="AD995" s="39" t="str">
        <f t="shared" si="277"/>
        <v/>
      </c>
      <c r="AE995" s="39" t="str">
        <f t="shared" si="278"/>
        <v/>
      </c>
      <c r="AF995" s="106" t="str">
        <f t="shared" si="279"/>
        <v/>
      </c>
      <c r="AG995" s="39">
        <f t="shared" si="280"/>
        <v>0</v>
      </c>
      <c r="AH995" s="39" t="str">
        <f t="shared" si="281"/>
        <v/>
      </c>
      <c r="AI995" s="39">
        <f>IF(AND($E995="timed",$N995&gt;=Settings!$C$9),1,0)</f>
        <v>0</v>
      </c>
      <c r="AJ995" s="39" t="str">
        <f>IF(OR($S995="",Settings!$C$16=""),"",IF($S995&lt;=Settings!$C$16,1,2))</f>
        <v/>
      </c>
      <c r="AK995" s="39" t="str">
        <f>IF($C995="","",IFERROR(IF(INDEX(Settings!$C$20:$C$59,MATCH($C995,Settings!$B$20:$B$59,0))="",Settings!$C$10,INDEX(Settings!$C$20:$C$59,MATCH($C995,Settings!$B$20:$B$59,0))),Settings!$C$10))</f>
        <v/>
      </c>
      <c r="AL995" s="108">
        <f t="shared" si="282"/>
        <v>0</v>
      </c>
      <c r="AM995" s="39" t="str">
        <f t="shared" si="283"/>
        <v/>
      </c>
      <c r="AN995" s="39" t="str">
        <f t="shared" si="284"/>
        <v/>
      </c>
      <c r="AO995" s="39" t="str">
        <f t="shared" si="285"/>
        <v/>
      </c>
      <c r="AP995" s="39">
        <f t="shared" si="286"/>
        <v>0</v>
      </c>
      <c r="AQ995" s="39">
        <f t="shared" si="287"/>
        <v>0</v>
      </c>
    </row>
    <row r="996" spans="14:43" x14ac:dyDescent="0.25">
      <c r="N996" s="105">
        <f t="shared" si="270"/>
        <v>0</v>
      </c>
      <c r="O996" s="106" t="str">
        <f>IF($F996="","",IF(ISNUMBER($F996),$F996+Settings!$C$7/24,IFERROR(DATEVALUE(LEFT($F996,10))+TIMEVALUE(MID($F996,12,8))+Settings!$C$7/24,"")))</f>
        <v/>
      </c>
      <c r="P996" s="106" t="str">
        <f>IF($G996="","",IF(ISNUMBER($G996),$G996+Settings!$C$7/24,IFERROR(DATEVALUE(LEFT($G996,10))+TIMEVALUE(MID($G996,12,8))+Settings!$C$7/24,"")))</f>
        <v/>
      </c>
      <c r="Q996" s="39" t="str">
        <f t="shared" si="271"/>
        <v/>
      </c>
      <c r="R996" s="39" t="str">
        <f t="shared" si="272"/>
        <v/>
      </c>
      <c r="S996" s="107" t="str">
        <f t="shared" si="273"/>
        <v/>
      </c>
      <c r="T996" s="39" t="str">
        <f>IF($C996="","",IF(COUNTIF($C$2:$C996,$C996)=1,1,0))</f>
        <v/>
      </c>
      <c r="U996" s="39" t="str">
        <f>IF($T996=1,COUNTIF($T$2:$T996,1),"")</f>
        <v/>
      </c>
      <c r="V996" s="39" t="str">
        <f>IF($B996="","",IF(COUNTIF($B$2:$B996,$B996)=1,1,0))</f>
        <v/>
      </c>
      <c r="W996" s="39" t="str">
        <f>IF($V996=1,COUNTIF($V$2:$V996,1),"")</f>
        <v/>
      </c>
      <c r="X996" s="39" t="str">
        <f>IF($A996="","",IF(COUNTIF($A$2:$A996,$A996)=1,1,0))</f>
        <v/>
      </c>
      <c r="Y996" s="39" t="str">
        <f>IF($X996=1,COUNTIF($X$2:$X996,1),"")</f>
        <v/>
      </c>
      <c r="Z996" s="39">
        <f>IF(AND($E996="timed",$N996&gt;Settings!$C$8),1,0)</f>
        <v>0</v>
      </c>
      <c r="AA996" s="39">
        <f t="shared" si="274"/>
        <v>0</v>
      </c>
      <c r="AB996" s="39">
        <f t="shared" si="275"/>
        <v>0</v>
      </c>
      <c r="AC996" s="39" t="str">
        <f t="shared" si="276"/>
        <v/>
      </c>
      <c r="AD996" s="39" t="str">
        <f t="shared" si="277"/>
        <v/>
      </c>
      <c r="AE996" s="39" t="str">
        <f t="shared" si="278"/>
        <v/>
      </c>
      <c r="AF996" s="106" t="str">
        <f t="shared" si="279"/>
        <v/>
      </c>
      <c r="AG996" s="39">
        <f t="shared" si="280"/>
        <v>0</v>
      </c>
      <c r="AH996" s="39" t="str">
        <f t="shared" si="281"/>
        <v/>
      </c>
      <c r="AI996" s="39">
        <f>IF(AND($E996="timed",$N996&gt;=Settings!$C$9),1,0)</f>
        <v>0</v>
      </c>
      <c r="AJ996" s="39" t="str">
        <f>IF(OR($S996="",Settings!$C$16=""),"",IF($S996&lt;=Settings!$C$16,1,2))</f>
        <v/>
      </c>
      <c r="AK996" s="39" t="str">
        <f>IF($C996="","",IFERROR(IF(INDEX(Settings!$C$20:$C$59,MATCH($C996,Settings!$B$20:$B$59,0))="",Settings!$C$10,INDEX(Settings!$C$20:$C$59,MATCH($C996,Settings!$B$20:$B$59,0))),Settings!$C$10))</f>
        <v/>
      </c>
      <c r="AL996" s="108">
        <f t="shared" si="282"/>
        <v>0</v>
      </c>
      <c r="AM996" s="39" t="str">
        <f t="shared" si="283"/>
        <v/>
      </c>
      <c r="AN996" s="39" t="str">
        <f t="shared" si="284"/>
        <v/>
      </c>
      <c r="AO996" s="39" t="str">
        <f t="shared" si="285"/>
        <v/>
      </c>
      <c r="AP996" s="39">
        <f t="shared" si="286"/>
        <v>0</v>
      </c>
      <c r="AQ996" s="39">
        <f t="shared" si="287"/>
        <v>0</v>
      </c>
    </row>
    <row r="997" spans="14:43" x14ac:dyDescent="0.25">
      <c r="N997" s="105">
        <f t="shared" si="270"/>
        <v>0</v>
      </c>
      <c r="O997" s="106" t="str">
        <f>IF($F997="","",IF(ISNUMBER($F997),$F997+Settings!$C$7/24,IFERROR(DATEVALUE(LEFT($F997,10))+TIMEVALUE(MID($F997,12,8))+Settings!$C$7/24,"")))</f>
        <v/>
      </c>
      <c r="P997" s="106" t="str">
        <f>IF($G997="","",IF(ISNUMBER($G997),$G997+Settings!$C$7/24,IFERROR(DATEVALUE(LEFT($G997,10))+TIMEVALUE(MID($G997,12,8))+Settings!$C$7/24,"")))</f>
        <v/>
      </c>
      <c r="Q997" s="39" t="str">
        <f t="shared" si="271"/>
        <v/>
      </c>
      <c r="R997" s="39" t="str">
        <f t="shared" si="272"/>
        <v/>
      </c>
      <c r="S997" s="107" t="str">
        <f t="shared" si="273"/>
        <v/>
      </c>
      <c r="T997" s="39" t="str">
        <f>IF($C997="","",IF(COUNTIF($C$2:$C997,$C997)=1,1,0))</f>
        <v/>
      </c>
      <c r="U997" s="39" t="str">
        <f>IF($T997=1,COUNTIF($T$2:$T997,1),"")</f>
        <v/>
      </c>
      <c r="V997" s="39" t="str">
        <f>IF($B997="","",IF(COUNTIF($B$2:$B997,$B997)=1,1,0))</f>
        <v/>
      </c>
      <c r="W997" s="39" t="str">
        <f>IF($V997=1,COUNTIF($V$2:$V997,1),"")</f>
        <v/>
      </c>
      <c r="X997" s="39" t="str">
        <f>IF($A997="","",IF(COUNTIF($A$2:$A997,$A997)=1,1,0))</f>
        <v/>
      </c>
      <c r="Y997" s="39" t="str">
        <f>IF($X997=1,COUNTIF($X$2:$X997,1),"")</f>
        <v/>
      </c>
      <c r="Z997" s="39">
        <f>IF(AND($E997="timed",$N997&gt;Settings!$C$8),1,0)</f>
        <v>0</v>
      </c>
      <c r="AA997" s="39">
        <f t="shared" si="274"/>
        <v>0</v>
      </c>
      <c r="AB997" s="39">
        <f t="shared" si="275"/>
        <v>0</v>
      </c>
      <c r="AC997" s="39" t="str">
        <f t="shared" si="276"/>
        <v/>
      </c>
      <c r="AD997" s="39" t="str">
        <f t="shared" si="277"/>
        <v/>
      </c>
      <c r="AE997" s="39" t="str">
        <f t="shared" si="278"/>
        <v/>
      </c>
      <c r="AF997" s="106" t="str">
        <f t="shared" si="279"/>
        <v/>
      </c>
      <c r="AG997" s="39">
        <f t="shared" si="280"/>
        <v>0</v>
      </c>
      <c r="AH997" s="39" t="str">
        <f t="shared" si="281"/>
        <v/>
      </c>
      <c r="AI997" s="39">
        <f>IF(AND($E997="timed",$N997&gt;=Settings!$C$9),1,0)</f>
        <v>0</v>
      </c>
      <c r="AJ997" s="39" t="str">
        <f>IF(OR($S997="",Settings!$C$16=""),"",IF($S997&lt;=Settings!$C$16,1,2))</f>
        <v/>
      </c>
      <c r="AK997" s="39" t="str">
        <f>IF($C997="","",IFERROR(IF(INDEX(Settings!$C$20:$C$59,MATCH($C997,Settings!$B$20:$B$59,0))="",Settings!$C$10,INDEX(Settings!$C$20:$C$59,MATCH($C997,Settings!$B$20:$B$59,0))),Settings!$C$10))</f>
        <v/>
      </c>
      <c r="AL997" s="108">
        <f t="shared" si="282"/>
        <v>0</v>
      </c>
      <c r="AM997" s="39" t="str">
        <f t="shared" si="283"/>
        <v/>
      </c>
      <c r="AN997" s="39" t="str">
        <f t="shared" si="284"/>
        <v/>
      </c>
      <c r="AO997" s="39" t="str">
        <f t="shared" si="285"/>
        <v/>
      </c>
      <c r="AP997" s="39">
        <f t="shared" si="286"/>
        <v>0</v>
      </c>
      <c r="AQ997" s="39">
        <f t="shared" si="287"/>
        <v>0</v>
      </c>
    </row>
    <row r="998" spans="14:43" x14ac:dyDescent="0.25">
      <c r="N998" s="105">
        <f t="shared" si="270"/>
        <v>0</v>
      </c>
      <c r="O998" s="106" t="str">
        <f>IF($F998="","",IF(ISNUMBER($F998),$F998+Settings!$C$7/24,IFERROR(DATEVALUE(LEFT($F998,10))+TIMEVALUE(MID($F998,12,8))+Settings!$C$7/24,"")))</f>
        <v/>
      </c>
      <c r="P998" s="106" t="str">
        <f>IF($G998="","",IF(ISNUMBER($G998),$G998+Settings!$C$7/24,IFERROR(DATEVALUE(LEFT($G998,10))+TIMEVALUE(MID($G998,12,8))+Settings!$C$7/24,"")))</f>
        <v/>
      </c>
      <c r="Q998" s="39" t="str">
        <f t="shared" si="271"/>
        <v/>
      </c>
      <c r="R998" s="39" t="str">
        <f t="shared" si="272"/>
        <v/>
      </c>
      <c r="S998" s="107" t="str">
        <f t="shared" si="273"/>
        <v/>
      </c>
      <c r="T998" s="39" t="str">
        <f>IF($C998="","",IF(COUNTIF($C$2:$C998,$C998)=1,1,0))</f>
        <v/>
      </c>
      <c r="U998" s="39" t="str">
        <f>IF($T998=1,COUNTIF($T$2:$T998,1),"")</f>
        <v/>
      </c>
      <c r="V998" s="39" t="str">
        <f>IF($B998="","",IF(COUNTIF($B$2:$B998,$B998)=1,1,0))</f>
        <v/>
      </c>
      <c r="W998" s="39" t="str">
        <f>IF($V998=1,COUNTIF($V$2:$V998,1),"")</f>
        <v/>
      </c>
      <c r="X998" s="39" t="str">
        <f>IF($A998="","",IF(COUNTIF($A$2:$A998,$A998)=1,1,0))</f>
        <v/>
      </c>
      <c r="Y998" s="39" t="str">
        <f>IF($X998=1,COUNTIF($X$2:$X998,1),"")</f>
        <v/>
      </c>
      <c r="Z998" s="39">
        <f>IF(AND($E998="timed",$N998&gt;Settings!$C$8),1,0)</f>
        <v>0</v>
      </c>
      <c r="AA998" s="39">
        <f t="shared" si="274"/>
        <v>0</v>
      </c>
      <c r="AB998" s="39">
        <f t="shared" si="275"/>
        <v>0</v>
      </c>
      <c r="AC998" s="39" t="str">
        <f t="shared" si="276"/>
        <v/>
      </c>
      <c r="AD998" s="39" t="str">
        <f t="shared" si="277"/>
        <v/>
      </c>
      <c r="AE998" s="39" t="str">
        <f t="shared" si="278"/>
        <v/>
      </c>
      <c r="AF998" s="106" t="str">
        <f t="shared" si="279"/>
        <v/>
      </c>
      <c r="AG998" s="39">
        <f t="shared" si="280"/>
        <v>0</v>
      </c>
      <c r="AH998" s="39" t="str">
        <f t="shared" si="281"/>
        <v/>
      </c>
      <c r="AI998" s="39">
        <f>IF(AND($E998="timed",$N998&gt;=Settings!$C$9),1,0)</f>
        <v>0</v>
      </c>
      <c r="AJ998" s="39" t="str">
        <f>IF(OR($S998="",Settings!$C$16=""),"",IF($S998&lt;=Settings!$C$16,1,2))</f>
        <v/>
      </c>
      <c r="AK998" s="39" t="str">
        <f>IF($C998="","",IFERROR(IF(INDEX(Settings!$C$20:$C$59,MATCH($C998,Settings!$B$20:$B$59,0))="",Settings!$C$10,INDEX(Settings!$C$20:$C$59,MATCH($C998,Settings!$B$20:$B$59,0))),Settings!$C$10))</f>
        <v/>
      </c>
      <c r="AL998" s="108">
        <f t="shared" si="282"/>
        <v>0</v>
      </c>
      <c r="AM998" s="39" t="str">
        <f t="shared" si="283"/>
        <v/>
      </c>
      <c r="AN998" s="39" t="str">
        <f t="shared" si="284"/>
        <v/>
      </c>
      <c r="AO998" s="39" t="str">
        <f t="shared" si="285"/>
        <v/>
      </c>
      <c r="AP998" s="39">
        <f t="shared" si="286"/>
        <v>0</v>
      </c>
      <c r="AQ998" s="39">
        <f t="shared" si="287"/>
        <v>0</v>
      </c>
    </row>
    <row r="999" spans="14:43" x14ac:dyDescent="0.25">
      <c r="N999" s="105">
        <f t="shared" si="270"/>
        <v>0</v>
      </c>
      <c r="O999" s="106" t="str">
        <f>IF($F999="","",IF(ISNUMBER($F999),$F999+Settings!$C$7/24,IFERROR(DATEVALUE(LEFT($F999,10))+TIMEVALUE(MID($F999,12,8))+Settings!$C$7/24,"")))</f>
        <v/>
      </c>
      <c r="P999" s="106" t="str">
        <f>IF($G999="","",IF(ISNUMBER($G999),$G999+Settings!$C$7/24,IFERROR(DATEVALUE(LEFT($G999,10))+TIMEVALUE(MID($G999,12,8))+Settings!$C$7/24,"")))</f>
        <v/>
      </c>
      <c r="Q999" s="39" t="str">
        <f t="shared" si="271"/>
        <v/>
      </c>
      <c r="R999" s="39" t="str">
        <f t="shared" si="272"/>
        <v/>
      </c>
      <c r="S999" s="107" t="str">
        <f t="shared" si="273"/>
        <v/>
      </c>
      <c r="T999" s="39" t="str">
        <f>IF($C999="","",IF(COUNTIF($C$2:$C999,$C999)=1,1,0))</f>
        <v/>
      </c>
      <c r="U999" s="39" t="str">
        <f>IF($T999=1,COUNTIF($T$2:$T999,1),"")</f>
        <v/>
      </c>
      <c r="V999" s="39" t="str">
        <f>IF($B999="","",IF(COUNTIF($B$2:$B999,$B999)=1,1,0))</f>
        <v/>
      </c>
      <c r="W999" s="39" t="str">
        <f>IF($V999=1,COUNTIF($V$2:$V999,1),"")</f>
        <v/>
      </c>
      <c r="X999" s="39" t="str">
        <f>IF($A999="","",IF(COUNTIF($A$2:$A999,$A999)=1,1,0))</f>
        <v/>
      </c>
      <c r="Y999" s="39" t="str">
        <f>IF($X999=1,COUNTIF($X$2:$X999,1),"")</f>
        <v/>
      </c>
      <c r="Z999" s="39">
        <f>IF(AND($E999="timed",$N999&gt;Settings!$C$8),1,0)</f>
        <v>0</v>
      </c>
      <c r="AA999" s="39">
        <f t="shared" si="274"/>
        <v>0</v>
      </c>
      <c r="AB999" s="39">
        <f t="shared" si="275"/>
        <v>0</v>
      </c>
      <c r="AC999" s="39" t="str">
        <f t="shared" si="276"/>
        <v/>
      </c>
      <c r="AD999" s="39" t="str">
        <f t="shared" si="277"/>
        <v/>
      </c>
      <c r="AE999" s="39" t="str">
        <f t="shared" si="278"/>
        <v/>
      </c>
      <c r="AF999" s="106" t="str">
        <f t="shared" si="279"/>
        <v/>
      </c>
      <c r="AG999" s="39">
        <f t="shared" si="280"/>
        <v>0</v>
      </c>
      <c r="AH999" s="39" t="str">
        <f t="shared" si="281"/>
        <v/>
      </c>
      <c r="AI999" s="39">
        <f>IF(AND($E999="timed",$N999&gt;=Settings!$C$9),1,0)</f>
        <v>0</v>
      </c>
      <c r="AJ999" s="39" t="str">
        <f>IF(OR($S999="",Settings!$C$16=""),"",IF($S999&lt;=Settings!$C$16,1,2))</f>
        <v/>
      </c>
      <c r="AK999" s="39" t="str">
        <f>IF($C999="","",IFERROR(IF(INDEX(Settings!$C$20:$C$59,MATCH($C999,Settings!$B$20:$B$59,0))="",Settings!$C$10,INDEX(Settings!$C$20:$C$59,MATCH($C999,Settings!$B$20:$B$59,0))),Settings!$C$10))</f>
        <v/>
      </c>
      <c r="AL999" s="108">
        <f t="shared" si="282"/>
        <v>0</v>
      </c>
      <c r="AM999" s="39" t="str">
        <f t="shared" si="283"/>
        <v/>
      </c>
      <c r="AN999" s="39" t="str">
        <f t="shared" si="284"/>
        <v/>
      </c>
      <c r="AO999" s="39" t="str">
        <f t="shared" si="285"/>
        <v/>
      </c>
      <c r="AP999" s="39">
        <f t="shared" si="286"/>
        <v>0</v>
      </c>
      <c r="AQ999" s="39">
        <f t="shared" si="287"/>
        <v>0</v>
      </c>
    </row>
    <row r="1000" spans="14:43" x14ac:dyDescent="0.25">
      <c r="N1000" s="105">
        <f t="shared" si="270"/>
        <v>0</v>
      </c>
      <c r="O1000" s="106" t="str">
        <f>IF($F1000="","",IF(ISNUMBER($F1000),$F1000+Settings!$C$7/24,IFERROR(DATEVALUE(LEFT($F1000,10))+TIMEVALUE(MID($F1000,12,8))+Settings!$C$7/24,"")))</f>
        <v/>
      </c>
      <c r="P1000" s="106" t="str">
        <f>IF($G1000="","",IF(ISNUMBER($G1000),$G1000+Settings!$C$7/24,IFERROR(DATEVALUE(LEFT($G1000,10))+TIMEVALUE(MID($G1000,12,8))+Settings!$C$7/24,"")))</f>
        <v/>
      </c>
      <c r="Q1000" s="39" t="str">
        <f t="shared" si="271"/>
        <v/>
      </c>
      <c r="R1000" s="39" t="str">
        <f t="shared" si="272"/>
        <v/>
      </c>
      <c r="S1000" s="107" t="str">
        <f t="shared" si="273"/>
        <v/>
      </c>
      <c r="T1000" s="39" t="str">
        <f>IF($C1000="","",IF(COUNTIF($C$2:$C1000,$C1000)=1,1,0))</f>
        <v/>
      </c>
      <c r="U1000" s="39" t="str">
        <f>IF($T1000=1,COUNTIF($T$2:$T1000,1),"")</f>
        <v/>
      </c>
      <c r="V1000" s="39" t="str">
        <f>IF($B1000="","",IF(COUNTIF($B$2:$B1000,$B1000)=1,1,0))</f>
        <v/>
      </c>
      <c r="W1000" s="39" t="str">
        <f>IF($V1000=1,COUNTIF($V$2:$V1000,1),"")</f>
        <v/>
      </c>
      <c r="X1000" s="39" t="str">
        <f>IF($A1000="","",IF(COUNTIF($A$2:$A1000,$A1000)=1,1,0))</f>
        <v/>
      </c>
      <c r="Y1000" s="39" t="str">
        <f>IF($X1000=1,COUNTIF($X$2:$X1000,1),"")</f>
        <v/>
      </c>
      <c r="Z1000" s="39">
        <f>IF(AND($E1000="timed",$N1000&gt;Settings!$C$8),1,0)</f>
        <v>0</v>
      </c>
      <c r="AA1000" s="39">
        <f t="shared" si="274"/>
        <v>0</v>
      </c>
      <c r="AB1000" s="39">
        <f t="shared" si="275"/>
        <v>0</v>
      </c>
      <c r="AC1000" s="39" t="str">
        <f t="shared" si="276"/>
        <v/>
      </c>
      <c r="AD1000" s="39" t="str">
        <f t="shared" si="277"/>
        <v/>
      </c>
      <c r="AE1000" s="39" t="str">
        <f t="shared" si="278"/>
        <v/>
      </c>
      <c r="AF1000" s="106" t="str">
        <f t="shared" si="279"/>
        <v/>
      </c>
      <c r="AG1000" s="39">
        <f t="shared" si="280"/>
        <v>0</v>
      </c>
      <c r="AH1000" s="39" t="str">
        <f t="shared" si="281"/>
        <v/>
      </c>
      <c r="AI1000" s="39">
        <f>IF(AND($E1000="timed",$N1000&gt;=Settings!$C$9),1,0)</f>
        <v>0</v>
      </c>
      <c r="AJ1000" s="39" t="str">
        <f>IF(OR($S1000="",Settings!$C$16=""),"",IF($S1000&lt;=Settings!$C$16,1,2))</f>
        <v/>
      </c>
      <c r="AK1000" s="39" t="str">
        <f>IF($C1000="","",IFERROR(IF(INDEX(Settings!$C$20:$C$59,MATCH($C1000,Settings!$B$20:$B$59,0))="",Settings!$C$10,INDEX(Settings!$C$20:$C$59,MATCH($C1000,Settings!$B$20:$B$59,0))),Settings!$C$10))</f>
        <v/>
      </c>
      <c r="AL1000" s="108">
        <f t="shared" si="282"/>
        <v>0</v>
      </c>
      <c r="AM1000" s="39" t="str">
        <f t="shared" si="283"/>
        <v/>
      </c>
      <c r="AN1000" s="39" t="str">
        <f t="shared" si="284"/>
        <v/>
      </c>
      <c r="AO1000" s="39" t="str">
        <f t="shared" si="285"/>
        <v/>
      </c>
      <c r="AP1000" s="39">
        <f t="shared" si="286"/>
        <v>0</v>
      </c>
      <c r="AQ1000" s="39">
        <f t="shared" si="287"/>
        <v>0</v>
      </c>
    </row>
    <row r="1001" spans="14:43" x14ac:dyDescent="0.25">
      <c r="N1001" s="105">
        <f t="shared" si="270"/>
        <v>0</v>
      </c>
      <c r="O1001" s="106" t="str">
        <f>IF($F1001="","",IF(ISNUMBER($F1001),$F1001+Settings!$C$7/24,IFERROR(DATEVALUE(LEFT($F1001,10))+TIMEVALUE(MID($F1001,12,8))+Settings!$C$7/24,"")))</f>
        <v/>
      </c>
      <c r="P1001" s="106" t="str">
        <f>IF($G1001="","",IF(ISNUMBER($G1001),$G1001+Settings!$C$7/24,IFERROR(DATEVALUE(LEFT($G1001,10))+TIMEVALUE(MID($G1001,12,8))+Settings!$C$7/24,"")))</f>
        <v/>
      </c>
      <c r="Q1001" s="39" t="str">
        <f t="shared" si="271"/>
        <v/>
      </c>
      <c r="R1001" s="39" t="str">
        <f t="shared" si="272"/>
        <v/>
      </c>
      <c r="S1001" s="107" t="str">
        <f t="shared" si="273"/>
        <v/>
      </c>
      <c r="T1001" s="39" t="str">
        <f>IF($C1001="","",IF(COUNTIF($C$2:$C1001,$C1001)=1,1,0))</f>
        <v/>
      </c>
      <c r="U1001" s="39" t="str">
        <f>IF($T1001=1,COUNTIF($T$2:$T1001,1),"")</f>
        <v/>
      </c>
      <c r="V1001" s="39" t="str">
        <f>IF($B1001="","",IF(COUNTIF($B$2:$B1001,$B1001)=1,1,0))</f>
        <v/>
      </c>
      <c r="W1001" s="39" t="str">
        <f>IF($V1001=1,COUNTIF($V$2:$V1001,1),"")</f>
        <v/>
      </c>
      <c r="X1001" s="39" t="str">
        <f>IF($A1001="","",IF(COUNTIF($A$2:$A1001,$A1001)=1,1,0))</f>
        <v/>
      </c>
      <c r="Y1001" s="39" t="str">
        <f>IF($X1001=1,COUNTIF($X$2:$X1001,1),"")</f>
        <v/>
      </c>
      <c r="Z1001" s="39">
        <f>IF(AND($E1001="timed",$N1001&gt;Settings!$C$8),1,0)</f>
        <v>0</v>
      </c>
      <c r="AA1001" s="39">
        <f t="shared" si="274"/>
        <v>0</v>
      </c>
      <c r="AB1001" s="39">
        <f t="shared" si="275"/>
        <v>0</v>
      </c>
      <c r="AC1001" s="39" t="str">
        <f t="shared" si="276"/>
        <v/>
      </c>
      <c r="AD1001" s="39" t="str">
        <f t="shared" si="277"/>
        <v/>
      </c>
      <c r="AE1001" s="39" t="str">
        <f t="shared" si="278"/>
        <v/>
      </c>
      <c r="AF1001" s="106" t="str">
        <f t="shared" si="279"/>
        <v/>
      </c>
      <c r="AG1001" s="39">
        <f t="shared" si="280"/>
        <v>0</v>
      </c>
      <c r="AH1001" s="39" t="str">
        <f t="shared" si="281"/>
        <v/>
      </c>
      <c r="AI1001" s="39">
        <f>IF(AND($E1001="timed",$N1001&gt;=Settings!$C$9),1,0)</f>
        <v>0</v>
      </c>
      <c r="AJ1001" s="39" t="str">
        <f>IF(OR($S1001="",Settings!$C$16=""),"",IF($S1001&lt;=Settings!$C$16,1,2))</f>
        <v/>
      </c>
      <c r="AK1001" s="39" t="str">
        <f>IF($C1001="","",IFERROR(IF(INDEX(Settings!$C$20:$C$59,MATCH($C1001,Settings!$B$20:$B$59,0))="",Settings!$C$10,INDEX(Settings!$C$20:$C$59,MATCH($C1001,Settings!$B$20:$B$59,0))),Settings!$C$10))</f>
        <v/>
      </c>
      <c r="AL1001" s="108">
        <f t="shared" si="282"/>
        <v>0</v>
      </c>
      <c r="AM1001" s="39" t="str">
        <f t="shared" si="283"/>
        <v/>
      </c>
      <c r="AN1001" s="39" t="str">
        <f t="shared" si="284"/>
        <v/>
      </c>
      <c r="AO1001" s="39" t="str">
        <f t="shared" si="285"/>
        <v/>
      </c>
      <c r="AP1001" s="39">
        <f t="shared" si="286"/>
        <v>0</v>
      </c>
      <c r="AQ1001" s="39">
        <f t="shared" si="287"/>
        <v>0</v>
      </c>
    </row>
    <row r="1002" spans="14:43" x14ac:dyDescent="0.25">
      <c r="N1002" s="105">
        <f t="shared" si="270"/>
        <v>0</v>
      </c>
      <c r="O1002" s="106" t="str">
        <f>IF($F1002="","",IF(ISNUMBER($F1002),$F1002+Settings!$C$7/24,IFERROR(DATEVALUE(LEFT($F1002,10))+TIMEVALUE(MID($F1002,12,8))+Settings!$C$7/24,"")))</f>
        <v/>
      </c>
      <c r="P1002" s="106" t="str">
        <f>IF($G1002="","",IF(ISNUMBER($G1002),$G1002+Settings!$C$7/24,IFERROR(DATEVALUE(LEFT($G1002,10))+TIMEVALUE(MID($G1002,12,8))+Settings!$C$7/24,"")))</f>
        <v/>
      </c>
      <c r="Q1002" s="39" t="str">
        <f t="shared" si="271"/>
        <v/>
      </c>
      <c r="R1002" s="39" t="str">
        <f t="shared" si="272"/>
        <v/>
      </c>
      <c r="S1002" s="107" t="str">
        <f t="shared" si="273"/>
        <v/>
      </c>
      <c r="T1002" s="39" t="str">
        <f>IF($C1002="","",IF(COUNTIF($C$2:$C1002,$C1002)=1,1,0))</f>
        <v/>
      </c>
      <c r="U1002" s="39" t="str">
        <f>IF($T1002=1,COUNTIF($T$2:$T1002,1),"")</f>
        <v/>
      </c>
      <c r="V1002" s="39" t="str">
        <f>IF($B1002="","",IF(COUNTIF($B$2:$B1002,$B1002)=1,1,0))</f>
        <v/>
      </c>
      <c r="W1002" s="39" t="str">
        <f>IF($V1002=1,COUNTIF($V$2:$V1002,1),"")</f>
        <v/>
      </c>
      <c r="X1002" s="39" t="str">
        <f>IF($A1002="","",IF(COUNTIF($A$2:$A1002,$A1002)=1,1,0))</f>
        <v/>
      </c>
      <c r="Y1002" s="39" t="str">
        <f>IF($X1002=1,COUNTIF($X$2:$X1002,1),"")</f>
        <v/>
      </c>
      <c r="Z1002" s="39">
        <f>IF(AND($E1002="timed",$N1002&gt;Settings!$C$8),1,0)</f>
        <v>0</v>
      </c>
      <c r="AA1002" s="39">
        <f t="shared" si="274"/>
        <v>0</v>
      </c>
      <c r="AB1002" s="39">
        <f t="shared" si="275"/>
        <v>0</v>
      </c>
      <c r="AC1002" s="39" t="str">
        <f t="shared" si="276"/>
        <v/>
      </c>
      <c r="AD1002" s="39" t="str">
        <f t="shared" si="277"/>
        <v/>
      </c>
      <c r="AE1002" s="39" t="str">
        <f t="shared" si="278"/>
        <v/>
      </c>
      <c r="AF1002" s="106" t="str">
        <f t="shared" si="279"/>
        <v/>
      </c>
      <c r="AG1002" s="39">
        <f t="shared" si="280"/>
        <v>0</v>
      </c>
      <c r="AH1002" s="39" t="str">
        <f t="shared" si="281"/>
        <v/>
      </c>
      <c r="AI1002" s="39">
        <f>IF(AND($E1002="timed",$N1002&gt;=Settings!$C$9),1,0)</f>
        <v>0</v>
      </c>
      <c r="AJ1002" s="39" t="str">
        <f>IF(OR($S1002="",Settings!$C$16=""),"",IF($S1002&lt;=Settings!$C$16,1,2))</f>
        <v/>
      </c>
      <c r="AK1002" s="39" t="str">
        <f>IF($C1002="","",IFERROR(IF(INDEX(Settings!$C$20:$C$59,MATCH($C1002,Settings!$B$20:$B$59,0))="",Settings!$C$10,INDEX(Settings!$C$20:$C$59,MATCH($C1002,Settings!$B$20:$B$59,0))),Settings!$C$10))</f>
        <v/>
      </c>
      <c r="AL1002" s="108">
        <f t="shared" si="282"/>
        <v>0</v>
      </c>
      <c r="AM1002" s="39" t="str">
        <f t="shared" si="283"/>
        <v/>
      </c>
      <c r="AN1002" s="39" t="str">
        <f t="shared" si="284"/>
        <v/>
      </c>
      <c r="AO1002" s="39" t="str">
        <f t="shared" si="285"/>
        <v/>
      </c>
      <c r="AP1002" s="39">
        <f t="shared" si="286"/>
        <v>0</v>
      </c>
      <c r="AQ1002" s="39">
        <f t="shared" si="287"/>
        <v>0</v>
      </c>
    </row>
    <row r="1003" spans="14:43" x14ac:dyDescent="0.25">
      <c r="N1003" s="105">
        <f t="shared" si="270"/>
        <v>0</v>
      </c>
      <c r="O1003" s="106" t="str">
        <f>IF($F1003="","",IF(ISNUMBER($F1003),$F1003+Settings!$C$7/24,IFERROR(DATEVALUE(LEFT($F1003,10))+TIMEVALUE(MID($F1003,12,8))+Settings!$C$7/24,"")))</f>
        <v/>
      </c>
      <c r="P1003" s="106" t="str">
        <f>IF($G1003="","",IF(ISNUMBER($G1003),$G1003+Settings!$C$7/24,IFERROR(DATEVALUE(LEFT($G1003,10))+TIMEVALUE(MID($G1003,12,8))+Settings!$C$7/24,"")))</f>
        <v/>
      </c>
      <c r="Q1003" s="39" t="str">
        <f t="shared" si="271"/>
        <v/>
      </c>
      <c r="R1003" s="39" t="str">
        <f t="shared" si="272"/>
        <v/>
      </c>
      <c r="S1003" s="107" t="str">
        <f t="shared" si="273"/>
        <v/>
      </c>
      <c r="T1003" s="39" t="str">
        <f>IF($C1003="","",IF(COUNTIF($C$2:$C1003,$C1003)=1,1,0))</f>
        <v/>
      </c>
      <c r="U1003" s="39" t="str">
        <f>IF($T1003=1,COUNTIF($T$2:$T1003,1),"")</f>
        <v/>
      </c>
      <c r="V1003" s="39" t="str">
        <f>IF($B1003="","",IF(COUNTIF($B$2:$B1003,$B1003)=1,1,0))</f>
        <v/>
      </c>
      <c r="W1003" s="39" t="str">
        <f>IF($V1003=1,COUNTIF($V$2:$V1003,1),"")</f>
        <v/>
      </c>
      <c r="X1003" s="39" t="str">
        <f>IF($A1003="","",IF(COUNTIF($A$2:$A1003,$A1003)=1,1,0))</f>
        <v/>
      </c>
      <c r="Y1003" s="39" t="str">
        <f>IF($X1003=1,COUNTIF($X$2:$X1003,1),"")</f>
        <v/>
      </c>
      <c r="Z1003" s="39">
        <f>IF(AND($E1003="timed",$N1003&gt;Settings!$C$8),1,0)</f>
        <v>0</v>
      </c>
      <c r="AA1003" s="39">
        <f t="shared" si="274"/>
        <v>0</v>
      </c>
      <c r="AB1003" s="39">
        <f t="shared" si="275"/>
        <v>0</v>
      </c>
      <c r="AC1003" s="39" t="str">
        <f t="shared" si="276"/>
        <v/>
      </c>
      <c r="AD1003" s="39" t="str">
        <f t="shared" si="277"/>
        <v/>
      </c>
      <c r="AE1003" s="39" t="str">
        <f t="shared" si="278"/>
        <v/>
      </c>
      <c r="AF1003" s="106" t="str">
        <f t="shared" si="279"/>
        <v/>
      </c>
      <c r="AG1003" s="39">
        <f t="shared" si="280"/>
        <v>0</v>
      </c>
      <c r="AH1003" s="39" t="str">
        <f t="shared" si="281"/>
        <v/>
      </c>
      <c r="AI1003" s="39">
        <f>IF(AND($E1003="timed",$N1003&gt;=Settings!$C$9),1,0)</f>
        <v>0</v>
      </c>
      <c r="AJ1003" s="39" t="str">
        <f>IF(OR($S1003="",Settings!$C$16=""),"",IF($S1003&lt;=Settings!$C$16,1,2))</f>
        <v/>
      </c>
      <c r="AK1003" s="39" t="str">
        <f>IF($C1003="","",IFERROR(IF(INDEX(Settings!$C$20:$C$59,MATCH($C1003,Settings!$B$20:$B$59,0))="",Settings!$C$10,INDEX(Settings!$C$20:$C$59,MATCH($C1003,Settings!$B$20:$B$59,0))),Settings!$C$10))</f>
        <v/>
      </c>
      <c r="AL1003" s="108">
        <f t="shared" si="282"/>
        <v>0</v>
      </c>
      <c r="AM1003" s="39" t="str">
        <f t="shared" si="283"/>
        <v/>
      </c>
      <c r="AN1003" s="39" t="str">
        <f t="shared" si="284"/>
        <v/>
      </c>
      <c r="AO1003" s="39" t="str">
        <f t="shared" si="285"/>
        <v/>
      </c>
      <c r="AP1003" s="39">
        <f t="shared" si="286"/>
        <v>0</v>
      </c>
      <c r="AQ1003" s="39">
        <f t="shared" si="287"/>
        <v>0</v>
      </c>
    </row>
    <row r="1004" spans="14:43" x14ac:dyDescent="0.25">
      <c r="N1004" s="105">
        <f t="shared" si="270"/>
        <v>0</v>
      </c>
      <c r="O1004" s="106" t="str">
        <f>IF($F1004="","",IF(ISNUMBER($F1004),$F1004+Settings!$C$7/24,IFERROR(DATEVALUE(LEFT($F1004,10))+TIMEVALUE(MID($F1004,12,8))+Settings!$C$7/24,"")))</f>
        <v/>
      </c>
      <c r="P1004" s="106" t="str">
        <f>IF($G1004="","",IF(ISNUMBER($G1004),$G1004+Settings!$C$7/24,IFERROR(DATEVALUE(LEFT($G1004,10))+TIMEVALUE(MID($G1004,12,8))+Settings!$C$7/24,"")))</f>
        <v/>
      </c>
      <c r="Q1004" s="39" t="str">
        <f t="shared" si="271"/>
        <v/>
      </c>
      <c r="R1004" s="39" t="str">
        <f t="shared" si="272"/>
        <v/>
      </c>
      <c r="S1004" s="107" t="str">
        <f t="shared" si="273"/>
        <v/>
      </c>
      <c r="T1004" s="39" t="str">
        <f>IF($C1004="","",IF(COUNTIF($C$2:$C1004,$C1004)=1,1,0))</f>
        <v/>
      </c>
      <c r="U1004" s="39" t="str">
        <f>IF($T1004=1,COUNTIF($T$2:$T1004,1),"")</f>
        <v/>
      </c>
      <c r="V1004" s="39" t="str">
        <f>IF($B1004="","",IF(COUNTIF($B$2:$B1004,$B1004)=1,1,0))</f>
        <v/>
      </c>
      <c r="W1004" s="39" t="str">
        <f>IF($V1004=1,COUNTIF($V$2:$V1004,1),"")</f>
        <v/>
      </c>
      <c r="X1004" s="39" t="str">
        <f>IF($A1004="","",IF(COUNTIF($A$2:$A1004,$A1004)=1,1,0))</f>
        <v/>
      </c>
      <c r="Y1004" s="39" t="str">
        <f>IF($X1004=1,COUNTIF($X$2:$X1004,1),"")</f>
        <v/>
      </c>
      <c r="Z1004" s="39">
        <f>IF(AND($E1004="timed",$N1004&gt;Settings!$C$8),1,0)</f>
        <v>0</v>
      </c>
      <c r="AA1004" s="39">
        <f t="shared" si="274"/>
        <v>0</v>
      </c>
      <c r="AB1004" s="39">
        <f t="shared" si="275"/>
        <v>0</v>
      </c>
      <c r="AC1004" s="39" t="str">
        <f t="shared" si="276"/>
        <v/>
      </c>
      <c r="AD1004" s="39" t="str">
        <f t="shared" si="277"/>
        <v/>
      </c>
      <c r="AE1004" s="39" t="str">
        <f t="shared" si="278"/>
        <v/>
      </c>
      <c r="AF1004" s="106" t="str">
        <f t="shared" si="279"/>
        <v/>
      </c>
      <c r="AG1004" s="39">
        <f t="shared" si="280"/>
        <v>0</v>
      </c>
      <c r="AH1004" s="39" t="str">
        <f t="shared" si="281"/>
        <v/>
      </c>
      <c r="AI1004" s="39">
        <f>IF(AND($E1004="timed",$N1004&gt;=Settings!$C$9),1,0)</f>
        <v>0</v>
      </c>
      <c r="AJ1004" s="39" t="str">
        <f>IF(OR($S1004="",Settings!$C$16=""),"",IF($S1004&lt;=Settings!$C$16,1,2))</f>
        <v/>
      </c>
      <c r="AK1004" s="39" t="str">
        <f>IF($C1004="","",IFERROR(IF(INDEX(Settings!$C$20:$C$59,MATCH($C1004,Settings!$B$20:$B$59,0))="",Settings!$C$10,INDEX(Settings!$C$20:$C$59,MATCH($C1004,Settings!$B$20:$B$59,0))),Settings!$C$10))</f>
        <v/>
      </c>
      <c r="AL1004" s="108">
        <f t="shared" si="282"/>
        <v>0</v>
      </c>
      <c r="AM1004" s="39" t="str">
        <f t="shared" si="283"/>
        <v/>
      </c>
      <c r="AN1004" s="39" t="str">
        <f t="shared" si="284"/>
        <v/>
      </c>
      <c r="AO1004" s="39" t="str">
        <f t="shared" si="285"/>
        <v/>
      </c>
      <c r="AP1004" s="39">
        <f t="shared" si="286"/>
        <v>0</v>
      </c>
      <c r="AQ1004" s="39">
        <f t="shared" si="287"/>
        <v>0</v>
      </c>
    </row>
    <row r="1005" spans="14:43" x14ac:dyDescent="0.25">
      <c r="N1005" s="105">
        <f t="shared" si="270"/>
        <v>0</v>
      </c>
      <c r="O1005" s="106" t="str">
        <f>IF($F1005="","",IF(ISNUMBER($F1005),$F1005+Settings!$C$7/24,IFERROR(DATEVALUE(LEFT($F1005,10))+TIMEVALUE(MID($F1005,12,8))+Settings!$C$7/24,"")))</f>
        <v/>
      </c>
      <c r="P1005" s="106" t="str">
        <f>IF($G1005="","",IF(ISNUMBER($G1005),$G1005+Settings!$C$7/24,IFERROR(DATEVALUE(LEFT($G1005,10))+TIMEVALUE(MID($G1005,12,8))+Settings!$C$7/24,"")))</f>
        <v/>
      </c>
      <c r="Q1005" s="39" t="str">
        <f t="shared" si="271"/>
        <v/>
      </c>
      <c r="R1005" s="39" t="str">
        <f t="shared" si="272"/>
        <v/>
      </c>
      <c r="S1005" s="107" t="str">
        <f t="shared" si="273"/>
        <v/>
      </c>
      <c r="T1005" s="39" t="str">
        <f>IF($C1005="","",IF(COUNTIF($C$2:$C1005,$C1005)=1,1,0))</f>
        <v/>
      </c>
      <c r="U1005" s="39" t="str">
        <f>IF($T1005=1,COUNTIF($T$2:$T1005,1),"")</f>
        <v/>
      </c>
      <c r="V1005" s="39" t="str">
        <f>IF($B1005="","",IF(COUNTIF($B$2:$B1005,$B1005)=1,1,0))</f>
        <v/>
      </c>
      <c r="W1005" s="39" t="str">
        <f>IF($V1005=1,COUNTIF($V$2:$V1005,1),"")</f>
        <v/>
      </c>
      <c r="X1005" s="39" t="str">
        <f>IF($A1005="","",IF(COUNTIF($A$2:$A1005,$A1005)=1,1,0))</f>
        <v/>
      </c>
      <c r="Y1005" s="39" t="str">
        <f>IF($X1005=1,COUNTIF($X$2:$X1005,1),"")</f>
        <v/>
      </c>
      <c r="Z1005" s="39">
        <f>IF(AND($E1005="timed",$N1005&gt;Settings!$C$8),1,0)</f>
        <v>0</v>
      </c>
      <c r="AA1005" s="39">
        <f t="shared" si="274"/>
        <v>0</v>
      </c>
      <c r="AB1005" s="39">
        <f t="shared" si="275"/>
        <v>0</v>
      </c>
      <c r="AC1005" s="39" t="str">
        <f t="shared" si="276"/>
        <v/>
      </c>
      <c r="AD1005" s="39" t="str">
        <f t="shared" si="277"/>
        <v/>
      </c>
      <c r="AE1005" s="39" t="str">
        <f t="shared" si="278"/>
        <v/>
      </c>
      <c r="AF1005" s="106" t="str">
        <f t="shared" si="279"/>
        <v/>
      </c>
      <c r="AG1005" s="39">
        <f t="shared" si="280"/>
        <v>0</v>
      </c>
      <c r="AH1005" s="39" t="str">
        <f t="shared" si="281"/>
        <v/>
      </c>
      <c r="AI1005" s="39">
        <f>IF(AND($E1005="timed",$N1005&gt;=Settings!$C$9),1,0)</f>
        <v>0</v>
      </c>
      <c r="AJ1005" s="39" t="str">
        <f>IF(OR($S1005="",Settings!$C$16=""),"",IF($S1005&lt;=Settings!$C$16,1,2))</f>
        <v/>
      </c>
      <c r="AK1005" s="39" t="str">
        <f>IF($C1005="","",IFERROR(IF(INDEX(Settings!$C$20:$C$59,MATCH($C1005,Settings!$B$20:$B$59,0))="",Settings!$C$10,INDEX(Settings!$C$20:$C$59,MATCH($C1005,Settings!$B$20:$B$59,0))),Settings!$C$10))</f>
        <v/>
      </c>
      <c r="AL1005" s="108">
        <f t="shared" si="282"/>
        <v>0</v>
      </c>
      <c r="AM1005" s="39" t="str">
        <f t="shared" si="283"/>
        <v/>
      </c>
      <c r="AN1005" s="39" t="str">
        <f t="shared" si="284"/>
        <v/>
      </c>
      <c r="AO1005" s="39" t="str">
        <f t="shared" si="285"/>
        <v/>
      </c>
      <c r="AP1005" s="39">
        <f t="shared" si="286"/>
        <v>0</v>
      </c>
      <c r="AQ1005" s="39">
        <f t="shared" si="287"/>
        <v>0</v>
      </c>
    </row>
    <row r="1006" spans="14:43" x14ac:dyDescent="0.25">
      <c r="N1006" s="105">
        <f t="shared" si="270"/>
        <v>0</v>
      </c>
      <c r="O1006" s="106" t="str">
        <f>IF($F1006="","",IF(ISNUMBER($F1006),$F1006+Settings!$C$7/24,IFERROR(DATEVALUE(LEFT($F1006,10))+TIMEVALUE(MID($F1006,12,8))+Settings!$C$7/24,"")))</f>
        <v/>
      </c>
      <c r="P1006" s="106" t="str">
        <f>IF($G1006="","",IF(ISNUMBER($G1006),$G1006+Settings!$C$7/24,IFERROR(DATEVALUE(LEFT($G1006,10))+TIMEVALUE(MID($G1006,12,8))+Settings!$C$7/24,"")))</f>
        <v/>
      </c>
      <c r="Q1006" s="39" t="str">
        <f t="shared" si="271"/>
        <v/>
      </c>
      <c r="R1006" s="39" t="str">
        <f t="shared" si="272"/>
        <v/>
      </c>
      <c r="S1006" s="107" t="str">
        <f t="shared" si="273"/>
        <v/>
      </c>
      <c r="T1006" s="39" t="str">
        <f>IF($C1006="","",IF(COUNTIF($C$2:$C1006,$C1006)=1,1,0))</f>
        <v/>
      </c>
      <c r="U1006" s="39" t="str">
        <f>IF($T1006=1,COUNTIF($T$2:$T1006,1),"")</f>
        <v/>
      </c>
      <c r="V1006" s="39" t="str">
        <f>IF($B1006="","",IF(COUNTIF($B$2:$B1006,$B1006)=1,1,0))</f>
        <v/>
      </c>
      <c r="W1006" s="39" t="str">
        <f>IF($V1006=1,COUNTIF($V$2:$V1006,1),"")</f>
        <v/>
      </c>
      <c r="X1006" s="39" t="str">
        <f>IF($A1006="","",IF(COUNTIF($A$2:$A1006,$A1006)=1,1,0))</f>
        <v/>
      </c>
      <c r="Y1006" s="39" t="str">
        <f>IF($X1006=1,COUNTIF($X$2:$X1006,1),"")</f>
        <v/>
      </c>
      <c r="Z1006" s="39">
        <f>IF(AND($E1006="timed",$N1006&gt;Settings!$C$8),1,0)</f>
        <v>0</v>
      </c>
      <c r="AA1006" s="39">
        <f t="shared" si="274"/>
        <v>0</v>
      </c>
      <c r="AB1006" s="39">
        <f t="shared" si="275"/>
        <v>0</v>
      </c>
      <c r="AC1006" s="39" t="str">
        <f t="shared" si="276"/>
        <v/>
      </c>
      <c r="AD1006" s="39" t="str">
        <f t="shared" si="277"/>
        <v/>
      </c>
      <c r="AE1006" s="39" t="str">
        <f t="shared" si="278"/>
        <v/>
      </c>
      <c r="AF1006" s="106" t="str">
        <f t="shared" si="279"/>
        <v/>
      </c>
      <c r="AG1006" s="39">
        <f t="shared" si="280"/>
        <v>0</v>
      </c>
      <c r="AH1006" s="39" t="str">
        <f t="shared" si="281"/>
        <v/>
      </c>
      <c r="AI1006" s="39">
        <f>IF(AND($E1006="timed",$N1006&gt;=Settings!$C$9),1,0)</f>
        <v>0</v>
      </c>
      <c r="AJ1006" s="39" t="str">
        <f>IF(OR($S1006="",Settings!$C$16=""),"",IF($S1006&lt;=Settings!$C$16,1,2))</f>
        <v/>
      </c>
      <c r="AK1006" s="39" t="str">
        <f>IF($C1006="","",IFERROR(IF(INDEX(Settings!$C$20:$C$59,MATCH($C1006,Settings!$B$20:$B$59,0))="",Settings!$C$10,INDEX(Settings!$C$20:$C$59,MATCH($C1006,Settings!$B$20:$B$59,0))),Settings!$C$10))</f>
        <v/>
      </c>
      <c r="AL1006" s="108">
        <f t="shared" si="282"/>
        <v>0</v>
      </c>
      <c r="AM1006" s="39" t="str">
        <f t="shared" si="283"/>
        <v/>
      </c>
      <c r="AN1006" s="39" t="str">
        <f t="shared" si="284"/>
        <v/>
      </c>
      <c r="AO1006" s="39" t="str">
        <f t="shared" si="285"/>
        <v/>
      </c>
      <c r="AP1006" s="39">
        <f t="shared" si="286"/>
        <v>0</v>
      </c>
      <c r="AQ1006" s="39">
        <f t="shared" si="287"/>
        <v>0</v>
      </c>
    </row>
    <row r="1007" spans="14:43" x14ac:dyDescent="0.25">
      <c r="N1007" s="105">
        <f t="shared" si="270"/>
        <v>0</v>
      </c>
      <c r="O1007" s="106" t="str">
        <f>IF($F1007="","",IF(ISNUMBER($F1007),$F1007+Settings!$C$7/24,IFERROR(DATEVALUE(LEFT($F1007,10))+TIMEVALUE(MID($F1007,12,8))+Settings!$C$7/24,"")))</f>
        <v/>
      </c>
      <c r="P1007" s="106" t="str">
        <f>IF($G1007="","",IF(ISNUMBER($G1007),$G1007+Settings!$C$7/24,IFERROR(DATEVALUE(LEFT($G1007,10))+TIMEVALUE(MID($G1007,12,8))+Settings!$C$7/24,"")))</f>
        <v/>
      </c>
      <c r="Q1007" s="39" t="str">
        <f t="shared" si="271"/>
        <v/>
      </c>
      <c r="R1007" s="39" t="str">
        <f t="shared" si="272"/>
        <v/>
      </c>
      <c r="S1007" s="107" t="str">
        <f t="shared" si="273"/>
        <v/>
      </c>
      <c r="T1007" s="39" t="str">
        <f>IF($C1007="","",IF(COUNTIF($C$2:$C1007,$C1007)=1,1,0))</f>
        <v/>
      </c>
      <c r="U1007" s="39" t="str">
        <f>IF($T1007=1,COUNTIF($T$2:$T1007,1),"")</f>
        <v/>
      </c>
      <c r="V1007" s="39" t="str">
        <f>IF($B1007="","",IF(COUNTIF($B$2:$B1007,$B1007)=1,1,0))</f>
        <v/>
      </c>
      <c r="W1007" s="39" t="str">
        <f>IF($V1007=1,COUNTIF($V$2:$V1007,1),"")</f>
        <v/>
      </c>
      <c r="X1007" s="39" t="str">
        <f>IF($A1007="","",IF(COUNTIF($A$2:$A1007,$A1007)=1,1,0))</f>
        <v/>
      </c>
      <c r="Y1007" s="39" t="str">
        <f>IF($X1007=1,COUNTIF($X$2:$X1007,1),"")</f>
        <v/>
      </c>
      <c r="Z1007" s="39">
        <f>IF(AND($E1007="timed",$N1007&gt;Settings!$C$8),1,0)</f>
        <v>0</v>
      </c>
      <c r="AA1007" s="39">
        <f t="shared" si="274"/>
        <v>0</v>
      </c>
      <c r="AB1007" s="39">
        <f t="shared" si="275"/>
        <v>0</v>
      </c>
      <c r="AC1007" s="39" t="str">
        <f t="shared" si="276"/>
        <v/>
      </c>
      <c r="AD1007" s="39" t="str">
        <f t="shared" si="277"/>
        <v/>
      </c>
      <c r="AE1007" s="39" t="str">
        <f t="shared" si="278"/>
        <v/>
      </c>
      <c r="AF1007" s="106" t="str">
        <f t="shared" si="279"/>
        <v/>
      </c>
      <c r="AG1007" s="39">
        <f t="shared" si="280"/>
        <v>0</v>
      </c>
      <c r="AH1007" s="39" t="str">
        <f t="shared" si="281"/>
        <v/>
      </c>
      <c r="AI1007" s="39">
        <f>IF(AND($E1007="timed",$N1007&gt;=Settings!$C$9),1,0)</f>
        <v>0</v>
      </c>
      <c r="AJ1007" s="39" t="str">
        <f>IF(OR($S1007="",Settings!$C$16=""),"",IF($S1007&lt;=Settings!$C$16,1,2))</f>
        <v/>
      </c>
      <c r="AK1007" s="39" t="str">
        <f>IF($C1007="","",IFERROR(IF(INDEX(Settings!$C$20:$C$59,MATCH($C1007,Settings!$B$20:$B$59,0))="",Settings!$C$10,INDEX(Settings!$C$20:$C$59,MATCH($C1007,Settings!$B$20:$B$59,0))),Settings!$C$10))</f>
        <v/>
      </c>
      <c r="AL1007" s="108">
        <f t="shared" si="282"/>
        <v>0</v>
      </c>
      <c r="AM1007" s="39" t="str">
        <f t="shared" si="283"/>
        <v/>
      </c>
      <c r="AN1007" s="39" t="str">
        <f t="shared" si="284"/>
        <v/>
      </c>
      <c r="AO1007" s="39" t="str">
        <f t="shared" si="285"/>
        <v/>
      </c>
      <c r="AP1007" s="39">
        <f t="shared" si="286"/>
        <v>0</v>
      </c>
      <c r="AQ1007" s="39">
        <f t="shared" si="287"/>
        <v>0</v>
      </c>
    </row>
    <row r="1008" spans="14:43" x14ac:dyDescent="0.25">
      <c r="N1008" s="105">
        <f t="shared" si="270"/>
        <v>0</v>
      </c>
      <c r="O1008" s="106" t="str">
        <f>IF($F1008="","",IF(ISNUMBER($F1008),$F1008+Settings!$C$7/24,IFERROR(DATEVALUE(LEFT($F1008,10))+TIMEVALUE(MID($F1008,12,8))+Settings!$C$7/24,"")))</f>
        <v/>
      </c>
      <c r="P1008" s="106" t="str">
        <f>IF($G1008="","",IF(ISNUMBER($G1008),$G1008+Settings!$C$7/24,IFERROR(DATEVALUE(LEFT($G1008,10))+TIMEVALUE(MID($G1008,12,8))+Settings!$C$7/24,"")))</f>
        <v/>
      </c>
      <c r="Q1008" s="39" t="str">
        <f t="shared" si="271"/>
        <v/>
      </c>
      <c r="R1008" s="39" t="str">
        <f t="shared" si="272"/>
        <v/>
      </c>
      <c r="S1008" s="107" t="str">
        <f t="shared" si="273"/>
        <v/>
      </c>
      <c r="T1008" s="39" t="str">
        <f>IF($C1008="","",IF(COUNTIF($C$2:$C1008,$C1008)=1,1,0))</f>
        <v/>
      </c>
      <c r="U1008" s="39" t="str">
        <f>IF($T1008=1,COUNTIF($T$2:$T1008,1),"")</f>
        <v/>
      </c>
      <c r="V1008" s="39" t="str">
        <f>IF($B1008="","",IF(COUNTIF($B$2:$B1008,$B1008)=1,1,0))</f>
        <v/>
      </c>
      <c r="W1008" s="39" t="str">
        <f>IF($V1008=1,COUNTIF($V$2:$V1008,1),"")</f>
        <v/>
      </c>
      <c r="X1008" s="39" t="str">
        <f>IF($A1008="","",IF(COUNTIF($A$2:$A1008,$A1008)=1,1,0))</f>
        <v/>
      </c>
      <c r="Y1008" s="39" t="str">
        <f>IF($X1008=1,COUNTIF($X$2:$X1008,1),"")</f>
        <v/>
      </c>
      <c r="Z1008" s="39">
        <f>IF(AND($E1008="timed",$N1008&gt;Settings!$C$8),1,0)</f>
        <v>0</v>
      </c>
      <c r="AA1008" s="39">
        <f t="shared" si="274"/>
        <v>0</v>
      </c>
      <c r="AB1008" s="39">
        <f t="shared" si="275"/>
        <v>0</v>
      </c>
      <c r="AC1008" s="39" t="str">
        <f t="shared" si="276"/>
        <v/>
      </c>
      <c r="AD1008" s="39" t="str">
        <f t="shared" si="277"/>
        <v/>
      </c>
      <c r="AE1008" s="39" t="str">
        <f t="shared" si="278"/>
        <v/>
      </c>
      <c r="AF1008" s="106" t="str">
        <f t="shared" si="279"/>
        <v/>
      </c>
      <c r="AG1008" s="39">
        <f t="shared" si="280"/>
        <v>0</v>
      </c>
      <c r="AH1008" s="39" t="str">
        <f t="shared" si="281"/>
        <v/>
      </c>
      <c r="AI1008" s="39">
        <f>IF(AND($E1008="timed",$N1008&gt;=Settings!$C$9),1,0)</f>
        <v>0</v>
      </c>
      <c r="AJ1008" s="39" t="str">
        <f>IF(OR($S1008="",Settings!$C$16=""),"",IF($S1008&lt;=Settings!$C$16,1,2))</f>
        <v/>
      </c>
      <c r="AK1008" s="39" t="str">
        <f>IF($C1008="","",IFERROR(IF(INDEX(Settings!$C$20:$C$59,MATCH($C1008,Settings!$B$20:$B$59,0))="",Settings!$C$10,INDEX(Settings!$C$20:$C$59,MATCH($C1008,Settings!$B$20:$B$59,0))),Settings!$C$10))</f>
        <v/>
      </c>
      <c r="AL1008" s="108">
        <f t="shared" si="282"/>
        <v>0</v>
      </c>
      <c r="AM1008" s="39" t="str">
        <f t="shared" si="283"/>
        <v/>
      </c>
      <c r="AN1008" s="39" t="str">
        <f t="shared" si="284"/>
        <v/>
      </c>
      <c r="AO1008" s="39" t="str">
        <f t="shared" si="285"/>
        <v/>
      </c>
      <c r="AP1008" s="39">
        <f t="shared" si="286"/>
        <v>0</v>
      </c>
      <c r="AQ1008" s="39">
        <f t="shared" si="287"/>
        <v>0</v>
      </c>
    </row>
    <row r="1009" spans="14:43" x14ac:dyDescent="0.25">
      <c r="N1009" s="105">
        <f t="shared" si="270"/>
        <v>0</v>
      </c>
      <c r="O1009" s="106" t="str">
        <f>IF($F1009="","",IF(ISNUMBER($F1009),$F1009+Settings!$C$7/24,IFERROR(DATEVALUE(LEFT($F1009,10))+TIMEVALUE(MID($F1009,12,8))+Settings!$C$7/24,"")))</f>
        <v/>
      </c>
      <c r="P1009" s="106" t="str">
        <f>IF($G1009="","",IF(ISNUMBER($G1009),$G1009+Settings!$C$7/24,IFERROR(DATEVALUE(LEFT($G1009,10))+TIMEVALUE(MID($G1009,12,8))+Settings!$C$7/24,"")))</f>
        <v/>
      </c>
      <c r="Q1009" s="39" t="str">
        <f t="shared" si="271"/>
        <v/>
      </c>
      <c r="R1009" s="39" t="str">
        <f t="shared" si="272"/>
        <v/>
      </c>
      <c r="S1009" s="107" t="str">
        <f t="shared" si="273"/>
        <v/>
      </c>
      <c r="T1009" s="39" t="str">
        <f>IF($C1009="","",IF(COUNTIF($C$2:$C1009,$C1009)=1,1,0))</f>
        <v/>
      </c>
      <c r="U1009" s="39" t="str">
        <f>IF($T1009=1,COUNTIF($T$2:$T1009,1),"")</f>
        <v/>
      </c>
      <c r="V1009" s="39" t="str">
        <f>IF($B1009="","",IF(COUNTIF($B$2:$B1009,$B1009)=1,1,0))</f>
        <v/>
      </c>
      <c r="W1009" s="39" t="str">
        <f>IF($V1009=1,COUNTIF($V$2:$V1009,1),"")</f>
        <v/>
      </c>
      <c r="X1009" s="39" t="str">
        <f>IF($A1009="","",IF(COUNTIF($A$2:$A1009,$A1009)=1,1,0))</f>
        <v/>
      </c>
      <c r="Y1009" s="39" t="str">
        <f>IF($X1009=1,COUNTIF($X$2:$X1009,1),"")</f>
        <v/>
      </c>
      <c r="Z1009" s="39">
        <f>IF(AND($E1009="timed",$N1009&gt;Settings!$C$8),1,0)</f>
        <v>0</v>
      </c>
      <c r="AA1009" s="39">
        <f t="shared" si="274"/>
        <v>0</v>
      </c>
      <c r="AB1009" s="39">
        <f t="shared" si="275"/>
        <v>0</v>
      </c>
      <c r="AC1009" s="39" t="str">
        <f t="shared" si="276"/>
        <v/>
      </c>
      <c r="AD1009" s="39" t="str">
        <f t="shared" si="277"/>
        <v/>
      </c>
      <c r="AE1009" s="39" t="str">
        <f t="shared" si="278"/>
        <v/>
      </c>
      <c r="AF1009" s="106" t="str">
        <f t="shared" si="279"/>
        <v/>
      </c>
      <c r="AG1009" s="39">
        <f t="shared" si="280"/>
        <v>0</v>
      </c>
      <c r="AH1009" s="39" t="str">
        <f t="shared" si="281"/>
        <v/>
      </c>
      <c r="AI1009" s="39">
        <f>IF(AND($E1009="timed",$N1009&gt;=Settings!$C$9),1,0)</f>
        <v>0</v>
      </c>
      <c r="AJ1009" s="39" t="str">
        <f>IF(OR($S1009="",Settings!$C$16=""),"",IF($S1009&lt;=Settings!$C$16,1,2))</f>
        <v/>
      </c>
      <c r="AK1009" s="39" t="str">
        <f>IF($C1009="","",IFERROR(IF(INDEX(Settings!$C$20:$C$59,MATCH($C1009,Settings!$B$20:$B$59,0))="",Settings!$C$10,INDEX(Settings!$C$20:$C$59,MATCH($C1009,Settings!$B$20:$B$59,0))),Settings!$C$10))</f>
        <v/>
      </c>
      <c r="AL1009" s="108">
        <f t="shared" si="282"/>
        <v>0</v>
      </c>
      <c r="AM1009" s="39" t="str">
        <f t="shared" si="283"/>
        <v/>
      </c>
      <c r="AN1009" s="39" t="str">
        <f t="shared" si="284"/>
        <v/>
      </c>
      <c r="AO1009" s="39" t="str">
        <f t="shared" si="285"/>
        <v/>
      </c>
      <c r="AP1009" s="39">
        <f t="shared" si="286"/>
        <v>0</v>
      </c>
      <c r="AQ1009" s="39">
        <f t="shared" si="287"/>
        <v>0</v>
      </c>
    </row>
    <row r="1010" spans="14:43" x14ac:dyDescent="0.25">
      <c r="N1010" s="105">
        <f t="shared" si="270"/>
        <v>0</v>
      </c>
      <c r="O1010" s="106" t="str">
        <f>IF($F1010="","",IF(ISNUMBER($F1010),$F1010+Settings!$C$7/24,IFERROR(DATEVALUE(LEFT($F1010,10))+TIMEVALUE(MID($F1010,12,8))+Settings!$C$7/24,"")))</f>
        <v/>
      </c>
      <c r="P1010" s="106" t="str">
        <f>IF($G1010="","",IF(ISNUMBER($G1010),$G1010+Settings!$C$7/24,IFERROR(DATEVALUE(LEFT($G1010,10))+TIMEVALUE(MID($G1010,12,8))+Settings!$C$7/24,"")))</f>
        <v/>
      </c>
      <c r="Q1010" s="39" t="str">
        <f t="shared" si="271"/>
        <v/>
      </c>
      <c r="R1010" s="39" t="str">
        <f t="shared" si="272"/>
        <v/>
      </c>
      <c r="S1010" s="107" t="str">
        <f t="shared" si="273"/>
        <v/>
      </c>
      <c r="T1010" s="39" t="str">
        <f>IF($C1010="","",IF(COUNTIF($C$2:$C1010,$C1010)=1,1,0))</f>
        <v/>
      </c>
      <c r="U1010" s="39" t="str">
        <f>IF($T1010=1,COUNTIF($T$2:$T1010,1),"")</f>
        <v/>
      </c>
      <c r="V1010" s="39" t="str">
        <f>IF($B1010="","",IF(COUNTIF($B$2:$B1010,$B1010)=1,1,0))</f>
        <v/>
      </c>
      <c r="W1010" s="39" t="str">
        <f>IF($V1010=1,COUNTIF($V$2:$V1010,1),"")</f>
        <v/>
      </c>
      <c r="X1010" s="39" t="str">
        <f>IF($A1010="","",IF(COUNTIF($A$2:$A1010,$A1010)=1,1,0))</f>
        <v/>
      </c>
      <c r="Y1010" s="39" t="str">
        <f>IF($X1010=1,COUNTIF($X$2:$X1010,1),"")</f>
        <v/>
      </c>
      <c r="Z1010" s="39">
        <f>IF(AND($E1010="timed",$N1010&gt;Settings!$C$8),1,0)</f>
        <v>0</v>
      </c>
      <c r="AA1010" s="39">
        <f t="shared" si="274"/>
        <v>0</v>
      </c>
      <c r="AB1010" s="39">
        <f t="shared" si="275"/>
        <v>0</v>
      </c>
      <c r="AC1010" s="39" t="str">
        <f t="shared" si="276"/>
        <v/>
      </c>
      <c r="AD1010" s="39" t="str">
        <f t="shared" si="277"/>
        <v/>
      </c>
      <c r="AE1010" s="39" t="str">
        <f t="shared" si="278"/>
        <v/>
      </c>
      <c r="AF1010" s="106" t="str">
        <f t="shared" si="279"/>
        <v/>
      </c>
      <c r="AG1010" s="39">
        <f t="shared" si="280"/>
        <v>0</v>
      </c>
      <c r="AH1010" s="39" t="str">
        <f t="shared" si="281"/>
        <v/>
      </c>
      <c r="AI1010" s="39">
        <f>IF(AND($E1010="timed",$N1010&gt;=Settings!$C$9),1,0)</f>
        <v>0</v>
      </c>
      <c r="AJ1010" s="39" t="str">
        <f>IF(OR($S1010="",Settings!$C$16=""),"",IF($S1010&lt;=Settings!$C$16,1,2))</f>
        <v/>
      </c>
      <c r="AK1010" s="39" t="str">
        <f>IF($C1010="","",IFERROR(IF(INDEX(Settings!$C$20:$C$59,MATCH($C1010,Settings!$B$20:$B$59,0))="",Settings!$C$10,INDEX(Settings!$C$20:$C$59,MATCH($C1010,Settings!$B$20:$B$59,0))),Settings!$C$10))</f>
        <v/>
      </c>
      <c r="AL1010" s="108">
        <f t="shared" si="282"/>
        <v>0</v>
      </c>
      <c r="AM1010" s="39" t="str">
        <f t="shared" si="283"/>
        <v/>
      </c>
      <c r="AN1010" s="39" t="str">
        <f t="shared" si="284"/>
        <v/>
      </c>
      <c r="AO1010" s="39" t="str">
        <f t="shared" si="285"/>
        <v/>
      </c>
      <c r="AP1010" s="39">
        <f t="shared" si="286"/>
        <v>0</v>
      </c>
      <c r="AQ1010" s="39">
        <f t="shared" si="287"/>
        <v>0</v>
      </c>
    </row>
    <row r="1011" spans="14:43" x14ac:dyDescent="0.25">
      <c r="N1011" s="105">
        <f t="shared" si="270"/>
        <v>0</v>
      </c>
      <c r="O1011" s="106" t="str">
        <f>IF($F1011="","",IF(ISNUMBER($F1011),$F1011+Settings!$C$7/24,IFERROR(DATEVALUE(LEFT($F1011,10))+TIMEVALUE(MID($F1011,12,8))+Settings!$C$7/24,"")))</f>
        <v/>
      </c>
      <c r="P1011" s="106" t="str">
        <f>IF($G1011="","",IF(ISNUMBER($G1011),$G1011+Settings!$C$7/24,IFERROR(DATEVALUE(LEFT($G1011,10))+TIMEVALUE(MID($G1011,12,8))+Settings!$C$7/24,"")))</f>
        <v/>
      </c>
      <c r="Q1011" s="39" t="str">
        <f t="shared" si="271"/>
        <v/>
      </c>
      <c r="R1011" s="39" t="str">
        <f t="shared" si="272"/>
        <v/>
      </c>
      <c r="S1011" s="107" t="str">
        <f t="shared" si="273"/>
        <v/>
      </c>
      <c r="T1011" s="39" t="str">
        <f>IF($C1011="","",IF(COUNTIF($C$2:$C1011,$C1011)=1,1,0))</f>
        <v/>
      </c>
      <c r="U1011" s="39" t="str">
        <f>IF($T1011=1,COUNTIF($T$2:$T1011,1),"")</f>
        <v/>
      </c>
      <c r="V1011" s="39" t="str">
        <f>IF($B1011="","",IF(COUNTIF($B$2:$B1011,$B1011)=1,1,0))</f>
        <v/>
      </c>
      <c r="W1011" s="39" t="str">
        <f>IF($V1011=1,COUNTIF($V$2:$V1011,1),"")</f>
        <v/>
      </c>
      <c r="X1011" s="39" t="str">
        <f>IF($A1011="","",IF(COUNTIF($A$2:$A1011,$A1011)=1,1,0))</f>
        <v/>
      </c>
      <c r="Y1011" s="39" t="str">
        <f>IF($X1011=1,COUNTIF($X$2:$X1011,1),"")</f>
        <v/>
      </c>
      <c r="Z1011" s="39">
        <f>IF(AND($E1011="timed",$N1011&gt;Settings!$C$8),1,0)</f>
        <v>0</v>
      </c>
      <c r="AA1011" s="39">
        <f t="shared" si="274"/>
        <v>0</v>
      </c>
      <c r="AB1011" s="39">
        <f t="shared" si="275"/>
        <v>0</v>
      </c>
      <c r="AC1011" s="39" t="str">
        <f t="shared" si="276"/>
        <v/>
      </c>
      <c r="AD1011" s="39" t="str">
        <f t="shared" si="277"/>
        <v/>
      </c>
      <c r="AE1011" s="39" t="str">
        <f t="shared" si="278"/>
        <v/>
      </c>
      <c r="AF1011" s="106" t="str">
        <f t="shared" si="279"/>
        <v/>
      </c>
      <c r="AG1011" s="39">
        <f t="shared" si="280"/>
        <v>0</v>
      </c>
      <c r="AH1011" s="39" t="str">
        <f t="shared" si="281"/>
        <v/>
      </c>
      <c r="AI1011" s="39">
        <f>IF(AND($E1011="timed",$N1011&gt;=Settings!$C$9),1,0)</f>
        <v>0</v>
      </c>
      <c r="AJ1011" s="39" t="str">
        <f>IF(OR($S1011="",Settings!$C$16=""),"",IF($S1011&lt;=Settings!$C$16,1,2))</f>
        <v/>
      </c>
      <c r="AK1011" s="39" t="str">
        <f>IF($C1011="","",IFERROR(IF(INDEX(Settings!$C$20:$C$59,MATCH($C1011,Settings!$B$20:$B$59,0))="",Settings!$C$10,INDEX(Settings!$C$20:$C$59,MATCH($C1011,Settings!$B$20:$B$59,0))),Settings!$C$10))</f>
        <v/>
      </c>
      <c r="AL1011" s="108">
        <f t="shared" si="282"/>
        <v>0</v>
      </c>
      <c r="AM1011" s="39" t="str">
        <f t="shared" si="283"/>
        <v/>
      </c>
      <c r="AN1011" s="39" t="str">
        <f t="shared" si="284"/>
        <v/>
      </c>
      <c r="AO1011" s="39" t="str">
        <f t="shared" si="285"/>
        <v/>
      </c>
      <c r="AP1011" s="39">
        <f t="shared" si="286"/>
        <v>0</v>
      </c>
      <c r="AQ1011" s="39">
        <f t="shared" si="287"/>
        <v>0</v>
      </c>
    </row>
    <row r="1012" spans="14:43" x14ac:dyDescent="0.25">
      <c r="N1012" s="105">
        <f t="shared" si="270"/>
        <v>0</v>
      </c>
      <c r="O1012" s="106" t="str">
        <f>IF($F1012="","",IF(ISNUMBER($F1012),$F1012+Settings!$C$7/24,IFERROR(DATEVALUE(LEFT($F1012,10))+TIMEVALUE(MID($F1012,12,8))+Settings!$C$7/24,"")))</f>
        <v/>
      </c>
      <c r="P1012" s="106" t="str">
        <f>IF($G1012="","",IF(ISNUMBER($G1012),$G1012+Settings!$C$7/24,IFERROR(DATEVALUE(LEFT($G1012,10))+TIMEVALUE(MID($G1012,12,8))+Settings!$C$7/24,"")))</f>
        <v/>
      </c>
      <c r="Q1012" s="39" t="str">
        <f t="shared" si="271"/>
        <v/>
      </c>
      <c r="R1012" s="39" t="str">
        <f t="shared" si="272"/>
        <v/>
      </c>
      <c r="S1012" s="107" t="str">
        <f t="shared" si="273"/>
        <v/>
      </c>
      <c r="T1012" s="39" t="str">
        <f>IF($C1012="","",IF(COUNTIF($C$2:$C1012,$C1012)=1,1,0))</f>
        <v/>
      </c>
      <c r="U1012" s="39" t="str">
        <f>IF($T1012=1,COUNTIF($T$2:$T1012,1),"")</f>
        <v/>
      </c>
      <c r="V1012" s="39" t="str">
        <f>IF($B1012="","",IF(COUNTIF($B$2:$B1012,$B1012)=1,1,0))</f>
        <v/>
      </c>
      <c r="W1012" s="39" t="str">
        <f>IF($V1012=1,COUNTIF($V$2:$V1012,1),"")</f>
        <v/>
      </c>
      <c r="X1012" s="39" t="str">
        <f>IF($A1012="","",IF(COUNTIF($A$2:$A1012,$A1012)=1,1,0))</f>
        <v/>
      </c>
      <c r="Y1012" s="39" t="str">
        <f>IF($X1012=1,COUNTIF($X$2:$X1012,1),"")</f>
        <v/>
      </c>
      <c r="Z1012" s="39">
        <f>IF(AND($E1012="timed",$N1012&gt;Settings!$C$8),1,0)</f>
        <v>0</v>
      </c>
      <c r="AA1012" s="39">
        <f t="shared" si="274"/>
        <v>0</v>
      </c>
      <c r="AB1012" s="39">
        <f t="shared" si="275"/>
        <v>0</v>
      </c>
      <c r="AC1012" s="39" t="str">
        <f t="shared" si="276"/>
        <v/>
      </c>
      <c r="AD1012" s="39" t="str">
        <f t="shared" si="277"/>
        <v/>
      </c>
      <c r="AE1012" s="39" t="str">
        <f t="shared" si="278"/>
        <v/>
      </c>
      <c r="AF1012" s="106" t="str">
        <f t="shared" si="279"/>
        <v/>
      </c>
      <c r="AG1012" s="39">
        <f t="shared" si="280"/>
        <v>0</v>
      </c>
      <c r="AH1012" s="39" t="str">
        <f t="shared" si="281"/>
        <v/>
      </c>
      <c r="AI1012" s="39">
        <f>IF(AND($E1012="timed",$N1012&gt;=Settings!$C$9),1,0)</f>
        <v>0</v>
      </c>
      <c r="AJ1012" s="39" t="str">
        <f>IF(OR($S1012="",Settings!$C$16=""),"",IF($S1012&lt;=Settings!$C$16,1,2))</f>
        <v/>
      </c>
      <c r="AK1012" s="39" t="str">
        <f>IF($C1012="","",IFERROR(IF(INDEX(Settings!$C$20:$C$59,MATCH($C1012,Settings!$B$20:$B$59,0))="",Settings!$C$10,INDEX(Settings!$C$20:$C$59,MATCH($C1012,Settings!$B$20:$B$59,0))),Settings!$C$10))</f>
        <v/>
      </c>
      <c r="AL1012" s="108">
        <f t="shared" si="282"/>
        <v>0</v>
      </c>
      <c r="AM1012" s="39" t="str">
        <f t="shared" si="283"/>
        <v/>
      </c>
      <c r="AN1012" s="39" t="str">
        <f t="shared" si="284"/>
        <v/>
      </c>
      <c r="AO1012" s="39" t="str">
        <f t="shared" si="285"/>
        <v/>
      </c>
      <c r="AP1012" s="39">
        <f t="shared" si="286"/>
        <v>0</v>
      </c>
      <c r="AQ1012" s="39">
        <f t="shared" si="287"/>
        <v>0</v>
      </c>
    </row>
    <row r="1013" spans="14:43" x14ac:dyDescent="0.25">
      <c r="N1013" s="105">
        <f t="shared" si="270"/>
        <v>0</v>
      </c>
      <c r="O1013" s="106" t="str">
        <f>IF($F1013="","",IF(ISNUMBER($F1013),$F1013+Settings!$C$7/24,IFERROR(DATEVALUE(LEFT($F1013,10))+TIMEVALUE(MID($F1013,12,8))+Settings!$C$7/24,"")))</f>
        <v/>
      </c>
      <c r="P1013" s="106" t="str">
        <f>IF($G1013="","",IF(ISNUMBER($G1013),$G1013+Settings!$C$7/24,IFERROR(DATEVALUE(LEFT($G1013,10))+TIMEVALUE(MID($G1013,12,8))+Settings!$C$7/24,"")))</f>
        <v/>
      </c>
      <c r="Q1013" s="39" t="str">
        <f t="shared" si="271"/>
        <v/>
      </c>
      <c r="R1013" s="39" t="str">
        <f t="shared" si="272"/>
        <v/>
      </c>
      <c r="S1013" s="107" t="str">
        <f t="shared" si="273"/>
        <v/>
      </c>
      <c r="T1013" s="39" t="str">
        <f>IF($C1013="","",IF(COUNTIF($C$2:$C1013,$C1013)=1,1,0))</f>
        <v/>
      </c>
      <c r="U1013" s="39" t="str">
        <f>IF($T1013=1,COUNTIF($T$2:$T1013,1),"")</f>
        <v/>
      </c>
      <c r="V1013" s="39" t="str">
        <f>IF($B1013="","",IF(COUNTIF($B$2:$B1013,$B1013)=1,1,0))</f>
        <v/>
      </c>
      <c r="W1013" s="39" t="str">
        <f>IF($V1013=1,COUNTIF($V$2:$V1013,1),"")</f>
        <v/>
      </c>
      <c r="X1013" s="39" t="str">
        <f>IF($A1013="","",IF(COUNTIF($A$2:$A1013,$A1013)=1,1,0))</f>
        <v/>
      </c>
      <c r="Y1013" s="39" t="str">
        <f>IF($X1013=1,COUNTIF($X$2:$X1013,1),"")</f>
        <v/>
      </c>
      <c r="Z1013" s="39">
        <f>IF(AND($E1013="timed",$N1013&gt;Settings!$C$8),1,0)</f>
        <v>0</v>
      </c>
      <c r="AA1013" s="39">
        <f t="shared" si="274"/>
        <v>0</v>
      </c>
      <c r="AB1013" s="39">
        <f t="shared" si="275"/>
        <v>0</v>
      </c>
      <c r="AC1013" s="39" t="str">
        <f t="shared" si="276"/>
        <v/>
      </c>
      <c r="AD1013" s="39" t="str">
        <f t="shared" si="277"/>
        <v/>
      </c>
      <c r="AE1013" s="39" t="str">
        <f t="shared" si="278"/>
        <v/>
      </c>
      <c r="AF1013" s="106" t="str">
        <f t="shared" si="279"/>
        <v/>
      </c>
      <c r="AG1013" s="39">
        <f t="shared" si="280"/>
        <v>0</v>
      </c>
      <c r="AH1013" s="39" t="str">
        <f t="shared" si="281"/>
        <v/>
      </c>
      <c r="AI1013" s="39">
        <f>IF(AND($E1013="timed",$N1013&gt;=Settings!$C$9),1,0)</f>
        <v>0</v>
      </c>
      <c r="AJ1013" s="39" t="str">
        <f>IF(OR($S1013="",Settings!$C$16=""),"",IF($S1013&lt;=Settings!$C$16,1,2))</f>
        <v/>
      </c>
      <c r="AK1013" s="39" t="str">
        <f>IF($C1013="","",IFERROR(IF(INDEX(Settings!$C$20:$C$59,MATCH($C1013,Settings!$B$20:$B$59,0))="",Settings!$C$10,INDEX(Settings!$C$20:$C$59,MATCH($C1013,Settings!$B$20:$B$59,0))),Settings!$C$10))</f>
        <v/>
      </c>
      <c r="AL1013" s="108">
        <f t="shared" si="282"/>
        <v>0</v>
      </c>
      <c r="AM1013" s="39" t="str">
        <f t="shared" si="283"/>
        <v/>
      </c>
      <c r="AN1013" s="39" t="str">
        <f t="shared" si="284"/>
        <v/>
      </c>
      <c r="AO1013" s="39" t="str">
        <f t="shared" si="285"/>
        <v/>
      </c>
      <c r="AP1013" s="39">
        <f t="shared" si="286"/>
        <v>0</v>
      </c>
      <c r="AQ1013" s="39">
        <f t="shared" si="287"/>
        <v>0</v>
      </c>
    </row>
    <row r="1014" spans="14:43" x14ac:dyDescent="0.25">
      <c r="N1014" s="105">
        <f t="shared" si="270"/>
        <v>0</v>
      </c>
      <c r="O1014" s="106" t="str">
        <f>IF($F1014="","",IF(ISNUMBER($F1014),$F1014+Settings!$C$7/24,IFERROR(DATEVALUE(LEFT($F1014,10))+TIMEVALUE(MID($F1014,12,8))+Settings!$C$7/24,"")))</f>
        <v/>
      </c>
      <c r="P1014" s="106" t="str">
        <f>IF($G1014="","",IF(ISNUMBER($G1014),$G1014+Settings!$C$7/24,IFERROR(DATEVALUE(LEFT($G1014,10))+TIMEVALUE(MID($G1014,12,8))+Settings!$C$7/24,"")))</f>
        <v/>
      </c>
      <c r="Q1014" s="39" t="str">
        <f t="shared" si="271"/>
        <v/>
      </c>
      <c r="R1014" s="39" t="str">
        <f t="shared" si="272"/>
        <v/>
      </c>
      <c r="S1014" s="107" t="str">
        <f t="shared" si="273"/>
        <v/>
      </c>
      <c r="T1014" s="39" t="str">
        <f>IF($C1014="","",IF(COUNTIF($C$2:$C1014,$C1014)=1,1,0))</f>
        <v/>
      </c>
      <c r="U1014" s="39" t="str">
        <f>IF($T1014=1,COUNTIF($T$2:$T1014,1),"")</f>
        <v/>
      </c>
      <c r="V1014" s="39" t="str">
        <f>IF($B1014="","",IF(COUNTIF($B$2:$B1014,$B1014)=1,1,0))</f>
        <v/>
      </c>
      <c r="W1014" s="39" t="str">
        <f>IF($V1014=1,COUNTIF($V$2:$V1014,1),"")</f>
        <v/>
      </c>
      <c r="X1014" s="39" t="str">
        <f>IF($A1014="","",IF(COUNTIF($A$2:$A1014,$A1014)=1,1,0))</f>
        <v/>
      </c>
      <c r="Y1014" s="39" t="str">
        <f>IF($X1014=1,COUNTIF($X$2:$X1014,1),"")</f>
        <v/>
      </c>
      <c r="Z1014" s="39">
        <f>IF(AND($E1014="timed",$N1014&gt;Settings!$C$8),1,0)</f>
        <v>0</v>
      </c>
      <c r="AA1014" s="39">
        <f t="shared" si="274"/>
        <v>0</v>
      </c>
      <c r="AB1014" s="39">
        <f t="shared" si="275"/>
        <v>0</v>
      </c>
      <c r="AC1014" s="39" t="str">
        <f t="shared" si="276"/>
        <v/>
      </c>
      <c r="AD1014" s="39" t="str">
        <f t="shared" si="277"/>
        <v/>
      </c>
      <c r="AE1014" s="39" t="str">
        <f t="shared" si="278"/>
        <v/>
      </c>
      <c r="AF1014" s="106" t="str">
        <f t="shared" si="279"/>
        <v/>
      </c>
      <c r="AG1014" s="39">
        <f t="shared" si="280"/>
        <v>0</v>
      </c>
      <c r="AH1014" s="39" t="str">
        <f t="shared" si="281"/>
        <v/>
      </c>
      <c r="AI1014" s="39">
        <f>IF(AND($E1014="timed",$N1014&gt;=Settings!$C$9),1,0)</f>
        <v>0</v>
      </c>
      <c r="AJ1014" s="39" t="str">
        <f>IF(OR($S1014="",Settings!$C$16=""),"",IF($S1014&lt;=Settings!$C$16,1,2))</f>
        <v/>
      </c>
      <c r="AK1014" s="39" t="str">
        <f>IF($C1014="","",IFERROR(IF(INDEX(Settings!$C$20:$C$59,MATCH($C1014,Settings!$B$20:$B$59,0))="",Settings!$C$10,INDEX(Settings!$C$20:$C$59,MATCH($C1014,Settings!$B$20:$B$59,0))),Settings!$C$10))</f>
        <v/>
      </c>
      <c r="AL1014" s="108">
        <f t="shared" si="282"/>
        <v>0</v>
      </c>
      <c r="AM1014" s="39" t="str">
        <f t="shared" si="283"/>
        <v/>
      </c>
      <c r="AN1014" s="39" t="str">
        <f t="shared" si="284"/>
        <v/>
      </c>
      <c r="AO1014" s="39" t="str">
        <f t="shared" si="285"/>
        <v/>
      </c>
      <c r="AP1014" s="39">
        <f t="shared" si="286"/>
        <v>0</v>
      </c>
      <c r="AQ1014" s="39">
        <f t="shared" si="287"/>
        <v>0</v>
      </c>
    </row>
    <row r="1015" spans="14:43" x14ac:dyDescent="0.25">
      <c r="N1015" s="105">
        <f t="shared" si="270"/>
        <v>0</v>
      </c>
      <c r="O1015" s="106" t="str">
        <f>IF($F1015="","",IF(ISNUMBER($F1015),$F1015+Settings!$C$7/24,IFERROR(DATEVALUE(LEFT($F1015,10))+TIMEVALUE(MID($F1015,12,8))+Settings!$C$7/24,"")))</f>
        <v/>
      </c>
      <c r="P1015" s="106" t="str">
        <f>IF($G1015="","",IF(ISNUMBER($G1015),$G1015+Settings!$C$7/24,IFERROR(DATEVALUE(LEFT($G1015,10))+TIMEVALUE(MID($G1015,12,8))+Settings!$C$7/24,"")))</f>
        <v/>
      </c>
      <c r="Q1015" s="39" t="str">
        <f t="shared" si="271"/>
        <v/>
      </c>
      <c r="R1015" s="39" t="str">
        <f t="shared" si="272"/>
        <v/>
      </c>
      <c r="S1015" s="107" t="str">
        <f t="shared" si="273"/>
        <v/>
      </c>
      <c r="T1015" s="39" t="str">
        <f>IF($C1015="","",IF(COUNTIF($C$2:$C1015,$C1015)=1,1,0))</f>
        <v/>
      </c>
      <c r="U1015" s="39" t="str">
        <f>IF($T1015=1,COUNTIF($T$2:$T1015,1),"")</f>
        <v/>
      </c>
      <c r="V1015" s="39" t="str">
        <f>IF($B1015="","",IF(COUNTIF($B$2:$B1015,$B1015)=1,1,0))</f>
        <v/>
      </c>
      <c r="W1015" s="39" t="str">
        <f>IF($V1015=1,COUNTIF($V$2:$V1015,1),"")</f>
        <v/>
      </c>
      <c r="X1015" s="39" t="str">
        <f>IF($A1015="","",IF(COUNTIF($A$2:$A1015,$A1015)=1,1,0))</f>
        <v/>
      </c>
      <c r="Y1015" s="39" t="str">
        <f>IF($X1015=1,COUNTIF($X$2:$X1015,1),"")</f>
        <v/>
      </c>
      <c r="Z1015" s="39">
        <f>IF(AND($E1015="timed",$N1015&gt;Settings!$C$8),1,0)</f>
        <v>0</v>
      </c>
      <c r="AA1015" s="39">
        <f t="shared" si="274"/>
        <v>0</v>
      </c>
      <c r="AB1015" s="39">
        <f t="shared" si="275"/>
        <v>0</v>
      </c>
      <c r="AC1015" s="39" t="str">
        <f t="shared" si="276"/>
        <v/>
      </c>
      <c r="AD1015" s="39" t="str">
        <f t="shared" si="277"/>
        <v/>
      </c>
      <c r="AE1015" s="39" t="str">
        <f t="shared" si="278"/>
        <v/>
      </c>
      <c r="AF1015" s="106" t="str">
        <f t="shared" si="279"/>
        <v/>
      </c>
      <c r="AG1015" s="39">
        <f t="shared" si="280"/>
        <v>0</v>
      </c>
      <c r="AH1015" s="39" t="str">
        <f t="shared" si="281"/>
        <v/>
      </c>
      <c r="AI1015" s="39">
        <f>IF(AND($E1015="timed",$N1015&gt;=Settings!$C$9),1,0)</f>
        <v>0</v>
      </c>
      <c r="AJ1015" s="39" t="str">
        <f>IF(OR($S1015="",Settings!$C$16=""),"",IF($S1015&lt;=Settings!$C$16,1,2))</f>
        <v/>
      </c>
      <c r="AK1015" s="39" t="str">
        <f>IF($C1015="","",IFERROR(IF(INDEX(Settings!$C$20:$C$59,MATCH($C1015,Settings!$B$20:$B$59,0))="",Settings!$C$10,INDEX(Settings!$C$20:$C$59,MATCH($C1015,Settings!$B$20:$B$59,0))),Settings!$C$10))</f>
        <v/>
      </c>
      <c r="AL1015" s="108">
        <f t="shared" si="282"/>
        <v>0</v>
      </c>
      <c r="AM1015" s="39" t="str">
        <f t="shared" si="283"/>
        <v/>
      </c>
      <c r="AN1015" s="39" t="str">
        <f t="shared" si="284"/>
        <v/>
      </c>
      <c r="AO1015" s="39" t="str">
        <f t="shared" si="285"/>
        <v/>
      </c>
      <c r="AP1015" s="39">
        <f t="shared" si="286"/>
        <v>0</v>
      </c>
      <c r="AQ1015" s="39">
        <f t="shared" si="287"/>
        <v>0</v>
      </c>
    </row>
    <row r="1016" spans="14:43" x14ac:dyDescent="0.25">
      <c r="N1016" s="105">
        <f t="shared" si="270"/>
        <v>0</v>
      </c>
      <c r="O1016" s="106" t="str">
        <f>IF($F1016="","",IF(ISNUMBER($F1016),$F1016+Settings!$C$7/24,IFERROR(DATEVALUE(LEFT($F1016,10))+TIMEVALUE(MID($F1016,12,8))+Settings!$C$7/24,"")))</f>
        <v/>
      </c>
      <c r="P1016" s="106" t="str">
        <f>IF($G1016="","",IF(ISNUMBER($G1016),$G1016+Settings!$C$7/24,IFERROR(DATEVALUE(LEFT($G1016,10))+TIMEVALUE(MID($G1016,12,8))+Settings!$C$7/24,"")))</f>
        <v/>
      </c>
      <c r="Q1016" s="39" t="str">
        <f t="shared" si="271"/>
        <v/>
      </c>
      <c r="R1016" s="39" t="str">
        <f t="shared" si="272"/>
        <v/>
      </c>
      <c r="S1016" s="107" t="str">
        <f t="shared" si="273"/>
        <v/>
      </c>
      <c r="T1016" s="39" t="str">
        <f>IF($C1016="","",IF(COUNTIF($C$2:$C1016,$C1016)=1,1,0))</f>
        <v/>
      </c>
      <c r="U1016" s="39" t="str">
        <f>IF($T1016=1,COUNTIF($T$2:$T1016,1),"")</f>
        <v/>
      </c>
      <c r="V1016" s="39" t="str">
        <f>IF($B1016="","",IF(COUNTIF($B$2:$B1016,$B1016)=1,1,0))</f>
        <v/>
      </c>
      <c r="W1016" s="39" t="str">
        <f>IF($V1016=1,COUNTIF($V$2:$V1016,1),"")</f>
        <v/>
      </c>
      <c r="X1016" s="39" t="str">
        <f>IF($A1016="","",IF(COUNTIF($A$2:$A1016,$A1016)=1,1,0))</f>
        <v/>
      </c>
      <c r="Y1016" s="39" t="str">
        <f>IF($X1016=1,COUNTIF($X$2:$X1016,1),"")</f>
        <v/>
      </c>
      <c r="Z1016" s="39">
        <f>IF(AND($E1016="timed",$N1016&gt;Settings!$C$8),1,0)</f>
        <v>0</v>
      </c>
      <c r="AA1016" s="39">
        <f t="shared" si="274"/>
        <v>0</v>
      </c>
      <c r="AB1016" s="39">
        <f t="shared" si="275"/>
        <v>0</v>
      </c>
      <c r="AC1016" s="39" t="str">
        <f t="shared" si="276"/>
        <v/>
      </c>
      <c r="AD1016" s="39" t="str">
        <f t="shared" si="277"/>
        <v/>
      </c>
      <c r="AE1016" s="39" t="str">
        <f t="shared" si="278"/>
        <v/>
      </c>
      <c r="AF1016" s="106" t="str">
        <f t="shared" si="279"/>
        <v/>
      </c>
      <c r="AG1016" s="39">
        <f t="shared" si="280"/>
        <v>0</v>
      </c>
      <c r="AH1016" s="39" t="str">
        <f t="shared" si="281"/>
        <v/>
      </c>
      <c r="AI1016" s="39">
        <f>IF(AND($E1016="timed",$N1016&gt;=Settings!$C$9),1,0)</f>
        <v>0</v>
      </c>
      <c r="AJ1016" s="39" t="str">
        <f>IF(OR($S1016="",Settings!$C$16=""),"",IF($S1016&lt;=Settings!$C$16,1,2))</f>
        <v/>
      </c>
      <c r="AK1016" s="39" t="str">
        <f>IF($C1016="","",IFERROR(IF(INDEX(Settings!$C$20:$C$59,MATCH($C1016,Settings!$B$20:$B$59,0))="",Settings!$C$10,INDEX(Settings!$C$20:$C$59,MATCH($C1016,Settings!$B$20:$B$59,0))),Settings!$C$10))</f>
        <v/>
      </c>
      <c r="AL1016" s="108">
        <f t="shared" si="282"/>
        <v>0</v>
      </c>
      <c r="AM1016" s="39" t="str">
        <f t="shared" si="283"/>
        <v/>
      </c>
      <c r="AN1016" s="39" t="str">
        <f t="shared" si="284"/>
        <v/>
      </c>
      <c r="AO1016" s="39" t="str">
        <f t="shared" si="285"/>
        <v/>
      </c>
      <c r="AP1016" s="39">
        <f t="shared" si="286"/>
        <v>0</v>
      </c>
      <c r="AQ1016" s="39">
        <f t="shared" si="287"/>
        <v>0</v>
      </c>
    </row>
    <row r="1017" spans="14:43" x14ac:dyDescent="0.25">
      <c r="N1017" s="105">
        <f t="shared" si="270"/>
        <v>0</v>
      </c>
      <c r="O1017" s="106" t="str">
        <f>IF($F1017="","",IF(ISNUMBER($F1017),$F1017+Settings!$C$7/24,IFERROR(DATEVALUE(LEFT($F1017,10))+TIMEVALUE(MID($F1017,12,8))+Settings!$C$7/24,"")))</f>
        <v/>
      </c>
      <c r="P1017" s="106" t="str">
        <f>IF($G1017="","",IF(ISNUMBER($G1017),$G1017+Settings!$C$7/24,IFERROR(DATEVALUE(LEFT($G1017,10))+TIMEVALUE(MID($G1017,12,8))+Settings!$C$7/24,"")))</f>
        <v/>
      </c>
      <c r="Q1017" s="39" t="str">
        <f t="shared" si="271"/>
        <v/>
      </c>
      <c r="R1017" s="39" t="str">
        <f t="shared" si="272"/>
        <v/>
      </c>
      <c r="S1017" s="107" t="str">
        <f t="shared" si="273"/>
        <v/>
      </c>
      <c r="T1017" s="39" t="str">
        <f>IF($C1017="","",IF(COUNTIF($C$2:$C1017,$C1017)=1,1,0))</f>
        <v/>
      </c>
      <c r="U1017" s="39" t="str">
        <f>IF($T1017=1,COUNTIF($T$2:$T1017,1),"")</f>
        <v/>
      </c>
      <c r="V1017" s="39" t="str">
        <f>IF($B1017="","",IF(COUNTIF($B$2:$B1017,$B1017)=1,1,0))</f>
        <v/>
      </c>
      <c r="W1017" s="39" t="str">
        <f>IF($V1017=1,COUNTIF($V$2:$V1017,1),"")</f>
        <v/>
      </c>
      <c r="X1017" s="39" t="str">
        <f>IF($A1017="","",IF(COUNTIF($A$2:$A1017,$A1017)=1,1,0))</f>
        <v/>
      </c>
      <c r="Y1017" s="39" t="str">
        <f>IF($X1017=1,COUNTIF($X$2:$X1017,1),"")</f>
        <v/>
      </c>
      <c r="Z1017" s="39">
        <f>IF(AND($E1017="timed",$N1017&gt;Settings!$C$8),1,0)</f>
        <v>0</v>
      </c>
      <c r="AA1017" s="39">
        <f t="shared" si="274"/>
        <v>0</v>
      </c>
      <c r="AB1017" s="39">
        <f t="shared" si="275"/>
        <v>0</v>
      </c>
      <c r="AC1017" s="39" t="str">
        <f t="shared" si="276"/>
        <v/>
      </c>
      <c r="AD1017" s="39" t="str">
        <f t="shared" si="277"/>
        <v/>
      </c>
      <c r="AE1017" s="39" t="str">
        <f t="shared" si="278"/>
        <v/>
      </c>
      <c r="AF1017" s="106" t="str">
        <f t="shared" si="279"/>
        <v/>
      </c>
      <c r="AG1017" s="39">
        <f t="shared" si="280"/>
        <v>0</v>
      </c>
      <c r="AH1017" s="39" t="str">
        <f t="shared" si="281"/>
        <v/>
      </c>
      <c r="AI1017" s="39">
        <f>IF(AND($E1017="timed",$N1017&gt;=Settings!$C$9),1,0)</f>
        <v>0</v>
      </c>
      <c r="AJ1017" s="39" t="str">
        <f>IF(OR($S1017="",Settings!$C$16=""),"",IF($S1017&lt;=Settings!$C$16,1,2))</f>
        <v/>
      </c>
      <c r="AK1017" s="39" t="str">
        <f>IF($C1017="","",IFERROR(IF(INDEX(Settings!$C$20:$C$59,MATCH($C1017,Settings!$B$20:$B$59,0))="",Settings!$C$10,INDEX(Settings!$C$20:$C$59,MATCH($C1017,Settings!$B$20:$B$59,0))),Settings!$C$10))</f>
        <v/>
      </c>
      <c r="AL1017" s="108">
        <f t="shared" si="282"/>
        <v>0</v>
      </c>
      <c r="AM1017" s="39" t="str">
        <f t="shared" si="283"/>
        <v/>
      </c>
      <c r="AN1017" s="39" t="str">
        <f t="shared" si="284"/>
        <v/>
      </c>
      <c r="AO1017" s="39" t="str">
        <f t="shared" si="285"/>
        <v/>
      </c>
      <c r="AP1017" s="39">
        <f t="shared" si="286"/>
        <v>0</v>
      </c>
      <c r="AQ1017" s="39">
        <f t="shared" si="287"/>
        <v>0</v>
      </c>
    </row>
    <row r="1018" spans="14:43" x14ac:dyDescent="0.25">
      <c r="N1018" s="105">
        <f t="shared" si="270"/>
        <v>0</v>
      </c>
      <c r="O1018" s="106" t="str">
        <f>IF($F1018="","",IF(ISNUMBER($F1018),$F1018+Settings!$C$7/24,IFERROR(DATEVALUE(LEFT($F1018,10))+TIMEVALUE(MID($F1018,12,8))+Settings!$C$7/24,"")))</f>
        <v/>
      </c>
      <c r="P1018" s="106" t="str">
        <f>IF($G1018="","",IF(ISNUMBER($G1018),$G1018+Settings!$C$7/24,IFERROR(DATEVALUE(LEFT($G1018,10))+TIMEVALUE(MID($G1018,12,8))+Settings!$C$7/24,"")))</f>
        <v/>
      </c>
      <c r="Q1018" s="39" t="str">
        <f t="shared" si="271"/>
        <v/>
      </c>
      <c r="R1018" s="39" t="str">
        <f t="shared" si="272"/>
        <v/>
      </c>
      <c r="S1018" s="107" t="str">
        <f t="shared" si="273"/>
        <v/>
      </c>
      <c r="T1018" s="39" t="str">
        <f>IF($C1018="","",IF(COUNTIF($C$2:$C1018,$C1018)=1,1,0))</f>
        <v/>
      </c>
      <c r="U1018" s="39" t="str">
        <f>IF($T1018=1,COUNTIF($T$2:$T1018,1),"")</f>
        <v/>
      </c>
      <c r="V1018" s="39" t="str">
        <f>IF($B1018="","",IF(COUNTIF($B$2:$B1018,$B1018)=1,1,0))</f>
        <v/>
      </c>
      <c r="W1018" s="39" t="str">
        <f>IF($V1018=1,COUNTIF($V$2:$V1018,1),"")</f>
        <v/>
      </c>
      <c r="X1018" s="39" t="str">
        <f>IF($A1018="","",IF(COUNTIF($A$2:$A1018,$A1018)=1,1,0))</f>
        <v/>
      </c>
      <c r="Y1018" s="39" t="str">
        <f>IF($X1018=1,COUNTIF($X$2:$X1018,1),"")</f>
        <v/>
      </c>
      <c r="Z1018" s="39">
        <f>IF(AND($E1018="timed",$N1018&gt;Settings!$C$8),1,0)</f>
        <v>0</v>
      </c>
      <c r="AA1018" s="39">
        <f t="shared" si="274"/>
        <v>0</v>
      </c>
      <c r="AB1018" s="39">
        <f t="shared" si="275"/>
        <v>0</v>
      </c>
      <c r="AC1018" s="39" t="str">
        <f t="shared" si="276"/>
        <v/>
      </c>
      <c r="AD1018" s="39" t="str">
        <f t="shared" si="277"/>
        <v/>
      </c>
      <c r="AE1018" s="39" t="str">
        <f t="shared" si="278"/>
        <v/>
      </c>
      <c r="AF1018" s="106" t="str">
        <f t="shared" si="279"/>
        <v/>
      </c>
      <c r="AG1018" s="39">
        <f t="shared" si="280"/>
        <v>0</v>
      </c>
      <c r="AH1018" s="39" t="str">
        <f t="shared" si="281"/>
        <v/>
      </c>
      <c r="AI1018" s="39">
        <f>IF(AND($E1018="timed",$N1018&gt;=Settings!$C$9),1,0)</f>
        <v>0</v>
      </c>
      <c r="AJ1018" s="39" t="str">
        <f>IF(OR($S1018="",Settings!$C$16=""),"",IF($S1018&lt;=Settings!$C$16,1,2))</f>
        <v/>
      </c>
      <c r="AK1018" s="39" t="str">
        <f>IF($C1018="","",IFERROR(IF(INDEX(Settings!$C$20:$C$59,MATCH($C1018,Settings!$B$20:$B$59,0))="",Settings!$C$10,INDEX(Settings!$C$20:$C$59,MATCH($C1018,Settings!$B$20:$B$59,0))),Settings!$C$10))</f>
        <v/>
      </c>
      <c r="AL1018" s="108">
        <f t="shared" si="282"/>
        <v>0</v>
      </c>
      <c r="AM1018" s="39" t="str">
        <f t="shared" si="283"/>
        <v/>
      </c>
      <c r="AN1018" s="39" t="str">
        <f t="shared" si="284"/>
        <v/>
      </c>
      <c r="AO1018" s="39" t="str">
        <f t="shared" si="285"/>
        <v/>
      </c>
      <c r="AP1018" s="39">
        <f t="shared" si="286"/>
        <v>0</v>
      </c>
      <c r="AQ1018" s="39">
        <f t="shared" si="287"/>
        <v>0</v>
      </c>
    </row>
    <row r="1019" spans="14:43" x14ac:dyDescent="0.25">
      <c r="N1019" s="105">
        <f t="shared" si="270"/>
        <v>0</v>
      </c>
      <c r="O1019" s="106" t="str">
        <f>IF($F1019="","",IF(ISNUMBER($F1019),$F1019+Settings!$C$7/24,IFERROR(DATEVALUE(LEFT($F1019,10))+TIMEVALUE(MID($F1019,12,8))+Settings!$C$7/24,"")))</f>
        <v/>
      </c>
      <c r="P1019" s="106" t="str">
        <f>IF($G1019="","",IF(ISNUMBER($G1019),$G1019+Settings!$C$7/24,IFERROR(DATEVALUE(LEFT($G1019,10))+TIMEVALUE(MID($G1019,12,8))+Settings!$C$7/24,"")))</f>
        <v/>
      </c>
      <c r="Q1019" s="39" t="str">
        <f t="shared" si="271"/>
        <v/>
      </c>
      <c r="R1019" s="39" t="str">
        <f t="shared" si="272"/>
        <v/>
      </c>
      <c r="S1019" s="107" t="str">
        <f t="shared" si="273"/>
        <v/>
      </c>
      <c r="T1019" s="39" t="str">
        <f>IF($C1019="","",IF(COUNTIF($C$2:$C1019,$C1019)=1,1,0))</f>
        <v/>
      </c>
      <c r="U1019" s="39" t="str">
        <f>IF($T1019=1,COUNTIF($T$2:$T1019,1),"")</f>
        <v/>
      </c>
      <c r="V1019" s="39" t="str">
        <f>IF($B1019="","",IF(COUNTIF($B$2:$B1019,$B1019)=1,1,0))</f>
        <v/>
      </c>
      <c r="W1019" s="39" t="str">
        <f>IF($V1019=1,COUNTIF($V$2:$V1019,1),"")</f>
        <v/>
      </c>
      <c r="X1019" s="39" t="str">
        <f>IF($A1019="","",IF(COUNTIF($A$2:$A1019,$A1019)=1,1,0))</f>
        <v/>
      </c>
      <c r="Y1019" s="39" t="str">
        <f>IF($X1019=1,COUNTIF($X$2:$X1019,1),"")</f>
        <v/>
      </c>
      <c r="Z1019" s="39">
        <f>IF(AND($E1019="timed",$N1019&gt;Settings!$C$8),1,0)</f>
        <v>0</v>
      </c>
      <c r="AA1019" s="39">
        <f t="shared" si="274"/>
        <v>0</v>
      </c>
      <c r="AB1019" s="39">
        <f t="shared" si="275"/>
        <v>0</v>
      </c>
      <c r="AC1019" s="39" t="str">
        <f t="shared" si="276"/>
        <v/>
      </c>
      <c r="AD1019" s="39" t="str">
        <f t="shared" si="277"/>
        <v/>
      </c>
      <c r="AE1019" s="39" t="str">
        <f t="shared" si="278"/>
        <v/>
      </c>
      <c r="AF1019" s="106" t="str">
        <f t="shared" si="279"/>
        <v/>
      </c>
      <c r="AG1019" s="39">
        <f t="shared" si="280"/>
        <v>0</v>
      </c>
      <c r="AH1019" s="39" t="str">
        <f t="shared" si="281"/>
        <v/>
      </c>
      <c r="AI1019" s="39">
        <f>IF(AND($E1019="timed",$N1019&gt;=Settings!$C$9),1,0)</f>
        <v>0</v>
      </c>
      <c r="AJ1019" s="39" t="str">
        <f>IF(OR($S1019="",Settings!$C$16=""),"",IF($S1019&lt;=Settings!$C$16,1,2))</f>
        <v/>
      </c>
      <c r="AK1019" s="39" t="str">
        <f>IF($C1019="","",IFERROR(IF(INDEX(Settings!$C$20:$C$59,MATCH($C1019,Settings!$B$20:$B$59,0))="",Settings!$C$10,INDEX(Settings!$C$20:$C$59,MATCH($C1019,Settings!$B$20:$B$59,0))),Settings!$C$10))</f>
        <v/>
      </c>
      <c r="AL1019" s="108">
        <f t="shared" si="282"/>
        <v>0</v>
      </c>
      <c r="AM1019" s="39" t="str">
        <f t="shared" si="283"/>
        <v/>
      </c>
      <c r="AN1019" s="39" t="str">
        <f t="shared" si="284"/>
        <v/>
      </c>
      <c r="AO1019" s="39" t="str">
        <f t="shared" si="285"/>
        <v/>
      </c>
      <c r="AP1019" s="39">
        <f t="shared" si="286"/>
        <v>0</v>
      </c>
      <c r="AQ1019" s="39">
        <f t="shared" si="287"/>
        <v>0</v>
      </c>
    </row>
    <row r="1020" spans="14:43" x14ac:dyDescent="0.25">
      <c r="N1020" s="105">
        <f t="shared" si="270"/>
        <v>0</v>
      </c>
      <c r="O1020" s="106" t="str">
        <f>IF($F1020="","",IF(ISNUMBER($F1020),$F1020+Settings!$C$7/24,IFERROR(DATEVALUE(LEFT($F1020,10))+TIMEVALUE(MID($F1020,12,8))+Settings!$C$7/24,"")))</f>
        <v/>
      </c>
      <c r="P1020" s="106" t="str">
        <f>IF($G1020="","",IF(ISNUMBER($G1020),$G1020+Settings!$C$7/24,IFERROR(DATEVALUE(LEFT($G1020,10))+TIMEVALUE(MID($G1020,12,8))+Settings!$C$7/24,"")))</f>
        <v/>
      </c>
      <c r="Q1020" s="39" t="str">
        <f t="shared" si="271"/>
        <v/>
      </c>
      <c r="R1020" s="39" t="str">
        <f t="shared" si="272"/>
        <v/>
      </c>
      <c r="S1020" s="107" t="str">
        <f t="shared" si="273"/>
        <v/>
      </c>
      <c r="T1020" s="39" t="str">
        <f>IF($C1020="","",IF(COUNTIF($C$2:$C1020,$C1020)=1,1,0))</f>
        <v/>
      </c>
      <c r="U1020" s="39" t="str">
        <f>IF($T1020=1,COUNTIF($T$2:$T1020,1),"")</f>
        <v/>
      </c>
      <c r="V1020" s="39" t="str">
        <f>IF($B1020="","",IF(COUNTIF($B$2:$B1020,$B1020)=1,1,0))</f>
        <v/>
      </c>
      <c r="W1020" s="39" t="str">
        <f>IF($V1020=1,COUNTIF($V$2:$V1020,1),"")</f>
        <v/>
      </c>
      <c r="X1020" s="39" t="str">
        <f>IF($A1020="","",IF(COUNTIF($A$2:$A1020,$A1020)=1,1,0))</f>
        <v/>
      </c>
      <c r="Y1020" s="39" t="str">
        <f>IF($X1020=1,COUNTIF($X$2:$X1020,1),"")</f>
        <v/>
      </c>
      <c r="Z1020" s="39">
        <f>IF(AND($E1020="timed",$N1020&gt;Settings!$C$8),1,0)</f>
        <v>0</v>
      </c>
      <c r="AA1020" s="39">
        <f t="shared" si="274"/>
        <v>0</v>
      </c>
      <c r="AB1020" s="39">
        <f t="shared" si="275"/>
        <v>0</v>
      </c>
      <c r="AC1020" s="39" t="str">
        <f t="shared" si="276"/>
        <v/>
      </c>
      <c r="AD1020" s="39" t="str">
        <f t="shared" si="277"/>
        <v/>
      </c>
      <c r="AE1020" s="39" t="str">
        <f t="shared" si="278"/>
        <v/>
      </c>
      <c r="AF1020" s="106" t="str">
        <f t="shared" si="279"/>
        <v/>
      </c>
      <c r="AG1020" s="39">
        <f t="shared" si="280"/>
        <v>0</v>
      </c>
      <c r="AH1020" s="39" t="str">
        <f t="shared" si="281"/>
        <v/>
      </c>
      <c r="AI1020" s="39">
        <f>IF(AND($E1020="timed",$N1020&gt;=Settings!$C$9),1,0)</f>
        <v>0</v>
      </c>
      <c r="AJ1020" s="39" t="str">
        <f>IF(OR($S1020="",Settings!$C$16=""),"",IF($S1020&lt;=Settings!$C$16,1,2))</f>
        <v/>
      </c>
      <c r="AK1020" s="39" t="str">
        <f>IF($C1020="","",IFERROR(IF(INDEX(Settings!$C$20:$C$59,MATCH($C1020,Settings!$B$20:$B$59,0))="",Settings!$C$10,INDEX(Settings!$C$20:$C$59,MATCH($C1020,Settings!$B$20:$B$59,0))),Settings!$C$10))</f>
        <v/>
      </c>
      <c r="AL1020" s="108">
        <f t="shared" si="282"/>
        <v>0</v>
      </c>
      <c r="AM1020" s="39" t="str">
        <f t="shared" si="283"/>
        <v/>
      </c>
      <c r="AN1020" s="39" t="str">
        <f t="shared" si="284"/>
        <v/>
      </c>
      <c r="AO1020" s="39" t="str">
        <f t="shared" si="285"/>
        <v/>
      </c>
      <c r="AP1020" s="39">
        <f t="shared" si="286"/>
        <v>0</v>
      </c>
      <c r="AQ1020" s="39">
        <f t="shared" si="287"/>
        <v>0</v>
      </c>
    </row>
    <row r="1021" spans="14:43" x14ac:dyDescent="0.25">
      <c r="N1021" s="105">
        <f t="shared" si="270"/>
        <v>0</v>
      </c>
      <c r="O1021" s="106" t="str">
        <f>IF($F1021="","",IF(ISNUMBER($F1021),$F1021+Settings!$C$7/24,IFERROR(DATEVALUE(LEFT($F1021,10))+TIMEVALUE(MID($F1021,12,8))+Settings!$C$7/24,"")))</f>
        <v/>
      </c>
      <c r="P1021" s="106" t="str">
        <f>IF($G1021="","",IF(ISNUMBER($G1021),$G1021+Settings!$C$7/24,IFERROR(DATEVALUE(LEFT($G1021,10))+TIMEVALUE(MID($G1021,12,8))+Settings!$C$7/24,"")))</f>
        <v/>
      </c>
      <c r="Q1021" s="39" t="str">
        <f t="shared" si="271"/>
        <v/>
      </c>
      <c r="R1021" s="39" t="str">
        <f t="shared" si="272"/>
        <v/>
      </c>
      <c r="S1021" s="107" t="str">
        <f t="shared" si="273"/>
        <v/>
      </c>
      <c r="T1021" s="39" t="str">
        <f>IF($C1021="","",IF(COUNTIF($C$2:$C1021,$C1021)=1,1,0))</f>
        <v/>
      </c>
      <c r="U1021" s="39" t="str">
        <f>IF($T1021=1,COUNTIF($T$2:$T1021,1),"")</f>
        <v/>
      </c>
      <c r="V1021" s="39" t="str">
        <f>IF($B1021="","",IF(COUNTIF($B$2:$B1021,$B1021)=1,1,0))</f>
        <v/>
      </c>
      <c r="W1021" s="39" t="str">
        <f>IF($V1021=1,COUNTIF($V$2:$V1021,1),"")</f>
        <v/>
      </c>
      <c r="X1021" s="39" t="str">
        <f>IF($A1021="","",IF(COUNTIF($A$2:$A1021,$A1021)=1,1,0))</f>
        <v/>
      </c>
      <c r="Y1021" s="39" t="str">
        <f>IF($X1021=1,COUNTIF($X$2:$X1021,1),"")</f>
        <v/>
      </c>
      <c r="Z1021" s="39">
        <f>IF(AND($E1021="timed",$N1021&gt;Settings!$C$8),1,0)</f>
        <v>0</v>
      </c>
      <c r="AA1021" s="39">
        <f t="shared" si="274"/>
        <v>0</v>
      </c>
      <c r="AB1021" s="39">
        <f t="shared" si="275"/>
        <v>0</v>
      </c>
      <c r="AC1021" s="39" t="str">
        <f t="shared" si="276"/>
        <v/>
      </c>
      <c r="AD1021" s="39" t="str">
        <f t="shared" si="277"/>
        <v/>
      </c>
      <c r="AE1021" s="39" t="str">
        <f t="shared" si="278"/>
        <v/>
      </c>
      <c r="AF1021" s="106" t="str">
        <f t="shared" si="279"/>
        <v/>
      </c>
      <c r="AG1021" s="39">
        <f t="shared" si="280"/>
        <v>0</v>
      </c>
      <c r="AH1021" s="39" t="str">
        <f t="shared" si="281"/>
        <v/>
      </c>
      <c r="AI1021" s="39">
        <f>IF(AND($E1021="timed",$N1021&gt;=Settings!$C$9),1,0)</f>
        <v>0</v>
      </c>
      <c r="AJ1021" s="39" t="str">
        <f>IF(OR($S1021="",Settings!$C$16=""),"",IF($S1021&lt;=Settings!$C$16,1,2))</f>
        <v/>
      </c>
      <c r="AK1021" s="39" t="str">
        <f>IF($C1021="","",IFERROR(IF(INDEX(Settings!$C$20:$C$59,MATCH($C1021,Settings!$B$20:$B$59,0))="",Settings!$C$10,INDEX(Settings!$C$20:$C$59,MATCH($C1021,Settings!$B$20:$B$59,0))),Settings!$C$10))</f>
        <v/>
      </c>
      <c r="AL1021" s="108">
        <f t="shared" si="282"/>
        <v>0</v>
      </c>
      <c r="AM1021" s="39" t="str">
        <f t="shared" si="283"/>
        <v/>
      </c>
      <c r="AN1021" s="39" t="str">
        <f t="shared" si="284"/>
        <v/>
      </c>
      <c r="AO1021" s="39" t="str">
        <f t="shared" si="285"/>
        <v/>
      </c>
      <c r="AP1021" s="39">
        <f t="shared" si="286"/>
        <v>0</v>
      </c>
      <c r="AQ1021" s="39">
        <f t="shared" si="287"/>
        <v>0</v>
      </c>
    </row>
    <row r="1022" spans="14:43" x14ac:dyDescent="0.25">
      <c r="N1022" s="105">
        <f t="shared" si="270"/>
        <v>0</v>
      </c>
      <c r="O1022" s="106" t="str">
        <f>IF($F1022="","",IF(ISNUMBER($F1022),$F1022+Settings!$C$7/24,IFERROR(DATEVALUE(LEFT($F1022,10))+TIMEVALUE(MID($F1022,12,8))+Settings!$C$7/24,"")))</f>
        <v/>
      </c>
      <c r="P1022" s="106" t="str">
        <f>IF($G1022="","",IF(ISNUMBER($G1022),$G1022+Settings!$C$7/24,IFERROR(DATEVALUE(LEFT($G1022,10))+TIMEVALUE(MID($G1022,12,8))+Settings!$C$7/24,"")))</f>
        <v/>
      </c>
      <c r="Q1022" s="39" t="str">
        <f t="shared" si="271"/>
        <v/>
      </c>
      <c r="R1022" s="39" t="str">
        <f t="shared" si="272"/>
        <v/>
      </c>
      <c r="S1022" s="107" t="str">
        <f t="shared" si="273"/>
        <v/>
      </c>
      <c r="T1022" s="39" t="str">
        <f>IF($C1022="","",IF(COUNTIF($C$2:$C1022,$C1022)=1,1,0))</f>
        <v/>
      </c>
      <c r="U1022" s="39" t="str">
        <f>IF($T1022=1,COUNTIF($T$2:$T1022,1),"")</f>
        <v/>
      </c>
      <c r="V1022" s="39" t="str">
        <f>IF($B1022="","",IF(COUNTIF($B$2:$B1022,$B1022)=1,1,0))</f>
        <v/>
      </c>
      <c r="W1022" s="39" t="str">
        <f>IF($V1022=1,COUNTIF($V$2:$V1022,1),"")</f>
        <v/>
      </c>
      <c r="X1022" s="39" t="str">
        <f>IF($A1022="","",IF(COUNTIF($A$2:$A1022,$A1022)=1,1,0))</f>
        <v/>
      </c>
      <c r="Y1022" s="39" t="str">
        <f>IF($X1022=1,COUNTIF($X$2:$X1022,1),"")</f>
        <v/>
      </c>
      <c r="Z1022" s="39">
        <f>IF(AND($E1022="timed",$N1022&gt;Settings!$C$8),1,0)</f>
        <v>0</v>
      </c>
      <c r="AA1022" s="39">
        <f t="shared" si="274"/>
        <v>0</v>
      </c>
      <c r="AB1022" s="39">
        <f t="shared" si="275"/>
        <v>0</v>
      </c>
      <c r="AC1022" s="39" t="str">
        <f t="shared" si="276"/>
        <v/>
      </c>
      <c r="AD1022" s="39" t="str">
        <f t="shared" si="277"/>
        <v/>
      </c>
      <c r="AE1022" s="39" t="str">
        <f t="shared" si="278"/>
        <v/>
      </c>
      <c r="AF1022" s="106" t="str">
        <f t="shared" si="279"/>
        <v/>
      </c>
      <c r="AG1022" s="39">
        <f t="shared" si="280"/>
        <v>0</v>
      </c>
      <c r="AH1022" s="39" t="str">
        <f t="shared" si="281"/>
        <v/>
      </c>
      <c r="AI1022" s="39">
        <f>IF(AND($E1022="timed",$N1022&gt;=Settings!$C$9),1,0)</f>
        <v>0</v>
      </c>
      <c r="AJ1022" s="39" t="str">
        <f>IF(OR($S1022="",Settings!$C$16=""),"",IF($S1022&lt;=Settings!$C$16,1,2))</f>
        <v/>
      </c>
      <c r="AK1022" s="39" t="str">
        <f>IF($C1022="","",IFERROR(IF(INDEX(Settings!$C$20:$C$59,MATCH($C1022,Settings!$B$20:$B$59,0))="",Settings!$C$10,INDEX(Settings!$C$20:$C$59,MATCH($C1022,Settings!$B$20:$B$59,0))),Settings!$C$10))</f>
        <v/>
      </c>
      <c r="AL1022" s="108">
        <f t="shared" si="282"/>
        <v>0</v>
      </c>
      <c r="AM1022" s="39" t="str">
        <f t="shared" si="283"/>
        <v/>
      </c>
      <c r="AN1022" s="39" t="str">
        <f t="shared" si="284"/>
        <v/>
      </c>
      <c r="AO1022" s="39" t="str">
        <f t="shared" si="285"/>
        <v/>
      </c>
      <c r="AP1022" s="39">
        <f t="shared" si="286"/>
        <v>0</v>
      </c>
      <c r="AQ1022" s="39">
        <f t="shared" si="287"/>
        <v>0</v>
      </c>
    </row>
    <row r="1023" spans="14:43" x14ac:dyDescent="0.25">
      <c r="N1023" s="105">
        <f t="shared" si="270"/>
        <v>0</v>
      </c>
      <c r="O1023" s="106" t="str">
        <f>IF($F1023="","",IF(ISNUMBER($F1023),$F1023+Settings!$C$7/24,IFERROR(DATEVALUE(LEFT($F1023,10))+TIMEVALUE(MID($F1023,12,8))+Settings!$C$7/24,"")))</f>
        <v/>
      </c>
      <c r="P1023" s="106" t="str">
        <f>IF($G1023="","",IF(ISNUMBER($G1023),$G1023+Settings!$C$7/24,IFERROR(DATEVALUE(LEFT($G1023,10))+TIMEVALUE(MID($G1023,12,8))+Settings!$C$7/24,"")))</f>
        <v/>
      </c>
      <c r="Q1023" s="39" t="str">
        <f t="shared" si="271"/>
        <v/>
      </c>
      <c r="R1023" s="39" t="str">
        <f t="shared" si="272"/>
        <v/>
      </c>
      <c r="S1023" s="107" t="str">
        <f t="shared" si="273"/>
        <v/>
      </c>
      <c r="T1023" s="39" t="str">
        <f>IF($C1023="","",IF(COUNTIF($C$2:$C1023,$C1023)=1,1,0))</f>
        <v/>
      </c>
      <c r="U1023" s="39" t="str">
        <f>IF($T1023=1,COUNTIF($T$2:$T1023,1),"")</f>
        <v/>
      </c>
      <c r="V1023" s="39" t="str">
        <f>IF($B1023="","",IF(COUNTIF($B$2:$B1023,$B1023)=1,1,0))</f>
        <v/>
      </c>
      <c r="W1023" s="39" t="str">
        <f>IF($V1023=1,COUNTIF($V$2:$V1023,1),"")</f>
        <v/>
      </c>
      <c r="X1023" s="39" t="str">
        <f>IF($A1023="","",IF(COUNTIF($A$2:$A1023,$A1023)=1,1,0))</f>
        <v/>
      </c>
      <c r="Y1023" s="39" t="str">
        <f>IF($X1023=1,COUNTIF($X$2:$X1023,1),"")</f>
        <v/>
      </c>
      <c r="Z1023" s="39">
        <f>IF(AND($E1023="timed",$N1023&gt;Settings!$C$8),1,0)</f>
        <v>0</v>
      </c>
      <c r="AA1023" s="39">
        <f t="shared" si="274"/>
        <v>0</v>
      </c>
      <c r="AB1023" s="39">
        <f t="shared" si="275"/>
        <v>0</v>
      </c>
      <c r="AC1023" s="39" t="str">
        <f t="shared" si="276"/>
        <v/>
      </c>
      <c r="AD1023" s="39" t="str">
        <f t="shared" si="277"/>
        <v/>
      </c>
      <c r="AE1023" s="39" t="str">
        <f t="shared" si="278"/>
        <v/>
      </c>
      <c r="AF1023" s="106" t="str">
        <f t="shared" si="279"/>
        <v/>
      </c>
      <c r="AG1023" s="39">
        <f t="shared" si="280"/>
        <v>0</v>
      </c>
      <c r="AH1023" s="39" t="str">
        <f t="shared" si="281"/>
        <v/>
      </c>
      <c r="AI1023" s="39">
        <f>IF(AND($E1023="timed",$N1023&gt;=Settings!$C$9),1,0)</f>
        <v>0</v>
      </c>
      <c r="AJ1023" s="39" t="str">
        <f>IF(OR($S1023="",Settings!$C$16=""),"",IF($S1023&lt;=Settings!$C$16,1,2))</f>
        <v/>
      </c>
      <c r="AK1023" s="39" t="str">
        <f>IF($C1023="","",IFERROR(IF(INDEX(Settings!$C$20:$C$59,MATCH($C1023,Settings!$B$20:$B$59,0))="",Settings!$C$10,INDEX(Settings!$C$20:$C$59,MATCH($C1023,Settings!$B$20:$B$59,0))),Settings!$C$10))</f>
        <v/>
      </c>
      <c r="AL1023" s="108">
        <f t="shared" si="282"/>
        <v>0</v>
      </c>
      <c r="AM1023" s="39" t="str">
        <f t="shared" si="283"/>
        <v/>
      </c>
      <c r="AN1023" s="39" t="str">
        <f t="shared" si="284"/>
        <v/>
      </c>
      <c r="AO1023" s="39" t="str">
        <f t="shared" si="285"/>
        <v/>
      </c>
      <c r="AP1023" s="39">
        <f t="shared" si="286"/>
        <v>0</v>
      </c>
      <c r="AQ1023" s="39">
        <f t="shared" si="287"/>
        <v>0</v>
      </c>
    </row>
    <row r="1024" spans="14:43" x14ac:dyDescent="0.25">
      <c r="N1024" s="105">
        <f t="shared" si="270"/>
        <v>0</v>
      </c>
      <c r="O1024" s="106" t="str">
        <f>IF($F1024="","",IF(ISNUMBER($F1024),$F1024+Settings!$C$7/24,IFERROR(DATEVALUE(LEFT($F1024,10))+TIMEVALUE(MID($F1024,12,8))+Settings!$C$7/24,"")))</f>
        <v/>
      </c>
      <c r="P1024" s="106" t="str">
        <f>IF($G1024="","",IF(ISNUMBER($G1024),$G1024+Settings!$C$7/24,IFERROR(DATEVALUE(LEFT($G1024,10))+TIMEVALUE(MID($G1024,12,8))+Settings!$C$7/24,"")))</f>
        <v/>
      </c>
      <c r="Q1024" s="39" t="str">
        <f t="shared" si="271"/>
        <v/>
      </c>
      <c r="R1024" s="39" t="str">
        <f t="shared" si="272"/>
        <v/>
      </c>
      <c r="S1024" s="107" t="str">
        <f t="shared" si="273"/>
        <v/>
      </c>
      <c r="T1024" s="39" t="str">
        <f>IF($C1024="","",IF(COUNTIF($C$2:$C1024,$C1024)=1,1,0))</f>
        <v/>
      </c>
      <c r="U1024" s="39" t="str">
        <f>IF($T1024=1,COUNTIF($T$2:$T1024,1),"")</f>
        <v/>
      </c>
      <c r="V1024" s="39" t="str">
        <f>IF($B1024="","",IF(COUNTIF($B$2:$B1024,$B1024)=1,1,0))</f>
        <v/>
      </c>
      <c r="W1024" s="39" t="str">
        <f>IF($V1024=1,COUNTIF($V$2:$V1024,1),"")</f>
        <v/>
      </c>
      <c r="X1024" s="39" t="str">
        <f>IF($A1024="","",IF(COUNTIF($A$2:$A1024,$A1024)=1,1,0))</f>
        <v/>
      </c>
      <c r="Y1024" s="39" t="str">
        <f>IF($X1024=1,COUNTIF($X$2:$X1024,1),"")</f>
        <v/>
      </c>
      <c r="Z1024" s="39">
        <f>IF(AND($E1024="timed",$N1024&gt;Settings!$C$8),1,0)</f>
        <v>0</v>
      </c>
      <c r="AA1024" s="39">
        <f t="shared" si="274"/>
        <v>0</v>
      </c>
      <c r="AB1024" s="39">
        <f t="shared" si="275"/>
        <v>0</v>
      </c>
      <c r="AC1024" s="39" t="str">
        <f t="shared" si="276"/>
        <v/>
      </c>
      <c r="AD1024" s="39" t="str">
        <f t="shared" si="277"/>
        <v/>
      </c>
      <c r="AE1024" s="39" t="str">
        <f t="shared" si="278"/>
        <v/>
      </c>
      <c r="AF1024" s="106" t="str">
        <f t="shared" si="279"/>
        <v/>
      </c>
      <c r="AG1024" s="39">
        <f t="shared" si="280"/>
        <v>0</v>
      </c>
      <c r="AH1024" s="39" t="str">
        <f t="shared" si="281"/>
        <v/>
      </c>
      <c r="AI1024" s="39">
        <f>IF(AND($E1024="timed",$N1024&gt;=Settings!$C$9),1,0)</f>
        <v>0</v>
      </c>
      <c r="AJ1024" s="39" t="str">
        <f>IF(OR($S1024="",Settings!$C$16=""),"",IF($S1024&lt;=Settings!$C$16,1,2))</f>
        <v/>
      </c>
      <c r="AK1024" s="39" t="str">
        <f>IF($C1024="","",IFERROR(IF(INDEX(Settings!$C$20:$C$59,MATCH($C1024,Settings!$B$20:$B$59,0))="",Settings!$C$10,INDEX(Settings!$C$20:$C$59,MATCH($C1024,Settings!$B$20:$B$59,0))),Settings!$C$10))</f>
        <v/>
      </c>
      <c r="AL1024" s="108">
        <f t="shared" si="282"/>
        <v>0</v>
      </c>
      <c r="AM1024" s="39" t="str">
        <f t="shared" si="283"/>
        <v/>
      </c>
      <c r="AN1024" s="39" t="str">
        <f t="shared" si="284"/>
        <v/>
      </c>
      <c r="AO1024" s="39" t="str">
        <f t="shared" si="285"/>
        <v/>
      </c>
      <c r="AP1024" s="39">
        <f t="shared" si="286"/>
        <v>0</v>
      </c>
      <c r="AQ1024" s="39">
        <f t="shared" si="287"/>
        <v>0</v>
      </c>
    </row>
    <row r="1025" spans="14:43" x14ac:dyDescent="0.25">
      <c r="N1025" s="105">
        <f t="shared" si="270"/>
        <v>0</v>
      </c>
      <c r="O1025" s="106" t="str">
        <f>IF($F1025="","",IF(ISNUMBER($F1025),$F1025+Settings!$C$7/24,IFERROR(DATEVALUE(LEFT($F1025,10))+TIMEVALUE(MID($F1025,12,8))+Settings!$C$7/24,"")))</f>
        <v/>
      </c>
      <c r="P1025" s="106" t="str">
        <f>IF($G1025="","",IF(ISNUMBER($G1025),$G1025+Settings!$C$7/24,IFERROR(DATEVALUE(LEFT($G1025,10))+TIMEVALUE(MID($G1025,12,8))+Settings!$C$7/24,"")))</f>
        <v/>
      </c>
      <c r="Q1025" s="39" t="str">
        <f t="shared" si="271"/>
        <v/>
      </c>
      <c r="R1025" s="39" t="str">
        <f t="shared" si="272"/>
        <v/>
      </c>
      <c r="S1025" s="107" t="str">
        <f t="shared" si="273"/>
        <v/>
      </c>
      <c r="T1025" s="39" t="str">
        <f>IF($C1025="","",IF(COUNTIF($C$2:$C1025,$C1025)=1,1,0))</f>
        <v/>
      </c>
      <c r="U1025" s="39" t="str">
        <f>IF($T1025=1,COUNTIF($T$2:$T1025,1),"")</f>
        <v/>
      </c>
      <c r="V1025" s="39" t="str">
        <f>IF($B1025="","",IF(COUNTIF($B$2:$B1025,$B1025)=1,1,0))</f>
        <v/>
      </c>
      <c r="W1025" s="39" t="str">
        <f>IF($V1025=1,COUNTIF($V$2:$V1025,1),"")</f>
        <v/>
      </c>
      <c r="X1025" s="39" t="str">
        <f>IF($A1025="","",IF(COUNTIF($A$2:$A1025,$A1025)=1,1,0))</f>
        <v/>
      </c>
      <c r="Y1025" s="39" t="str">
        <f>IF($X1025=1,COUNTIF($X$2:$X1025,1),"")</f>
        <v/>
      </c>
      <c r="Z1025" s="39">
        <f>IF(AND($E1025="timed",$N1025&gt;Settings!$C$8),1,0)</f>
        <v>0</v>
      </c>
      <c r="AA1025" s="39">
        <f t="shared" si="274"/>
        <v>0</v>
      </c>
      <c r="AB1025" s="39">
        <f t="shared" si="275"/>
        <v>0</v>
      </c>
      <c r="AC1025" s="39" t="str">
        <f t="shared" si="276"/>
        <v/>
      </c>
      <c r="AD1025" s="39" t="str">
        <f t="shared" si="277"/>
        <v/>
      </c>
      <c r="AE1025" s="39" t="str">
        <f t="shared" si="278"/>
        <v/>
      </c>
      <c r="AF1025" s="106" t="str">
        <f t="shared" si="279"/>
        <v/>
      </c>
      <c r="AG1025" s="39">
        <f t="shared" si="280"/>
        <v>0</v>
      </c>
      <c r="AH1025" s="39" t="str">
        <f t="shared" si="281"/>
        <v/>
      </c>
      <c r="AI1025" s="39">
        <f>IF(AND($E1025="timed",$N1025&gt;=Settings!$C$9),1,0)</f>
        <v>0</v>
      </c>
      <c r="AJ1025" s="39" t="str">
        <f>IF(OR($S1025="",Settings!$C$16=""),"",IF($S1025&lt;=Settings!$C$16,1,2))</f>
        <v/>
      </c>
      <c r="AK1025" s="39" t="str">
        <f>IF($C1025="","",IFERROR(IF(INDEX(Settings!$C$20:$C$59,MATCH($C1025,Settings!$B$20:$B$59,0))="",Settings!$C$10,INDEX(Settings!$C$20:$C$59,MATCH($C1025,Settings!$B$20:$B$59,0))),Settings!$C$10))</f>
        <v/>
      </c>
      <c r="AL1025" s="108">
        <f t="shared" si="282"/>
        <v>0</v>
      </c>
      <c r="AM1025" s="39" t="str">
        <f t="shared" si="283"/>
        <v/>
      </c>
      <c r="AN1025" s="39" t="str">
        <f t="shared" si="284"/>
        <v/>
      </c>
      <c r="AO1025" s="39" t="str">
        <f t="shared" si="285"/>
        <v/>
      </c>
      <c r="AP1025" s="39">
        <f t="shared" si="286"/>
        <v>0</v>
      </c>
      <c r="AQ1025" s="39">
        <f t="shared" si="287"/>
        <v>0</v>
      </c>
    </row>
    <row r="1026" spans="14:43" x14ac:dyDescent="0.25">
      <c r="N1026" s="105">
        <f t="shared" ref="N1026:N1089" si="288">IF($E1026&lt;&gt;"timed",0,IF(ISNUMBER($H1026),$H1026,IFERROR(VALUE($H1026),0)))</f>
        <v>0</v>
      </c>
      <c r="O1026" s="106" t="str">
        <f>IF($F1026="","",IF(ISNUMBER($F1026),$F1026+Settings!$C$7/24,IFERROR(DATEVALUE(LEFT($F1026,10))+TIMEVALUE(MID($F1026,12,8))+Settings!$C$7/24,"")))</f>
        <v/>
      </c>
      <c r="P1026" s="106" t="str">
        <f>IF($G1026="","",IF(ISNUMBER($G1026),$G1026+Settings!$C$7/24,IFERROR(DATEVALUE(LEFT($G1026,10))+TIMEVALUE(MID($G1026,12,8))+Settings!$C$7/24,"")))</f>
        <v/>
      </c>
      <c r="Q1026" s="39" t="str">
        <f t="shared" ref="Q1026:Q1089" si="289">IF($O1026="","",HOUR($O1026))</f>
        <v/>
      </c>
      <c r="R1026" s="39" t="str">
        <f t="shared" ref="R1026:R1089" si="290">IF($O1026="","",WEEKDAY($O1026,2))</f>
        <v/>
      </c>
      <c r="S1026" s="107" t="str">
        <f t="shared" ref="S1026:S1089" si="291">IF($A1026="","",IF(ISNUMBER($A1026),INT($A1026),IFERROR(DATEVALUE($A1026),"")))</f>
        <v/>
      </c>
      <c r="T1026" s="39" t="str">
        <f>IF($C1026="","",IF(COUNTIF($C$2:$C1026,$C1026)=1,1,0))</f>
        <v/>
      </c>
      <c r="U1026" s="39" t="str">
        <f>IF($T1026=1,COUNTIF($T$2:$T1026,1),"")</f>
        <v/>
      </c>
      <c r="V1026" s="39" t="str">
        <f>IF($B1026="","",IF(COUNTIF($B$2:$B1026,$B1026)=1,1,0))</f>
        <v/>
      </c>
      <c r="W1026" s="39" t="str">
        <f>IF($V1026=1,COUNTIF($V$2:$V1026,1),"")</f>
        <v/>
      </c>
      <c r="X1026" s="39" t="str">
        <f>IF($A1026="","",IF(COUNTIF($A$2:$A1026,$A1026)=1,1,0))</f>
        <v/>
      </c>
      <c r="Y1026" s="39" t="str">
        <f>IF($X1026=1,COUNTIF($X$2:$X1026,1),"")</f>
        <v/>
      </c>
      <c r="Z1026" s="39">
        <f>IF(AND($E1026="timed",$N1026&gt;Settings!$C$8),1,0)</f>
        <v>0</v>
      </c>
      <c r="AA1026" s="39">
        <f t="shared" ref="AA1026:AA1089" si="292">IF(AND($E1026="timed",$G1026=""),1,0)</f>
        <v>0</v>
      </c>
      <c r="AB1026" s="39">
        <f t="shared" ref="AB1026:AB1089" si="293">IF($E1026&lt;&gt;"timed",0,IF(ISNUMBER($I1026),$I1026,IFERROR(VALUE($I1026),0)))</f>
        <v>0</v>
      </c>
      <c r="AC1026" s="39" t="str">
        <f t="shared" ref="AC1026:AC1089" si="294">IF(OR($E1026&lt;&gt;"timed",$O1026=""),"",ROUND($O1026*86400,0)*10000+ROW())</f>
        <v/>
      </c>
      <c r="AD1026" s="39" t="str">
        <f t="shared" ref="AD1026:AD1089" si="295">IF($AC1026="","",COUNTIF($AC$2:$AC$1201,"&lt;"&amp;$AC1026)+1)</f>
        <v/>
      </c>
      <c r="AE1026" s="39" t="str">
        <f t="shared" ref="AE1026:AE1089" si="296">IF($AD1026="","",IFERROR(IF(INDEX($S$2:$S$1201,MATCH($AD1026-1,$AD$2:$AD$1201,0))=$S1026,INDEX($C$2:$C$1201,MATCH($AD1026-1,$AD$2:$AD$1201,0)),""),""))</f>
        <v/>
      </c>
      <c r="AF1026" s="106" t="str">
        <f t="shared" ref="AF1026:AF1089" si="297">IF($AD1026="","",IFERROR(IF(INDEX($S$2:$S$1201,MATCH($AD1026-1,$AD$2:$AD$1201,0))=$S1026,INDEX($P$2:$P$1201,MATCH($AD1026-1,$AD$2:$AD$1201,0)),""),""))</f>
        <v/>
      </c>
      <c r="AG1026" s="39">
        <f t="shared" ref="AG1026:AG1089" si="298">IF(OR($E1026&lt;&gt;"timed",$AE1026=""),0,IF($AE1026=$C1026,0,1))</f>
        <v>0</v>
      </c>
      <c r="AH1026" s="39" t="str">
        <f t="shared" ref="AH1026:AH1089" si="299">IF(OR($AF1026="",$O1026=""),"",MAX(0,ROUND(($O1026-$AF1026)*1440,0)))</f>
        <v/>
      </c>
      <c r="AI1026" s="39">
        <f>IF(AND($E1026="timed",$N1026&gt;=Settings!$C$9),1,0)</f>
        <v>0</v>
      </c>
      <c r="AJ1026" s="39" t="str">
        <f>IF(OR($S1026="",Settings!$C$16=""),"",IF($S1026&lt;=Settings!$C$16,1,2))</f>
        <v/>
      </c>
      <c r="AK1026" s="39" t="str">
        <f>IF($C1026="","",IFERROR(IF(INDEX(Settings!$C$20:$C$59,MATCH($C1026,Settings!$B$20:$B$59,0))="",Settings!$C$10,INDEX(Settings!$C$20:$C$59,MATCH($C1026,Settings!$B$20:$B$59,0))),Settings!$C$10))</f>
        <v/>
      </c>
      <c r="AL1026" s="108">
        <f t="shared" ref="AL1026:AL1089" si="300">IF(OR($N1026=0,$AK1026=""),0,ROUND($N1026/60*$AK1026,2))</f>
        <v>0</v>
      </c>
      <c r="AM1026" s="39" t="str">
        <f t="shared" ref="AM1026:AM1089" si="301">IF($AD1026="","",IFERROR(INDEX($S$2:$S$1201,MATCH($AD1026-1,$AD$2:$AD$1201,0)),""))</f>
        <v/>
      </c>
      <c r="AN1026" s="39" t="str">
        <f t="shared" ref="AN1026:AN1089" si="302">IF($Z1026=1,$N1026+ROW()/1000000,"")</f>
        <v/>
      </c>
      <c r="AO1026" s="39" t="str">
        <f t="shared" ref="AO1026:AO1089" si="303">IF(OR($E1026&lt;&gt;"timed",$P1026=""),"",ROUND($P1026*86400,0)*10000+ROW())</f>
        <v/>
      </c>
      <c r="AP1026" s="39">
        <f t="shared" ref="AP1026:AP1089" si="304">IF($AC1026="",0,IF(COUNTIFS($S$2:$S$1201,$S1026,$AC$2:$AC$1201,"&lt;"&amp;$AC1026)=0,1,0))</f>
        <v>0</v>
      </c>
      <c r="AQ1026" s="39">
        <f t="shared" ref="AQ1026:AQ1089" si="305">IF($AO1026="",0,IF(COUNTIFS($S$2:$S$1201,$S1026,$AO$2:$AO$1201,"&gt;"&amp;$AO1026)=0,1,0))</f>
        <v>0</v>
      </c>
    </row>
    <row r="1027" spans="14:43" x14ac:dyDescent="0.25">
      <c r="N1027" s="105">
        <f t="shared" si="288"/>
        <v>0</v>
      </c>
      <c r="O1027" s="106" t="str">
        <f>IF($F1027="","",IF(ISNUMBER($F1027),$F1027+Settings!$C$7/24,IFERROR(DATEVALUE(LEFT($F1027,10))+TIMEVALUE(MID($F1027,12,8))+Settings!$C$7/24,"")))</f>
        <v/>
      </c>
      <c r="P1027" s="106" t="str">
        <f>IF($G1027="","",IF(ISNUMBER($G1027),$G1027+Settings!$C$7/24,IFERROR(DATEVALUE(LEFT($G1027,10))+TIMEVALUE(MID($G1027,12,8))+Settings!$C$7/24,"")))</f>
        <v/>
      </c>
      <c r="Q1027" s="39" t="str">
        <f t="shared" si="289"/>
        <v/>
      </c>
      <c r="R1027" s="39" t="str">
        <f t="shared" si="290"/>
        <v/>
      </c>
      <c r="S1027" s="107" t="str">
        <f t="shared" si="291"/>
        <v/>
      </c>
      <c r="T1027" s="39" t="str">
        <f>IF($C1027="","",IF(COUNTIF($C$2:$C1027,$C1027)=1,1,0))</f>
        <v/>
      </c>
      <c r="U1027" s="39" t="str">
        <f>IF($T1027=1,COUNTIF($T$2:$T1027,1),"")</f>
        <v/>
      </c>
      <c r="V1027" s="39" t="str">
        <f>IF($B1027="","",IF(COUNTIF($B$2:$B1027,$B1027)=1,1,0))</f>
        <v/>
      </c>
      <c r="W1027" s="39" t="str">
        <f>IF($V1027=1,COUNTIF($V$2:$V1027,1),"")</f>
        <v/>
      </c>
      <c r="X1027" s="39" t="str">
        <f>IF($A1027="","",IF(COUNTIF($A$2:$A1027,$A1027)=1,1,0))</f>
        <v/>
      </c>
      <c r="Y1027" s="39" t="str">
        <f>IF($X1027=1,COUNTIF($X$2:$X1027,1),"")</f>
        <v/>
      </c>
      <c r="Z1027" s="39">
        <f>IF(AND($E1027="timed",$N1027&gt;Settings!$C$8),1,0)</f>
        <v>0</v>
      </c>
      <c r="AA1027" s="39">
        <f t="shared" si="292"/>
        <v>0</v>
      </c>
      <c r="AB1027" s="39">
        <f t="shared" si="293"/>
        <v>0</v>
      </c>
      <c r="AC1027" s="39" t="str">
        <f t="shared" si="294"/>
        <v/>
      </c>
      <c r="AD1027" s="39" t="str">
        <f t="shared" si="295"/>
        <v/>
      </c>
      <c r="AE1027" s="39" t="str">
        <f t="shared" si="296"/>
        <v/>
      </c>
      <c r="AF1027" s="106" t="str">
        <f t="shared" si="297"/>
        <v/>
      </c>
      <c r="AG1027" s="39">
        <f t="shared" si="298"/>
        <v>0</v>
      </c>
      <c r="AH1027" s="39" t="str">
        <f t="shared" si="299"/>
        <v/>
      </c>
      <c r="AI1027" s="39">
        <f>IF(AND($E1027="timed",$N1027&gt;=Settings!$C$9),1,0)</f>
        <v>0</v>
      </c>
      <c r="AJ1027" s="39" t="str">
        <f>IF(OR($S1027="",Settings!$C$16=""),"",IF($S1027&lt;=Settings!$C$16,1,2))</f>
        <v/>
      </c>
      <c r="AK1027" s="39" t="str">
        <f>IF($C1027="","",IFERROR(IF(INDEX(Settings!$C$20:$C$59,MATCH($C1027,Settings!$B$20:$B$59,0))="",Settings!$C$10,INDEX(Settings!$C$20:$C$59,MATCH($C1027,Settings!$B$20:$B$59,0))),Settings!$C$10))</f>
        <v/>
      </c>
      <c r="AL1027" s="108">
        <f t="shared" si="300"/>
        <v>0</v>
      </c>
      <c r="AM1027" s="39" t="str">
        <f t="shared" si="301"/>
        <v/>
      </c>
      <c r="AN1027" s="39" t="str">
        <f t="shared" si="302"/>
        <v/>
      </c>
      <c r="AO1027" s="39" t="str">
        <f t="shared" si="303"/>
        <v/>
      </c>
      <c r="AP1027" s="39">
        <f t="shared" si="304"/>
        <v>0</v>
      </c>
      <c r="AQ1027" s="39">
        <f t="shared" si="305"/>
        <v>0</v>
      </c>
    </row>
    <row r="1028" spans="14:43" x14ac:dyDescent="0.25">
      <c r="N1028" s="105">
        <f t="shared" si="288"/>
        <v>0</v>
      </c>
      <c r="O1028" s="106" t="str">
        <f>IF($F1028="","",IF(ISNUMBER($F1028),$F1028+Settings!$C$7/24,IFERROR(DATEVALUE(LEFT($F1028,10))+TIMEVALUE(MID($F1028,12,8))+Settings!$C$7/24,"")))</f>
        <v/>
      </c>
      <c r="P1028" s="106" t="str">
        <f>IF($G1028="","",IF(ISNUMBER($G1028),$G1028+Settings!$C$7/24,IFERROR(DATEVALUE(LEFT($G1028,10))+TIMEVALUE(MID($G1028,12,8))+Settings!$C$7/24,"")))</f>
        <v/>
      </c>
      <c r="Q1028" s="39" t="str">
        <f t="shared" si="289"/>
        <v/>
      </c>
      <c r="R1028" s="39" t="str">
        <f t="shared" si="290"/>
        <v/>
      </c>
      <c r="S1028" s="107" t="str">
        <f t="shared" si="291"/>
        <v/>
      </c>
      <c r="T1028" s="39" t="str">
        <f>IF($C1028="","",IF(COUNTIF($C$2:$C1028,$C1028)=1,1,0))</f>
        <v/>
      </c>
      <c r="U1028" s="39" t="str">
        <f>IF($T1028=1,COUNTIF($T$2:$T1028,1),"")</f>
        <v/>
      </c>
      <c r="V1028" s="39" t="str">
        <f>IF($B1028="","",IF(COUNTIF($B$2:$B1028,$B1028)=1,1,0))</f>
        <v/>
      </c>
      <c r="W1028" s="39" t="str">
        <f>IF($V1028=1,COUNTIF($V$2:$V1028,1),"")</f>
        <v/>
      </c>
      <c r="X1028" s="39" t="str">
        <f>IF($A1028="","",IF(COUNTIF($A$2:$A1028,$A1028)=1,1,0))</f>
        <v/>
      </c>
      <c r="Y1028" s="39" t="str">
        <f>IF($X1028=1,COUNTIF($X$2:$X1028,1),"")</f>
        <v/>
      </c>
      <c r="Z1028" s="39">
        <f>IF(AND($E1028="timed",$N1028&gt;Settings!$C$8),1,0)</f>
        <v>0</v>
      </c>
      <c r="AA1028" s="39">
        <f t="shared" si="292"/>
        <v>0</v>
      </c>
      <c r="AB1028" s="39">
        <f t="shared" si="293"/>
        <v>0</v>
      </c>
      <c r="AC1028" s="39" t="str">
        <f t="shared" si="294"/>
        <v/>
      </c>
      <c r="AD1028" s="39" t="str">
        <f t="shared" si="295"/>
        <v/>
      </c>
      <c r="AE1028" s="39" t="str">
        <f t="shared" si="296"/>
        <v/>
      </c>
      <c r="AF1028" s="106" t="str">
        <f t="shared" si="297"/>
        <v/>
      </c>
      <c r="AG1028" s="39">
        <f t="shared" si="298"/>
        <v>0</v>
      </c>
      <c r="AH1028" s="39" t="str">
        <f t="shared" si="299"/>
        <v/>
      </c>
      <c r="AI1028" s="39">
        <f>IF(AND($E1028="timed",$N1028&gt;=Settings!$C$9),1,0)</f>
        <v>0</v>
      </c>
      <c r="AJ1028" s="39" t="str">
        <f>IF(OR($S1028="",Settings!$C$16=""),"",IF($S1028&lt;=Settings!$C$16,1,2))</f>
        <v/>
      </c>
      <c r="AK1028" s="39" t="str">
        <f>IF($C1028="","",IFERROR(IF(INDEX(Settings!$C$20:$C$59,MATCH($C1028,Settings!$B$20:$B$59,0))="",Settings!$C$10,INDEX(Settings!$C$20:$C$59,MATCH($C1028,Settings!$B$20:$B$59,0))),Settings!$C$10))</f>
        <v/>
      </c>
      <c r="AL1028" s="108">
        <f t="shared" si="300"/>
        <v>0</v>
      </c>
      <c r="AM1028" s="39" t="str">
        <f t="shared" si="301"/>
        <v/>
      </c>
      <c r="AN1028" s="39" t="str">
        <f t="shared" si="302"/>
        <v/>
      </c>
      <c r="AO1028" s="39" t="str">
        <f t="shared" si="303"/>
        <v/>
      </c>
      <c r="AP1028" s="39">
        <f t="shared" si="304"/>
        <v>0</v>
      </c>
      <c r="AQ1028" s="39">
        <f t="shared" si="305"/>
        <v>0</v>
      </c>
    </row>
    <row r="1029" spans="14:43" x14ac:dyDescent="0.25">
      <c r="N1029" s="105">
        <f t="shared" si="288"/>
        <v>0</v>
      </c>
      <c r="O1029" s="106" t="str">
        <f>IF($F1029="","",IF(ISNUMBER($F1029),$F1029+Settings!$C$7/24,IFERROR(DATEVALUE(LEFT($F1029,10))+TIMEVALUE(MID($F1029,12,8))+Settings!$C$7/24,"")))</f>
        <v/>
      </c>
      <c r="P1029" s="106" t="str">
        <f>IF($G1029="","",IF(ISNUMBER($G1029),$G1029+Settings!$C$7/24,IFERROR(DATEVALUE(LEFT($G1029,10))+TIMEVALUE(MID($G1029,12,8))+Settings!$C$7/24,"")))</f>
        <v/>
      </c>
      <c r="Q1029" s="39" t="str">
        <f t="shared" si="289"/>
        <v/>
      </c>
      <c r="R1029" s="39" t="str">
        <f t="shared" si="290"/>
        <v/>
      </c>
      <c r="S1029" s="107" t="str">
        <f t="shared" si="291"/>
        <v/>
      </c>
      <c r="T1029" s="39" t="str">
        <f>IF($C1029="","",IF(COUNTIF($C$2:$C1029,$C1029)=1,1,0))</f>
        <v/>
      </c>
      <c r="U1029" s="39" t="str">
        <f>IF($T1029=1,COUNTIF($T$2:$T1029,1),"")</f>
        <v/>
      </c>
      <c r="V1029" s="39" t="str">
        <f>IF($B1029="","",IF(COUNTIF($B$2:$B1029,$B1029)=1,1,0))</f>
        <v/>
      </c>
      <c r="W1029" s="39" t="str">
        <f>IF($V1029=1,COUNTIF($V$2:$V1029,1),"")</f>
        <v/>
      </c>
      <c r="X1029" s="39" t="str">
        <f>IF($A1029="","",IF(COUNTIF($A$2:$A1029,$A1029)=1,1,0))</f>
        <v/>
      </c>
      <c r="Y1029" s="39" t="str">
        <f>IF($X1029=1,COUNTIF($X$2:$X1029,1),"")</f>
        <v/>
      </c>
      <c r="Z1029" s="39">
        <f>IF(AND($E1029="timed",$N1029&gt;Settings!$C$8),1,0)</f>
        <v>0</v>
      </c>
      <c r="AA1029" s="39">
        <f t="shared" si="292"/>
        <v>0</v>
      </c>
      <c r="AB1029" s="39">
        <f t="shared" si="293"/>
        <v>0</v>
      </c>
      <c r="AC1029" s="39" t="str">
        <f t="shared" si="294"/>
        <v/>
      </c>
      <c r="AD1029" s="39" t="str">
        <f t="shared" si="295"/>
        <v/>
      </c>
      <c r="AE1029" s="39" t="str">
        <f t="shared" si="296"/>
        <v/>
      </c>
      <c r="AF1029" s="106" t="str">
        <f t="shared" si="297"/>
        <v/>
      </c>
      <c r="AG1029" s="39">
        <f t="shared" si="298"/>
        <v>0</v>
      </c>
      <c r="AH1029" s="39" t="str">
        <f t="shared" si="299"/>
        <v/>
      </c>
      <c r="AI1029" s="39">
        <f>IF(AND($E1029="timed",$N1029&gt;=Settings!$C$9),1,0)</f>
        <v>0</v>
      </c>
      <c r="AJ1029" s="39" t="str">
        <f>IF(OR($S1029="",Settings!$C$16=""),"",IF($S1029&lt;=Settings!$C$16,1,2))</f>
        <v/>
      </c>
      <c r="AK1029" s="39" t="str">
        <f>IF($C1029="","",IFERROR(IF(INDEX(Settings!$C$20:$C$59,MATCH($C1029,Settings!$B$20:$B$59,0))="",Settings!$C$10,INDEX(Settings!$C$20:$C$59,MATCH($C1029,Settings!$B$20:$B$59,0))),Settings!$C$10))</f>
        <v/>
      </c>
      <c r="AL1029" s="108">
        <f t="shared" si="300"/>
        <v>0</v>
      </c>
      <c r="AM1029" s="39" t="str">
        <f t="shared" si="301"/>
        <v/>
      </c>
      <c r="AN1029" s="39" t="str">
        <f t="shared" si="302"/>
        <v/>
      </c>
      <c r="AO1029" s="39" t="str">
        <f t="shared" si="303"/>
        <v/>
      </c>
      <c r="AP1029" s="39">
        <f t="shared" si="304"/>
        <v>0</v>
      </c>
      <c r="AQ1029" s="39">
        <f t="shared" si="305"/>
        <v>0</v>
      </c>
    </row>
    <row r="1030" spans="14:43" x14ac:dyDescent="0.25">
      <c r="N1030" s="105">
        <f t="shared" si="288"/>
        <v>0</v>
      </c>
      <c r="O1030" s="106" t="str">
        <f>IF($F1030="","",IF(ISNUMBER($F1030),$F1030+Settings!$C$7/24,IFERROR(DATEVALUE(LEFT($F1030,10))+TIMEVALUE(MID($F1030,12,8))+Settings!$C$7/24,"")))</f>
        <v/>
      </c>
      <c r="P1030" s="106" t="str">
        <f>IF($G1030="","",IF(ISNUMBER($G1030),$G1030+Settings!$C$7/24,IFERROR(DATEVALUE(LEFT($G1030,10))+TIMEVALUE(MID($G1030,12,8))+Settings!$C$7/24,"")))</f>
        <v/>
      </c>
      <c r="Q1030" s="39" t="str">
        <f t="shared" si="289"/>
        <v/>
      </c>
      <c r="R1030" s="39" t="str">
        <f t="shared" si="290"/>
        <v/>
      </c>
      <c r="S1030" s="107" t="str">
        <f t="shared" si="291"/>
        <v/>
      </c>
      <c r="T1030" s="39" t="str">
        <f>IF($C1030="","",IF(COUNTIF($C$2:$C1030,$C1030)=1,1,0))</f>
        <v/>
      </c>
      <c r="U1030" s="39" t="str">
        <f>IF($T1030=1,COUNTIF($T$2:$T1030,1),"")</f>
        <v/>
      </c>
      <c r="V1030" s="39" t="str">
        <f>IF($B1030="","",IF(COUNTIF($B$2:$B1030,$B1030)=1,1,0))</f>
        <v/>
      </c>
      <c r="W1030" s="39" t="str">
        <f>IF($V1030=1,COUNTIF($V$2:$V1030,1),"")</f>
        <v/>
      </c>
      <c r="X1030" s="39" t="str">
        <f>IF($A1030="","",IF(COUNTIF($A$2:$A1030,$A1030)=1,1,0))</f>
        <v/>
      </c>
      <c r="Y1030" s="39" t="str">
        <f>IF($X1030=1,COUNTIF($X$2:$X1030,1),"")</f>
        <v/>
      </c>
      <c r="Z1030" s="39">
        <f>IF(AND($E1030="timed",$N1030&gt;Settings!$C$8),1,0)</f>
        <v>0</v>
      </c>
      <c r="AA1030" s="39">
        <f t="shared" si="292"/>
        <v>0</v>
      </c>
      <c r="AB1030" s="39">
        <f t="shared" si="293"/>
        <v>0</v>
      </c>
      <c r="AC1030" s="39" t="str">
        <f t="shared" si="294"/>
        <v/>
      </c>
      <c r="AD1030" s="39" t="str">
        <f t="shared" si="295"/>
        <v/>
      </c>
      <c r="AE1030" s="39" t="str">
        <f t="shared" si="296"/>
        <v/>
      </c>
      <c r="AF1030" s="106" t="str">
        <f t="shared" si="297"/>
        <v/>
      </c>
      <c r="AG1030" s="39">
        <f t="shared" si="298"/>
        <v>0</v>
      </c>
      <c r="AH1030" s="39" t="str">
        <f t="shared" si="299"/>
        <v/>
      </c>
      <c r="AI1030" s="39">
        <f>IF(AND($E1030="timed",$N1030&gt;=Settings!$C$9),1,0)</f>
        <v>0</v>
      </c>
      <c r="AJ1030" s="39" t="str">
        <f>IF(OR($S1030="",Settings!$C$16=""),"",IF($S1030&lt;=Settings!$C$16,1,2))</f>
        <v/>
      </c>
      <c r="AK1030" s="39" t="str">
        <f>IF($C1030="","",IFERROR(IF(INDEX(Settings!$C$20:$C$59,MATCH($C1030,Settings!$B$20:$B$59,0))="",Settings!$C$10,INDEX(Settings!$C$20:$C$59,MATCH($C1030,Settings!$B$20:$B$59,0))),Settings!$C$10))</f>
        <v/>
      </c>
      <c r="AL1030" s="108">
        <f t="shared" si="300"/>
        <v>0</v>
      </c>
      <c r="AM1030" s="39" t="str">
        <f t="shared" si="301"/>
        <v/>
      </c>
      <c r="AN1030" s="39" t="str">
        <f t="shared" si="302"/>
        <v/>
      </c>
      <c r="AO1030" s="39" t="str">
        <f t="shared" si="303"/>
        <v/>
      </c>
      <c r="AP1030" s="39">
        <f t="shared" si="304"/>
        <v>0</v>
      </c>
      <c r="AQ1030" s="39">
        <f t="shared" si="305"/>
        <v>0</v>
      </c>
    </row>
    <row r="1031" spans="14:43" x14ac:dyDescent="0.25">
      <c r="N1031" s="105">
        <f t="shared" si="288"/>
        <v>0</v>
      </c>
      <c r="O1031" s="106" t="str">
        <f>IF($F1031="","",IF(ISNUMBER($F1031),$F1031+Settings!$C$7/24,IFERROR(DATEVALUE(LEFT($F1031,10))+TIMEVALUE(MID($F1031,12,8))+Settings!$C$7/24,"")))</f>
        <v/>
      </c>
      <c r="P1031" s="106" t="str">
        <f>IF($G1031="","",IF(ISNUMBER($G1031),$G1031+Settings!$C$7/24,IFERROR(DATEVALUE(LEFT($G1031,10))+TIMEVALUE(MID($G1031,12,8))+Settings!$C$7/24,"")))</f>
        <v/>
      </c>
      <c r="Q1031" s="39" t="str">
        <f t="shared" si="289"/>
        <v/>
      </c>
      <c r="R1031" s="39" t="str">
        <f t="shared" si="290"/>
        <v/>
      </c>
      <c r="S1031" s="107" t="str">
        <f t="shared" si="291"/>
        <v/>
      </c>
      <c r="T1031" s="39" t="str">
        <f>IF($C1031="","",IF(COUNTIF($C$2:$C1031,$C1031)=1,1,0))</f>
        <v/>
      </c>
      <c r="U1031" s="39" t="str">
        <f>IF($T1031=1,COUNTIF($T$2:$T1031,1),"")</f>
        <v/>
      </c>
      <c r="V1031" s="39" t="str">
        <f>IF($B1031="","",IF(COUNTIF($B$2:$B1031,$B1031)=1,1,0))</f>
        <v/>
      </c>
      <c r="W1031" s="39" t="str">
        <f>IF($V1031=1,COUNTIF($V$2:$V1031,1),"")</f>
        <v/>
      </c>
      <c r="X1031" s="39" t="str">
        <f>IF($A1031="","",IF(COUNTIF($A$2:$A1031,$A1031)=1,1,0))</f>
        <v/>
      </c>
      <c r="Y1031" s="39" t="str">
        <f>IF($X1031=1,COUNTIF($X$2:$X1031,1),"")</f>
        <v/>
      </c>
      <c r="Z1031" s="39">
        <f>IF(AND($E1031="timed",$N1031&gt;Settings!$C$8),1,0)</f>
        <v>0</v>
      </c>
      <c r="AA1031" s="39">
        <f t="shared" si="292"/>
        <v>0</v>
      </c>
      <c r="AB1031" s="39">
        <f t="shared" si="293"/>
        <v>0</v>
      </c>
      <c r="AC1031" s="39" t="str">
        <f t="shared" si="294"/>
        <v/>
      </c>
      <c r="AD1031" s="39" t="str">
        <f t="shared" si="295"/>
        <v/>
      </c>
      <c r="AE1031" s="39" t="str">
        <f t="shared" si="296"/>
        <v/>
      </c>
      <c r="AF1031" s="106" t="str">
        <f t="shared" si="297"/>
        <v/>
      </c>
      <c r="AG1031" s="39">
        <f t="shared" si="298"/>
        <v>0</v>
      </c>
      <c r="AH1031" s="39" t="str">
        <f t="shared" si="299"/>
        <v/>
      </c>
      <c r="AI1031" s="39">
        <f>IF(AND($E1031="timed",$N1031&gt;=Settings!$C$9),1,0)</f>
        <v>0</v>
      </c>
      <c r="AJ1031" s="39" t="str">
        <f>IF(OR($S1031="",Settings!$C$16=""),"",IF($S1031&lt;=Settings!$C$16,1,2))</f>
        <v/>
      </c>
      <c r="AK1031" s="39" t="str">
        <f>IF($C1031="","",IFERROR(IF(INDEX(Settings!$C$20:$C$59,MATCH($C1031,Settings!$B$20:$B$59,0))="",Settings!$C$10,INDEX(Settings!$C$20:$C$59,MATCH($C1031,Settings!$B$20:$B$59,0))),Settings!$C$10))</f>
        <v/>
      </c>
      <c r="AL1031" s="108">
        <f t="shared" si="300"/>
        <v>0</v>
      </c>
      <c r="AM1031" s="39" t="str">
        <f t="shared" si="301"/>
        <v/>
      </c>
      <c r="AN1031" s="39" t="str">
        <f t="shared" si="302"/>
        <v/>
      </c>
      <c r="AO1031" s="39" t="str">
        <f t="shared" si="303"/>
        <v/>
      </c>
      <c r="AP1031" s="39">
        <f t="shared" si="304"/>
        <v>0</v>
      </c>
      <c r="AQ1031" s="39">
        <f t="shared" si="305"/>
        <v>0</v>
      </c>
    </row>
    <row r="1032" spans="14:43" x14ac:dyDescent="0.25">
      <c r="N1032" s="105">
        <f t="shared" si="288"/>
        <v>0</v>
      </c>
      <c r="O1032" s="106" t="str">
        <f>IF($F1032="","",IF(ISNUMBER($F1032),$F1032+Settings!$C$7/24,IFERROR(DATEVALUE(LEFT($F1032,10))+TIMEVALUE(MID($F1032,12,8))+Settings!$C$7/24,"")))</f>
        <v/>
      </c>
      <c r="P1032" s="106" t="str">
        <f>IF($G1032="","",IF(ISNUMBER($G1032),$G1032+Settings!$C$7/24,IFERROR(DATEVALUE(LEFT($G1032,10))+TIMEVALUE(MID($G1032,12,8))+Settings!$C$7/24,"")))</f>
        <v/>
      </c>
      <c r="Q1032" s="39" t="str">
        <f t="shared" si="289"/>
        <v/>
      </c>
      <c r="R1032" s="39" t="str">
        <f t="shared" si="290"/>
        <v/>
      </c>
      <c r="S1032" s="107" t="str">
        <f t="shared" si="291"/>
        <v/>
      </c>
      <c r="T1032" s="39" t="str">
        <f>IF($C1032="","",IF(COUNTIF($C$2:$C1032,$C1032)=1,1,0))</f>
        <v/>
      </c>
      <c r="U1032" s="39" t="str">
        <f>IF($T1032=1,COUNTIF($T$2:$T1032,1),"")</f>
        <v/>
      </c>
      <c r="V1032" s="39" t="str">
        <f>IF($B1032="","",IF(COUNTIF($B$2:$B1032,$B1032)=1,1,0))</f>
        <v/>
      </c>
      <c r="W1032" s="39" t="str">
        <f>IF($V1032=1,COUNTIF($V$2:$V1032,1),"")</f>
        <v/>
      </c>
      <c r="X1032" s="39" t="str">
        <f>IF($A1032="","",IF(COUNTIF($A$2:$A1032,$A1032)=1,1,0))</f>
        <v/>
      </c>
      <c r="Y1032" s="39" t="str">
        <f>IF($X1032=1,COUNTIF($X$2:$X1032,1),"")</f>
        <v/>
      </c>
      <c r="Z1032" s="39">
        <f>IF(AND($E1032="timed",$N1032&gt;Settings!$C$8),1,0)</f>
        <v>0</v>
      </c>
      <c r="AA1032" s="39">
        <f t="shared" si="292"/>
        <v>0</v>
      </c>
      <c r="AB1032" s="39">
        <f t="shared" si="293"/>
        <v>0</v>
      </c>
      <c r="AC1032" s="39" t="str">
        <f t="shared" si="294"/>
        <v/>
      </c>
      <c r="AD1032" s="39" t="str">
        <f t="shared" si="295"/>
        <v/>
      </c>
      <c r="AE1032" s="39" t="str">
        <f t="shared" si="296"/>
        <v/>
      </c>
      <c r="AF1032" s="106" t="str">
        <f t="shared" si="297"/>
        <v/>
      </c>
      <c r="AG1032" s="39">
        <f t="shared" si="298"/>
        <v>0</v>
      </c>
      <c r="AH1032" s="39" t="str">
        <f t="shared" si="299"/>
        <v/>
      </c>
      <c r="AI1032" s="39">
        <f>IF(AND($E1032="timed",$N1032&gt;=Settings!$C$9),1,0)</f>
        <v>0</v>
      </c>
      <c r="AJ1032" s="39" t="str">
        <f>IF(OR($S1032="",Settings!$C$16=""),"",IF($S1032&lt;=Settings!$C$16,1,2))</f>
        <v/>
      </c>
      <c r="AK1032" s="39" t="str">
        <f>IF($C1032="","",IFERROR(IF(INDEX(Settings!$C$20:$C$59,MATCH($C1032,Settings!$B$20:$B$59,0))="",Settings!$C$10,INDEX(Settings!$C$20:$C$59,MATCH($C1032,Settings!$B$20:$B$59,0))),Settings!$C$10))</f>
        <v/>
      </c>
      <c r="AL1032" s="108">
        <f t="shared" si="300"/>
        <v>0</v>
      </c>
      <c r="AM1032" s="39" t="str">
        <f t="shared" si="301"/>
        <v/>
      </c>
      <c r="AN1032" s="39" t="str">
        <f t="shared" si="302"/>
        <v/>
      </c>
      <c r="AO1032" s="39" t="str">
        <f t="shared" si="303"/>
        <v/>
      </c>
      <c r="AP1032" s="39">
        <f t="shared" si="304"/>
        <v>0</v>
      </c>
      <c r="AQ1032" s="39">
        <f t="shared" si="305"/>
        <v>0</v>
      </c>
    </row>
    <row r="1033" spans="14:43" x14ac:dyDescent="0.25">
      <c r="N1033" s="105">
        <f t="shared" si="288"/>
        <v>0</v>
      </c>
      <c r="O1033" s="106" t="str">
        <f>IF($F1033="","",IF(ISNUMBER($F1033),$F1033+Settings!$C$7/24,IFERROR(DATEVALUE(LEFT($F1033,10))+TIMEVALUE(MID($F1033,12,8))+Settings!$C$7/24,"")))</f>
        <v/>
      </c>
      <c r="P1033" s="106" t="str">
        <f>IF($G1033="","",IF(ISNUMBER($G1033),$G1033+Settings!$C$7/24,IFERROR(DATEVALUE(LEFT($G1033,10))+TIMEVALUE(MID($G1033,12,8))+Settings!$C$7/24,"")))</f>
        <v/>
      </c>
      <c r="Q1033" s="39" t="str">
        <f t="shared" si="289"/>
        <v/>
      </c>
      <c r="R1033" s="39" t="str">
        <f t="shared" si="290"/>
        <v/>
      </c>
      <c r="S1033" s="107" t="str">
        <f t="shared" si="291"/>
        <v/>
      </c>
      <c r="T1033" s="39" t="str">
        <f>IF($C1033="","",IF(COUNTIF($C$2:$C1033,$C1033)=1,1,0))</f>
        <v/>
      </c>
      <c r="U1033" s="39" t="str">
        <f>IF($T1033=1,COUNTIF($T$2:$T1033,1),"")</f>
        <v/>
      </c>
      <c r="V1033" s="39" t="str">
        <f>IF($B1033="","",IF(COUNTIF($B$2:$B1033,$B1033)=1,1,0))</f>
        <v/>
      </c>
      <c r="W1033" s="39" t="str">
        <f>IF($V1033=1,COUNTIF($V$2:$V1033,1),"")</f>
        <v/>
      </c>
      <c r="X1033" s="39" t="str">
        <f>IF($A1033="","",IF(COUNTIF($A$2:$A1033,$A1033)=1,1,0))</f>
        <v/>
      </c>
      <c r="Y1033" s="39" t="str">
        <f>IF($X1033=1,COUNTIF($X$2:$X1033,1),"")</f>
        <v/>
      </c>
      <c r="Z1033" s="39">
        <f>IF(AND($E1033="timed",$N1033&gt;Settings!$C$8),1,0)</f>
        <v>0</v>
      </c>
      <c r="AA1033" s="39">
        <f t="shared" si="292"/>
        <v>0</v>
      </c>
      <c r="AB1033" s="39">
        <f t="shared" si="293"/>
        <v>0</v>
      </c>
      <c r="AC1033" s="39" t="str">
        <f t="shared" si="294"/>
        <v/>
      </c>
      <c r="AD1033" s="39" t="str">
        <f t="shared" si="295"/>
        <v/>
      </c>
      <c r="AE1033" s="39" t="str">
        <f t="shared" si="296"/>
        <v/>
      </c>
      <c r="AF1033" s="106" t="str">
        <f t="shared" si="297"/>
        <v/>
      </c>
      <c r="AG1033" s="39">
        <f t="shared" si="298"/>
        <v>0</v>
      </c>
      <c r="AH1033" s="39" t="str">
        <f t="shared" si="299"/>
        <v/>
      </c>
      <c r="AI1033" s="39">
        <f>IF(AND($E1033="timed",$N1033&gt;=Settings!$C$9),1,0)</f>
        <v>0</v>
      </c>
      <c r="AJ1033" s="39" t="str">
        <f>IF(OR($S1033="",Settings!$C$16=""),"",IF($S1033&lt;=Settings!$C$16,1,2))</f>
        <v/>
      </c>
      <c r="AK1033" s="39" t="str">
        <f>IF($C1033="","",IFERROR(IF(INDEX(Settings!$C$20:$C$59,MATCH($C1033,Settings!$B$20:$B$59,0))="",Settings!$C$10,INDEX(Settings!$C$20:$C$59,MATCH($C1033,Settings!$B$20:$B$59,0))),Settings!$C$10))</f>
        <v/>
      </c>
      <c r="AL1033" s="108">
        <f t="shared" si="300"/>
        <v>0</v>
      </c>
      <c r="AM1033" s="39" t="str">
        <f t="shared" si="301"/>
        <v/>
      </c>
      <c r="AN1033" s="39" t="str">
        <f t="shared" si="302"/>
        <v/>
      </c>
      <c r="AO1033" s="39" t="str">
        <f t="shared" si="303"/>
        <v/>
      </c>
      <c r="AP1033" s="39">
        <f t="shared" si="304"/>
        <v>0</v>
      </c>
      <c r="AQ1033" s="39">
        <f t="shared" si="305"/>
        <v>0</v>
      </c>
    </row>
    <row r="1034" spans="14:43" x14ac:dyDescent="0.25">
      <c r="N1034" s="105">
        <f t="shared" si="288"/>
        <v>0</v>
      </c>
      <c r="O1034" s="106" t="str">
        <f>IF($F1034="","",IF(ISNUMBER($F1034),$F1034+Settings!$C$7/24,IFERROR(DATEVALUE(LEFT($F1034,10))+TIMEVALUE(MID($F1034,12,8))+Settings!$C$7/24,"")))</f>
        <v/>
      </c>
      <c r="P1034" s="106" t="str">
        <f>IF($G1034="","",IF(ISNUMBER($G1034),$G1034+Settings!$C$7/24,IFERROR(DATEVALUE(LEFT($G1034,10))+TIMEVALUE(MID($G1034,12,8))+Settings!$C$7/24,"")))</f>
        <v/>
      </c>
      <c r="Q1034" s="39" t="str">
        <f t="shared" si="289"/>
        <v/>
      </c>
      <c r="R1034" s="39" t="str">
        <f t="shared" si="290"/>
        <v/>
      </c>
      <c r="S1034" s="107" t="str">
        <f t="shared" si="291"/>
        <v/>
      </c>
      <c r="T1034" s="39" t="str">
        <f>IF($C1034="","",IF(COUNTIF($C$2:$C1034,$C1034)=1,1,0))</f>
        <v/>
      </c>
      <c r="U1034" s="39" t="str">
        <f>IF($T1034=1,COUNTIF($T$2:$T1034,1),"")</f>
        <v/>
      </c>
      <c r="V1034" s="39" t="str">
        <f>IF($B1034="","",IF(COUNTIF($B$2:$B1034,$B1034)=1,1,0))</f>
        <v/>
      </c>
      <c r="W1034" s="39" t="str">
        <f>IF($V1034=1,COUNTIF($V$2:$V1034,1),"")</f>
        <v/>
      </c>
      <c r="X1034" s="39" t="str">
        <f>IF($A1034="","",IF(COUNTIF($A$2:$A1034,$A1034)=1,1,0))</f>
        <v/>
      </c>
      <c r="Y1034" s="39" t="str">
        <f>IF($X1034=1,COUNTIF($X$2:$X1034,1),"")</f>
        <v/>
      </c>
      <c r="Z1034" s="39">
        <f>IF(AND($E1034="timed",$N1034&gt;Settings!$C$8),1,0)</f>
        <v>0</v>
      </c>
      <c r="AA1034" s="39">
        <f t="shared" si="292"/>
        <v>0</v>
      </c>
      <c r="AB1034" s="39">
        <f t="shared" si="293"/>
        <v>0</v>
      </c>
      <c r="AC1034" s="39" t="str">
        <f t="shared" si="294"/>
        <v/>
      </c>
      <c r="AD1034" s="39" t="str">
        <f t="shared" si="295"/>
        <v/>
      </c>
      <c r="AE1034" s="39" t="str">
        <f t="shared" si="296"/>
        <v/>
      </c>
      <c r="AF1034" s="106" t="str">
        <f t="shared" si="297"/>
        <v/>
      </c>
      <c r="AG1034" s="39">
        <f t="shared" si="298"/>
        <v>0</v>
      </c>
      <c r="AH1034" s="39" t="str">
        <f t="shared" si="299"/>
        <v/>
      </c>
      <c r="AI1034" s="39">
        <f>IF(AND($E1034="timed",$N1034&gt;=Settings!$C$9),1,0)</f>
        <v>0</v>
      </c>
      <c r="AJ1034" s="39" t="str">
        <f>IF(OR($S1034="",Settings!$C$16=""),"",IF($S1034&lt;=Settings!$C$16,1,2))</f>
        <v/>
      </c>
      <c r="AK1034" s="39" t="str">
        <f>IF($C1034="","",IFERROR(IF(INDEX(Settings!$C$20:$C$59,MATCH($C1034,Settings!$B$20:$B$59,0))="",Settings!$C$10,INDEX(Settings!$C$20:$C$59,MATCH($C1034,Settings!$B$20:$B$59,0))),Settings!$C$10))</f>
        <v/>
      </c>
      <c r="AL1034" s="108">
        <f t="shared" si="300"/>
        <v>0</v>
      </c>
      <c r="AM1034" s="39" t="str">
        <f t="shared" si="301"/>
        <v/>
      </c>
      <c r="AN1034" s="39" t="str">
        <f t="shared" si="302"/>
        <v/>
      </c>
      <c r="AO1034" s="39" t="str">
        <f t="shared" si="303"/>
        <v/>
      </c>
      <c r="AP1034" s="39">
        <f t="shared" si="304"/>
        <v>0</v>
      </c>
      <c r="AQ1034" s="39">
        <f t="shared" si="305"/>
        <v>0</v>
      </c>
    </row>
    <row r="1035" spans="14:43" x14ac:dyDescent="0.25">
      <c r="N1035" s="105">
        <f t="shared" si="288"/>
        <v>0</v>
      </c>
      <c r="O1035" s="106" t="str">
        <f>IF($F1035="","",IF(ISNUMBER($F1035),$F1035+Settings!$C$7/24,IFERROR(DATEVALUE(LEFT($F1035,10))+TIMEVALUE(MID($F1035,12,8))+Settings!$C$7/24,"")))</f>
        <v/>
      </c>
      <c r="P1035" s="106" t="str">
        <f>IF($G1035="","",IF(ISNUMBER($G1035),$G1035+Settings!$C$7/24,IFERROR(DATEVALUE(LEFT($G1035,10))+TIMEVALUE(MID($G1035,12,8))+Settings!$C$7/24,"")))</f>
        <v/>
      </c>
      <c r="Q1035" s="39" t="str">
        <f t="shared" si="289"/>
        <v/>
      </c>
      <c r="R1035" s="39" t="str">
        <f t="shared" si="290"/>
        <v/>
      </c>
      <c r="S1035" s="107" t="str">
        <f t="shared" si="291"/>
        <v/>
      </c>
      <c r="T1035" s="39" t="str">
        <f>IF($C1035="","",IF(COUNTIF($C$2:$C1035,$C1035)=1,1,0))</f>
        <v/>
      </c>
      <c r="U1035" s="39" t="str">
        <f>IF($T1035=1,COUNTIF($T$2:$T1035,1),"")</f>
        <v/>
      </c>
      <c r="V1035" s="39" t="str">
        <f>IF($B1035="","",IF(COUNTIF($B$2:$B1035,$B1035)=1,1,0))</f>
        <v/>
      </c>
      <c r="W1035" s="39" t="str">
        <f>IF($V1035=1,COUNTIF($V$2:$V1035,1),"")</f>
        <v/>
      </c>
      <c r="X1035" s="39" t="str">
        <f>IF($A1035="","",IF(COUNTIF($A$2:$A1035,$A1035)=1,1,0))</f>
        <v/>
      </c>
      <c r="Y1035" s="39" t="str">
        <f>IF($X1035=1,COUNTIF($X$2:$X1035,1),"")</f>
        <v/>
      </c>
      <c r="Z1035" s="39">
        <f>IF(AND($E1035="timed",$N1035&gt;Settings!$C$8),1,0)</f>
        <v>0</v>
      </c>
      <c r="AA1035" s="39">
        <f t="shared" si="292"/>
        <v>0</v>
      </c>
      <c r="AB1035" s="39">
        <f t="shared" si="293"/>
        <v>0</v>
      </c>
      <c r="AC1035" s="39" t="str">
        <f t="shared" si="294"/>
        <v/>
      </c>
      <c r="AD1035" s="39" t="str">
        <f t="shared" si="295"/>
        <v/>
      </c>
      <c r="AE1035" s="39" t="str">
        <f t="shared" si="296"/>
        <v/>
      </c>
      <c r="AF1035" s="106" t="str">
        <f t="shared" si="297"/>
        <v/>
      </c>
      <c r="AG1035" s="39">
        <f t="shared" si="298"/>
        <v>0</v>
      </c>
      <c r="AH1035" s="39" t="str">
        <f t="shared" si="299"/>
        <v/>
      </c>
      <c r="AI1035" s="39">
        <f>IF(AND($E1035="timed",$N1035&gt;=Settings!$C$9),1,0)</f>
        <v>0</v>
      </c>
      <c r="AJ1035" s="39" t="str">
        <f>IF(OR($S1035="",Settings!$C$16=""),"",IF($S1035&lt;=Settings!$C$16,1,2))</f>
        <v/>
      </c>
      <c r="AK1035" s="39" t="str">
        <f>IF($C1035="","",IFERROR(IF(INDEX(Settings!$C$20:$C$59,MATCH($C1035,Settings!$B$20:$B$59,0))="",Settings!$C$10,INDEX(Settings!$C$20:$C$59,MATCH($C1035,Settings!$B$20:$B$59,0))),Settings!$C$10))</f>
        <v/>
      </c>
      <c r="AL1035" s="108">
        <f t="shared" si="300"/>
        <v>0</v>
      </c>
      <c r="AM1035" s="39" t="str">
        <f t="shared" si="301"/>
        <v/>
      </c>
      <c r="AN1035" s="39" t="str">
        <f t="shared" si="302"/>
        <v/>
      </c>
      <c r="AO1035" s="39" t="str">
        <f t="shared" si="303"/>
        <v/>
      </c>
      <c r="AP1035" s="39">
        <f t="shared" si="304"/>
        <v>0</v>
      </c>
      <c r="AQ1035" s="39">
        <f t="shared" si="305"/>
        <v>0</v>
      </c>
    </row>
    <row r="1036" spans="14:43" x14ac:dyDescent="0.25">
      <c r="N1036" s="105">
        <f t="shared" si="288"/>
        <v>0</v>
      </c>
      <c r="O1036" s="106" t="str">
        <f>IF($F1036="","",IF(ISNUMBER($F1036),$F1036+Settings!$C$7/24,IFERROR(DATEVALUE(LEFT($F1036,10))+TIMEVALUE(MID($F1036,12,8))+Settings!$C$7/24,"")))</f>
        <v/>
      </c>
      <c r="P1036" s="106" t="str">
        <f>IF($G1036="","",IF(ISNUMBER($G1036),$G1036+Settings!$C$7/24,IFERROR(DATEVALUE(LEFT($G1036,10))+TIMEVALUE(MID($G1036,12,8))+Settings!$C$7/24,"")))</f>
        <v/>
      </c>
      <c r="Q1036" s="39" t="str">
        <f t="shared" si="289"/>
        <v/>
      </c>
      <c r="R1036" s="39" t="str">
        <f t="shared" si="290"/>
        <v/>
      </c>
      <c r="S1036" s="107" t="str">
        <f t="shared" si="291"/>
        <v/>
      </c>
      <c r="T1036" s="39" t="str">
        <f>IF($C1036="","",IF(COUNTIF($C$2:$C1036,$C1036)=1,1,0))</f>
        <v/>
      </c>
      <c r="U1036" s="39" t="str">
        <f>IF($T1036=1,COUNTIF($T$2:$T1036,1),"")</f>
        <v/>
      </c>
      <c r="V1036" s="39" t="str">
        <f>IF($B1036="","",IF(COUNTIF($B$2:$B1036,$B1036)=1,1,0))</f>
        <v/>
      </c>
      <c r="W1036" s="39" t="str">
        <f>IF($V1036=1,COUNTIF($V$2:$V1036,1),"")</f>
        <v/>
      </c>
      <c r="X1036" s="39" t="str">
        <f>IF($A1036="","",IF(COUNTIF($A$2:$A1036,$A1036)=1,1,0))</f>
        <v/>
      </c>
      <c r="Y1036" s="39" t="str">
        <f>IF($X1036=1,COUNTIF($X$2:$X1036,1),"")</f>
        <v/>
      </c>
      <c r="Z1036" s="39">
        <f>IF(AND($E1036="timed",$N1036&gt;Settings!$C$8),1,0)</f>
        <v>0</v>
      </c>
      <c r="AA1036" s="39">
        <f t="shared" si="292"/>
        <v>0</v>
      </c>
      <c r="AB1036" s="39">
        <f t="shared" si="293"/>
        <v>0</v>
      </c>
      <c r="AC1036" s="39" t="str">
        <f t="shared" si="294"/>
        <v/>
      </c>
      <c r="AD1036" s="39" t="str">
        <f t="shared" si="295"/>
        <v/>
      </c>
      <c r="AE1036" s="39" t="str">
        <f t="shared" si="296"/>
        <v/>
      </c>
      <c r="AF1036" s="106" t="str">
        <f t="shared" si="297"/>
        <v/>
      </c>
      <c r="AG1036" s="39">
        <f t="shared" si="298"/>
        <v>0</v>
      </c>
      <c r="AH1036" s="39" t="str">
        <f t="shared" si="299"/>
        <v/>
      </c>
      <c r="AI1036" s="39">
        <f>IF(AND($E1036="timed",$N1036&gt;=Settings!$C$9),1,0)</f>
        <v>0</v>
      </c>
      <c r="AJ1036" s="39" t="str">
        <f>IF(OR($S1036="",Settings!$C$16=""),"",IF($S1036&lt;=Settings!$C$16,1,2))</f>
        <v/>
      </c>
      <c r="AK1036" s="39" t="str">
        <f>IF($C1036="","",IFERROR(IF(INDEX(Settings!$C$20:$C$59,MATCH($C1036,Settings!$B$20:$B$59,0))="",Settings!$C$10,INDEX(Settings!$C$20:$C$59,MATCH($C1036,Settings!$B$20:$B$59,0))),Settings!$C$10))</f>
        <v/>
      </c>
      <c r="AL1036" s="108">
        <f t="shared" si="300"/>
        <v>0</v>
      </c>
      <c r="AM1036" s="39" t="str">
        <f t="shared" si="301"/>
        <v/>
      </c>
      <c r="AN1036" s="39" t="str">
        <f t="shared" si="302"/>
        <v/>
      </c>
      <c r="AO1036" s="39" t="str">
        <f t="shared" si="303"/>
        <v/>
      </c>
      <c r="AP1036" s="39">
        <f t="shared" si="304"/>
        <v>0</v>
      </c>
      <c r="AQ1036" s="39">
        <f t="shared" si="305"/>
        <v>0</v>
      </c>
    </row>
    <row r="1037" spans="14:43" x14ac:dyDescent="0.25">
      <c r="N1037" s="105">
        <f t="shared" si="288"/>
        <v>0</v>
      </c>
      <c r="O1037" s="106" t="str">
        <f>IF($F1037="","",IF(ISNUMBER($F1037),$F1037+Settings!$C$7/24,IFERROR(DATEVALUE(LEFT($F1037,10))+TIMEVALUE(MID($F1037,12,8))+Settings!$C$7/24,"")))</f>
        <v/>
      </c>
      <c r="P1037" s="106" t="str">
        <f>IF($G1037="","",IF(ISNUMBER($G1037),$G1037+Settings!$C$7/24,IFERROR(DATEVALUE(LEFT($G1037,10))+TIMEVALUE(MID($G1037,12,8))+Settings!$C$7/24,"")))</f>
        <v/>
      </c>
      <c r="Q1037" s="39" t="str">
        <f t="shared" si="289"/>
        <v/>
      </c>
      <c r="R1037" s="39" t="str">
        <f t="shared" si="290"/>
        <v/>
      </c>
      <c r="S1037" s="107" t="str">
        <f t="shared" si="291"/>
        <v/>
      </c>
      <c r="T1037" s="39" t="str">
        <f>IF($C1037="","",IF(COUNTIF($C$2:$C1037,$C1037)=1,1,0))</f>
        <v/>
      </c>
      <c r="U1037" s="39" t="str">
        <f>IF($T1037=1,COUNTIF($T$2:$T1037,1),"")</f>
        <v/>
      </c>
      <c r="V1037" s="39" t="str">
        <f>IF($B1037="","",IF(COUNTIF($B$2:$B1037,$B1037)=1,1,0))</f>
        <v/>
      </c>
      <c r="W1037" s="39" t="str">
        <f>IF($V1037=1,COUNTIF($V$2:$V1037,1),"")</f>
        <v/>
      </c>
      <c r="X1037" s="39" t="str">
        <f>IF($A1037="","",IF(COUNTIF($A$2:$A1037,$A1037)=1,1,0))</f>
        <v/>
      </c>
      <c r="Y1037" s="39" t="str">
        <f>IF($X1037=1,COUNTIF($X$2:$X1037,1),"")</f>
        <v/>
      </c>
      <c r="Z1037" s="39">
        <f>IF(AND($E1037="timed",$N1037&gt;Settings!$C$8),1,0)</f>
        <v>0</v>
      </c>
      <c r="AA1037" s="39">
        <f t="shared" si="292"/>
        <v>0</v>
      </c>
      <c r="AB1037" s="39">
        <f t="shared" si="293"/>
        <v>0</v>
      </c>
      <c r="AC1037" s="39" t="str">
        <f t="shared" si="294"/>
        <v/>
      </c>
      <c r="AD1037" s="39" t="str">
        <f t="shared" si="295"/>
        <v/>
      </c>
      <c r="AE1037" s="39" t="str">
        <f t="shared" si="296"/>
        <v/>
      </c>
      <c r="AF1037" s="106" t="str">
        <f t="shared" si="297"/>
        <v/>
      </c>
      <c r="AG1037" s="39">
        <f t="shared" si="298"/>
        <v>0</v>
      </c>
      <c r="AH1037" s="39" t="str">
        <f t="shared" si="299"/>
        <v/>
      </c>
      <c r="AI1037" s="39">
        <f>IF(AND($E1037="timed",$N1037&gt;=Settings!$C$9),1,0)</f>
        <v>0</v>
      </c>
      <c r="AJ1037" s="39" t="str">
        <f>IF(OR($S1037="",Settings!$C$16=""),"",IF($S1037&lt;=Settings!$C$16,1,2))</f>
        <v/>
      </c>
      <c r="AK1037" s="39" t="str">
        <f>IF($C1037="","",IFERROR(IF(INDEX(Settings!$C$20:$C$59,MATCH($C1037,Settings!$B$20:$B$59,0))="",Settings!$C$10,INDEX(Settings!$C$20:$C$59,MATCH($C1037,Settings!$B$20:$B$59,0))),Settings!$C$10))</f>
        <v/>
      </c>
      <c r="AL1037" s="108">
        <f t="shared" si="300"/>
        <v>0</v>
      </c>
      <c r="AM1037" s="39" t="str">
        <f t="shared" si="301"/>
        <v/>
      </c>
      <c r="AN1037" s="39" t="str">
        <f t="shared" si="302"/>
        <v/>
      </c>
      <c r="AO1037" s="39" t="str">
        <f t="shared" si="303"/>
        <v/>
      </c>
      <c r="AP1037" s="39">
        <f t="shared" si="304"/>
        <v>0</v>
      </c>
      <c r="AQ1037" s="39">
        <f t="shared" si="305"/>
        <v>0</v>
      </c>
    </row>
    <row r="1038" spans="14:43" x14ac:dyDescent="0.25">
      <c r="N1038" s="105">
        <f t="shared" si="288"/>
        <v>0</v>
      </c>
      <c r="O1038" s="106" t="str">
        <f>IF($F1038="","",IF(ISNUMBER($F1038),$F1038+Settings!$C$7/24,IFERROR(DATEVALUE(LEFT($F1038,10))+TIMEVALUE(MID($F1038,12,8))+Settings!$C$7/24,"")))</f>
        <v/>
      </c>
      <c r="P1038" s="106" t="str">
        <f>IF($G1038="","",IF(ISNUMBER($G1038),$G1038+Settings!$C$7/24,IFERROR(DATEVALUE(LEFT($G1038,10))+TIMEVALUE(MID($G1038,12,8))+Settings!$C$7/24,"")))</f>
        <v/>
      </c>
      <c r="Q1038" s="39" t="str">
        <f t="shared" si="289"/>
        <v/>
      </c>
      <c r="R1038" s="39" t="str">
        <f t="shared" si="290"/>
        <v/>
      </c>
      <c r="S1038" s="107" t="str">
        <f t="shared" si="291"/>
        <v/>
      </c>
      <c r="T1038" s="39" t="str">
        <f>IF($C1038="","",IF(COUNTIF($C$2:$C1038,$C1038)=1,1,0))</f>
        <v/>
      </c>
      <c r="U1038" s="39" t="str">
        <f>IF($T1038=1,COUNTIF($T$2:$T1038,1),"")</f>
        <v/>
      </c>
      <c r="V1038" s="39" t="str">
        <f>IF($B1038="","",IF(COUNTIF($B$2:$B1038,$B1038)=1,1,0))</f>
        <v/>
      </c>
      <c r="W1038" s="39" t="str">
        <f>IF($V1038=1,COUNTIF($V$2:$V1038,1),"")</f>
        <v/>
      </c>
      <c r="X1038" s="39" t="str">
        <f>IF($A1038="","",IF(COUNTIF($A$2:$A1038,$A1038)=1,1,0))</f>
        <v/>
      </c>
      <c r="Y1038" s="39" t="str">
        <f>IF($X1038=1,COUNTIF($X$2:$X1038,1),"")</f>
        <v/>
      </c>
      <c r="Z1038" s="39">
        <f>IF(AND($E1038="timed",$N1038&gt;Settings!$C$8),1,0)</f>
        <v>0</v>
      </c>
      <c r="AA1038" s="39">
        <f t="shared" si="292"/>
        <v>0</v>
      </c>
      <c r="AB1038" s="39">
        <f t="shared" si="293"/>
        <v>0</v>
      </c>
      <c r="AC1038" s="39" t="str">
        <f t="shared" si="294"/>
        <v/>
      </c>
      <c r="AD1038" s="39" t="str">
        <f t="shared" si="295"/>
        <v/>
      </c>
      <c r="AE1038" s="39" t="str">
        <f t="shared" si="296"/>
        <v/>
      </c>
      <c r="AF1038" s="106" t="str">
        <f t="shared" si="297"/>
        <v/>
      </c>
      <c r="AG1038" s="39">
        <f t="shared" si="298"/>
        <v>0</v>
      </c>
      <c r="AH1038" s="39" t="str">
        <f t="shared" si="299"/>
        <v/>
      </c>
      <c r="AI1038" s="39">
        <f>IF(AND($E1038="timed",$N1038&gt;=Settings!$C$9),1,0)</f>
        <v>0</v>
      </c>
      <c r="AJ1038" s="39" t="str">
        <f>IF(OR($S1038="",Settings!$C$16=""),"",IF($S1038&lt;=Settings!$C$16,1,2))</f>
        <v/>
      </c>
      <c r="AK1038" s="39" t="str">
        <f>IF($C1038="","",IFERROR(IF(INDEX(Settings!$C$20:$C$59,MATCH($C1038,Settings!$B$20:$B$59,0))="",Settings!$C$10,INDEX(Settings!$C$20:$C$59,MATCH($C1038,Settings!$B$20:$B$59,0))),Settings!$C$10))</f>
        <v/>
      </c>
      <c r="AL1038" s="108">
        <f t="shared" si="300"/>
        <v>0</v>
      </c>
      <c r="AM1038" s="39" t="str">
        <f t="shared" si="301"/>
        <v/>
      </c>
      <c r="AN1038" s="39" t="str">
        <f t="shared" si="302"/>
        <v/>
      </c>
      <c r="AO1038" s="39" t="str">
        <f t="shared" si="303"/>
        <v/>
      </c>
      <c r="AP1038" s="39">
        <f t="shared" si="304"/>
        <v>0</v>
      </c>
      <c r="AQ1038" s="39">
        <f t="shared" si="305"/>
        <v>0</v>
      </c>
    </row>
    <row r="1039" spans="14:43" x14ac:dyDescent="0.25">
      <c r="N1039" s="105">
        <f t="shared" si="288"/>
        <v>0</v>
      </c>
      <c r="O1039" s="106" t="str">
        <f>IF($F1039="","",IF(ISNUMBER($F1039),$F1039+Settings!$C$7/24,IFERROR(DATEVALUE(LEFT($F1039,10))+TIMEVALUE(MID($F1039,12,8))+Settings!$C$7/24,"")))</f>
        <v/>
      </c>
      <c r="P1039" s="106" t="str">
        <f>IF($G1039="","",IF(ISNUMBER($G1039),$G1039+Settings!$C$7/24,IFERROR(DATEVALUE(LEFT($G1039,10))+TIMEVALUE(MID($G1039,12,8))+Settings!$C$7/24,"")))</f>
        <v/>
      </c>
      <c r="Q1039" s="39" t="str">
        <f t="shared" si="289"/>
        <v/>
      </c>
      <c r="R1039" s="39" t="str">
        <f t="shared" si="290"/>
        <v/>
      </c>
      <c r="S1039" s="107" t="str">
        <f t="shared" si="291"/>
        <v/>
      </c>
      <c r="T1039" s="39" t="str">
        <f>IF($C1039="","",IF(COUNTIF($C$2:$C1039,$C1039)=1,1,0))</f>
        <v/>
      </c>
      <c r="U1039" s="39" t="str">
        <f>IF($T1039=1,COUNTIF($T$2:$T1039,1),"")</f>
        <v/>
      </c>
      <c r="V1039" s="39" t="str">
        <f>IF($B1039="","",IF(COUNTIF($B$2:$B1039,$B1039)=1,1,0))</f>
        <v/>
      </c>
      <c r="W1039" s="39" t="str">
        <f>IF($V1039=1,COUNTIF($V$2:$V1039,1),"")</f>
        <v/>
      </c>
      <c r="X1039" s="39" t="str">
        <f>IF($A1039="","",IF(COUNTIF($A$2:$A1039,$A1039)=1,1,0))</f>
        <v/>
      </c>
      <c r="Y1039" s="39" t="str">
        <f>IF($X1039=1,COUNTIF($X$2:$X1039,1),"")</f>
        <v/>
      </c>
      <c r="Z1039" s="39">
        <f>IF(AND($E1039="timed",$N1039&gt;Settings!$C$8),1,0)</f>
        <v>0</v>
      </c>
      <c r="AA1039" s="39">
        <f t="shared" si="292"/>
        <v>0</v>
      </c>
      <c r="AB1039" s="39">
        <f t="shared" si="293"/>
        <v>0</v>
      </c>
      <c r="AC1039" s="39" t="str">
        <f t="shared" si="294"/>
        <v/>
      </c>
      <c r="AD1039" s="39" t="str">
        <f t="shared" si="295"/>
        <v/>
      </c>
      <c r="AE1039" s="39" t="str">
        <f t="shared" si="296"/>
        <v/>
      </c>
      <c r="AF1039" s="106" t="str">
        <f t="shared" si="297"/>
        <v/>
      </c>
      <c r="AG1039" s="39">
        <f t="shared" si="298"/>
        <v>0</v>
      </c>
      <c r="AH1039" s="39" t="str">
        <f t="shared" si="299"/>
        <v/>
      </c>
      <c r="AI1039" s="39">
        <f>IF(AND($E1039="timed",$N1039&gt;=Settings!$C$9),1,0)</f>
        <v>0</v>
      </c>
      <c r="AJ1039" s="39" t="str">
        <f>IF(OR($S1039="",Settings!$C$16=""),"",IF($S1039&lt;=Settings!$C$16,1,2))</f>
        <v/>
      </c>
      <c r="AK1039" s="39" t="str">
        <f>IF($C1039="","",IFERROR(IF(INDEX(Settings!$C$20:$C$59,MATCH($C1039,Settings!$B$20:$B$59,0))="",Settings!$C$10,INDEX(Settings!$C$20:$C$59,MATCH($C1039,Settings!$B$20:$B$59,0))),Settings!$C$10))</f>
        <v/>
      </c>
      <c r="AL1039" s="108">
        <f t="shared" si="300"/>
        <v>0</v>
      </c>
      <c r="AM1039" s="39" t="str">
        <f t="shared" si="301"/>
        <v/>
      </c>
      <c r="AN1039" s="39" t="str">
        <f t="shared" si="302"/>
        <v/>
      </c>
      <c r="AO1039" s="39" t="str">
        <f t="shared" si="303"/>
        <v/>
      </c>
      <c r="AP1039" s="39">
        <f t="shared" si="304"/>
        <v>0</v>
      </c>
      <c r="AQ1039" s="39">
        <f t="shared" si="305"/>
        <v>0</v>
      </c>
    </row>
    <row r="1040" spans="14:43" x14ac:dyDescent="0.25">
      <c r="N1040" s="105">
        <f t="shared" si="288"/>
        <v>0</v>
      </c>
      <c r="O1040" s="106" t="str">
        <f>IF($F1040="","",IF(ISNUMBER($F1040),$F1040+Settings!$C$7/24,IFERROR(DATEVALUE(LEFT($F1040,10))+TIMEVALUE(MID($F1040,12,8))+Settings!$C$7/24,"")))</f>
        <v/>
      </c>
      <c r="P1040" s="106" t="str">
        <f>IF($G1040="","",IF(ISNUMBER($G1040),$G1040+Settings!$C$7/24,IFERROR(DATEVALUE(LEFT($G1040,10))+TIMEVALUE(MID($G1040,12,8))+Settings!$C$7/24,"")))</f>
        <v/>
      </c>
      <c r="Q1040" s="39" t="str">
        <f t="shared" si="289"/>
        <v/>
      </c>
      <c r="R1040" s="39" t="str">
        <f t="shared" si="290"/>
        <v/>
      </c>
      <c r="S1040" s="107" t="str">
        <f t="shared" si="291"/>
        <v/>
      </c>
      <c r="T1040" s="39" t="str">
        <f>IF($C1040="","",IF(COUNTIF($C$2:$C1040,$C1040)=1,1,0))</f>
        <v/>
      </c>
      <c r="U1040" s="39" t="str">
        <f>IF($T1040=1,COUNTIF($T$2:$T1040,1),"")</f>
        <v/>
      </c>
      <c r="V1040" s="39" t="str">
        <f>IF($B1040="","",IF(COUNTIF($B$2:$B1040,$B1040)=1,1,0))</f>
        <v/>
      </c>
      <c r="W1040" s="39" t="str">
        <f>IF($V1040=1,COUNTIF($V$2:$V1040,1),"")</f>
        <v/>
      </c>
      <c r="X1040" s="39" t="str">
        <f>IF($A1040="","",IF(COUNTIF($A$2:$A1040,$A1040)=1,1,0))</f>
        <v/>
      </c>
      <c r="Y1040" s="39" t="str">
        <f>IF($X1040=1,COUNTIF($X$2:$X1040,1),"")</f>
        <v/>
      </c>
      <c r="Z1040" s="39">
        <f>IF(AND($E1040="timed",$N1040&gt;Settings!$C$8),1,0)</f>
        <v>0</v>
      </c>
      <c r="AA1040" s="39">
        <f t="shared" si="292"/>
        <v>0</v>
      </c>
      <c r="AB1040" s="39">
        <f t="shared" si="293"/>
        <v>0</v>
      </c>
      <c r="AC1040" s="39" t="str">
        <f t="shared" si="294"/>
        <v/>
      </c>
      <c r="AD1040" s="39" t="str">
        <f t="shared" si="295"/>
        <v/>
      </c>
      <c r="AE1040" s="39" t="str">
        <f t="shared" si="296"/>
        <v/>
      </c>
      <c r="AF1040" s="106" t="str">
        <f t="shared" si="297"/>
        <v/>
      </c>
      <c r="AG1040" s="39">
        <f t="shared" si="298"/>
        <v>0</v>
      </c>
      <c r="AH1040" s="39" t="str">
        <f t="shared" si="299"/>
        <v/>
      </c>
      <c r="AI1040" s="39">
        <f>IF(AND($E1040="timed",$N1040&gt;=Settings!$C$9),1,0)</f>
        <v>0</v>
      </c>
      <c r="AJ1040" s="39" t="str">
        <f>IF(OR($S1040="",Settings!$C$16=""),"",IF($S1040&lt;=Settings!$C$16,1,2))</f>
        <v/>
      </c>
      <c r="AK1040" s="39" t="str">
        <f>IF($C1040="","",IFERROR(IF(INDEX(Settings!$C$20:$C$59,MATCH($C1040,Settings!$B$20:$B$59,0))="",Settings!$C$10,INDEX(Settings!$C$20:$C$59,MATCH($C1040,Settings!$B$20:$B$59,0))),Settings!$C$10))</f>
        <v/>
      </c>
      <c r="AL1040" s="108">
        <f t="shared" si="300"/>
        <v>0</v>
      </c>
      <c r="AM1040" s="39" t="str">
        <f t="shared" si="301"/>
        <v/>
      </c>
      <c r="AN1040" s="39" t="str">
        <f t="shared" si="302"/>
        <v/>
      </c>
      <c r="AO1040" s="39" t="str">
        <f t="shared" si="303"/>
        <v/>
      </c>
      <c r="AP1040" s="39">
        <f t="shared" si="304"/>
        <v>0</v>
      </c>
      <c r="AQ1040" s="39">
        <f t="shared" si="305"/>
        <v>0</v>
      </c>
    </row>
    <row r="1041" spans="14:43" x14ac:dyDescent="0.25">
      <c r="N1041" s="105">
        <f t="shared" si="288"/>
        <v>0</v>
      </c>
      <c r="O1041" s="106" t="str">
        <f>IF($F1041="","",IF(ISNUMBER($F1041),$F1041+Settings!$C$7/24,IFERROR(DATEVALUE(LEFT($F1041,10))+TIMEVALUE(MID($F1041,12,8))+Settings!$C$7/24,"")))</f>
        <v/>
      </c>
      <c r="P1041" s="106" t="str">
        <f>IF($G1041="","",IF(ISNUMBER($G1041),$G1041+Settings!$C$7/24,IFERROR(DATEVALUE(LEFT($G1041,10))+TIMEVALUE(MID($G1041,12,8))+Settings!$C$7/24,"")))</f>
        <v/>
      </c>
      <c r="Q1041" s="39" t="str">
        <f t="shared" si="289"/>
        <v/>
      </c>
      <c r="R1041" s="39" t="str">
        <f t="shared" si="290"/>
        <v/>
      </c>
      <c r="S1041" s="107" t="str">
        <f t="shared" si="291"/>
        <v/>
      </c>
      <c r="T1041" s="39" t="str">
        <f>IF($C1041="","",IF(COUNTIF($C$2:$C1041,$C1041)=1,1,0))</f>
        <v/>
      </c>
      <c r="U1041" s="39" t="str">
        <f>IF($T1041=1,COUNTIF($T$2:$T1041,1),"")</f>
        <v/>
      </c>
      <c r="V1041" s="39" t="str">
        <f>IF($B1041="","",IF(COUNTIF($B$2:$B1041,$B1041)=1,1,0))</f>
        <v/>
      </c>
      <c r="W1041" s="39" t="str">
        <f>IF($V1041=1,COUNTIF($V$2:$V1041,1),"")</f>
        <v/>
      </c>
      <c r="X1041" s="39" t="str">
        <f>IF($A1041="","",IF(COUNTIF($A$2:$A1041,$A1041)=1,1,0))</f>
        <v/>
      </c>
      <c r="Y1041" s="39" t="str">
        <f>IF($X1041=1,COUNTIF($X$2:$X1041,1),"")</f>
        <v/>
      </c>
      <c r="Z1041" s="39">
        <f>IF(AND($E1041="timed",$N1041&gt;Settings!$C$8),1,0)</f>
        <v>0</v>
      </c>
      <c r="AA1041" s="39">
        <f t="shared" si="292"/>
        <v>0</v>
      </c>
      <c r="AB1041" s="39">
        <f t="shared" si="293"/>
        <v>0</v>
      </c>
      <c r="AC1041" s="39" t="str">
        <f t="shared" si="294"/>
        <v/>
      </c>
      <c r="AD1041" s="39" t="str">
        <f t="shared" si="295"/>
        <v/>
      </c>
      <c r="AE1041" s="39" t="str">
        <f t="shared" si="296"/>
        <v/>
      </c>
      <c r="AF1041" s="106" t="str">
        <f t="shared" si="297"/>
        <v/>
      </c>
      <c r="AG1041" s="39">
        <f t="shared" si="298"/>
        <v>0</v>
      </c>
      <c r="AH1041" s="39" t="str">
        <f t="shared" si="299"/>
        <v/>
      </c>
      <c r="AI1041" s="39">
        <f>IF(AND($E1041="timed",$N1041&gt;=Settings!$C$9),1,0)</f>
        <v>0</v>
      </c>
      <c r="AJ1041" s="39" t="str">
        <f>IF(OR($S1041="",Settings!$C$16=""),"",IF($S1041&lt;=Settings!$C$16,1,2))</f>
        <v/>
      </c>
      <c r="AK1041" s="39" t="str">
        <f>IF($C1041="","",IFERROR(IF(INDEX(Settings!$C$20:$C$59,MATCH($C1041,Settings!$B$20:$B$59,0))="",Settings!$C$10,INDEX(Settings!$C$20:$C$59,MATCH($C1041,Settings!$B$20:$B$59,0))),Settings!$C$10))</f>
        <v/>
      </c>
      <c r="AL1041" s="108">
        <f t="shared" si="300"/>
        <v>0</v>
      </c>
      <c r="AM1041" s="39" t="str">
        <f t="shared" si="301"/>
        <v/>
      </c>
      <c r="AN1041" s="39" t="str">
        <f t="shared" si="302"/>
        <v/>
      </c>
      <c r="AO1041" s="39" t="str">
        <f t="shared" si="303"/>
        <v/>
      </c>
      <c r="AP1041" s="39">
        <f t="shared" si="304"/>
        <v>0</v>
      </c>
      <c r="AQ1041" s="39">
        <f t="shared" si="305"/>
        <v>0</v>
      </c>
    </row>
    <row r="1042" spans="14:43" x14ac:dyDescent="0.25">
      <c r="N1042" s="105">
        <f t="shared" si="288"/>
        <v>0</v>
      </c>
      <c r="O1042" s="106" t="str">
        <f>IF($F1042="","",IF(ISNUMBER($F1042),$F1042+Settings!$C$7/24,IFERROR(DATEVALUE(LEFT($F1042,10))+TIMEVALUE(MID($F1042,12,8))+Settings!$C$7/24,"")))</f>
        <v/>
      </c>
      <c r="P1042" s="106" t="str">
        <f>IF($G1042="","",IF(ISNUMBER($G1042),$G1042+Settings!$C$7/24,IFERROR(DATEVALUE(LEFT($G1042,10))+TIMEVALUE(MID($G1042,12,8))+Settings!$C$7/24,"")))</f>
        <v/>
      </c>
      <c r="Q1042" s="39" t="str">
        <f t="shared" si="289"/>
        <v/>
      </c>
      <c r="R1042" s="39" t="str">
        <f t="shared" si="290"/>
        <v/>
      </c>
      <c r="S1042" s="107" t="str">
        <f t="shared" si="291"/>
        <v/>
      </c>
      <c r="T1042" s="39" t="str">
        <f>IF($C1042="","",IF(COUNTIF($C$2:$C1042,$C1042)=1,1,0))</f>
        <v/>
      </c>
      <c r="U1042" s="39" t="str">
        <f>IF($T1042=1,COUNTIF($T$2:$T1042,1),"")</f>
        <v/>
      </c>
      <c r="V1042" s="39" t="str">
        <f>IF($B1042="","",IF(COUNTIF($B$2:$B1042,$B1042)=1,1,0))</f>
        <v/>
      </c>
      <c r="W1042" s="39" t="str">
        <f>IF($V1042=1,COUNTIF($V$2:$V1042,1),"")</f>
        <v/>
      </c>
      <c r="X1042" s="39" t="str">
        <f>IF($A1042="","",IF(COUNTIF($A$2:$A1042,$A1042)=1,1,0))</f>
        <v/>
      </c>
      <c r="Y1042" s="39" t="str">
        <f>IF($X1042=1,COUNTIF($X$2:$X1042,1),"")</f>
        <v/>
      </c>
      <c r="Z1042" s="39">
        <f>IF(AND($E1042="timed",$N1042&gt;Settings!$C$8),1,0)</f>
        <v>0</v>
      </c>
      <c r="AA1042" s="39">
        <f t="shared" si="292"/>
        <v>0</v>
      </c>
      <c r="AB1042" s="39">
        <f t="shared" si="293"/>
        <v>0</v>
      </c>
      <c r="AC1042" s="39" t="str">
        <f t="shared" si="294"/>
        <v/>
      </c>
      <c r="AD1042" s="39" t="str">
        <f t="shared" si="295"/>
        <v/>
      </c>
      <c r="AE1042" s="39" t="str">
        <f t="shared" si="296"/>
        <v/>
      </c>
      <c r="AF1042" s="106" t="str">
        <f t="shared" si="297"/>
        <v/>
      </c>
      <c r="AG1042" s="39">
        <f t="shared" si="298"/>
        <v>0</v>
      </c>
      <c r="AH1042" s="39" t="str">
        <f t="shared" si="299"/>
        <v/>
      </c>
      <c r="AI1042" s="39">
        <f>IF(AND($E1042="timed",$N1042&gt;=Settings!$C$9),1,0)</f>
        <v>0</v>
      </c>
      <c r="AJ1042" s="39" t="str">
        <f>IF(OR($S1042="",Settings!$C$16=""),"",IF($S1042&lt;=Settings!$C$16,1,2))</f>
        <v/>
      </c>
      <c r="AK1042" s="39" t="str">
        <f>IF($C1042="","",IFERROR(IF(INDEX(Settings!$C$20:$C$59,MATCH($C1042,Settings!$B$20:$B$59,0))="",Settings!$C$10,INDEX(Settings!$C$20:$C$59,MATCH($C1042,Settings!$B$20:$B$59,0))),Settings!$C$10))</f>
        <v/>
      </c>
      <c r="AL1042" s="108">
        <f t="shared" si="300"/>
        <v>0</v>
      </c>
      <c r="AM1042" s="39" t="str">
        <f t="shared" si="301"/>
        <v/>
      </c>
      <c r="AN1042" s="39" t="str">
        <f t="shared" si="302"/>
        <v/>
      </c>
      <c r="AO1042" s="39" t="str">
        <f t="shared" si="303"/>
        <v/>
      </c>
      <c r="AP1042" s="39">
        <f t="shared" si="304"/>
        <v>0</v>
      </c>
      <c r="AQ1042" s="39">
        <f t="shared" si="305"/>
        <v>0</v>
      </c>
    </row>
    <row r="1043" spans="14:43" x14ac:dyDescent="0.25">
      <c r="N1043" s="105">
        <f t="shared" si="288"/>
        <v>0</v>
      </c>
      <c r="O1043" s="106" t="str">
        <f>IF($F1043="","",IF(ISNUMBER($F1043),$F1043+Settings!$C$7/24,IFERROR(DATEVALUE(LEFT($F1043,10))+TIMEVALUE(MID($F1043,12,8))+Settings!$C$7/24,"")))</f>
        <v/>
      </c>
      <c r="P1043" s="106" t="str">
        <f>IF($G1043="","",IF(ISNUMBER($G1043),$G1043+Settings!$C$7/24,IFERROR(DATEVALUE(LEFT($G1043,10))+TIMEVALUE(MID($G1043,12,8))+Settings!$C$7/24,"")))</f>
        <v/>
      </c>
      <c r="Q1043" s="39" t="str">
        <f t="shared" si="289"/>
        <v/>
      </c>
      <c r="R1043" s="39" t="str">
        <f t="shared" si="290"/>
        <v/>
      </c>
      <c r="S1043" s="107" t="str">
        <f t="shared" si="291"/>
        <v/>
      </c>
      <c r="T1043" s="39" t="str">
        <f>IF($C1043="","",IF(COUNTIF($C$2:$C1043,$C1043)=1,1,0))</f>
        <v/>
      </c>
      <c r="U1043" s="39" t="str">
        <f>IF($T1043=1,COUNTIF($T$2:$T1043,1),"")</f>
        <v/>
      </c>
      <c r="V1043" s="39" t="str">
        <f>IF($B1043="","",IF(COUNTIF($B$2:$B1043,$B1043)=1,1,0))</f>
        <v/>
      </c>
      <c r="W1043" s="39" t="str">
        <f>IF($V1043=1,COUNTIF($V$2:$V1043,1),"")</f>
        <v/>
      </c>
      <c r="X1043" s="39" t="str">
        <f>IF($A1043="","",IF(COUNTIF($A$2:$A1043,$A1043)=1,1,0))</f>
        <v/>
      </c>
      <c r="Y1043" s="39" t="str">
        <f>IF($X1043=1,COUNTIF($X$2:$X1043,1),"")</f>
        <v/>
      </c>
      <c r="Z1043" s="39">
        <f>IF(AND($E1043="timed",$N1043&gt;Settings!$C$8),1,0)</f>
        <v>0</v>
      </c>
      <c r="AA1043" s="39">
        <f t="shared" si="292"/>
        <v>0</v>
      </c>
      <c r="AB1043" s="39">
        <f t="shared" si="293"/>
        <v>0</v>
      </c>
      <c r="AC1043" s="39" t="str">
        <f t="shared" si="294"/>
        <v/>
      </c>
      <c r="AD1043" s="39" t="str">
        <f t="shared" si="295"/>
        <v/>
      </c>
      <c r="AE1043" s="39" t="str">
        <f t="shared" si="296"/>
        <v/>
      </c>
      <c r="AF1043" s="106" t="str">
        <f t="shared" si="297"/>
        <v/>
      </c>
      <c r="AG1043" s="39">
        <f t="shared" si="298"/>
        <v>0</v>
      </c>
      <c r="AH1043" s="39" t="str">
        <f t="shared" si="299"/>
        <v/>
      </c>
      <c r="AI1043" s="39">
        <f>IF(AND($E1043="timed",$N1043&gt;=Settings!$C$9),1,0)</f>
        <v>0</v>
      </c>
      <c r="AJ1043" s="39" t="str">
        <f>IF(OR($S1043="",Settings!$C$16=""),"",IF($S1043&lt;=Settings!$C$16,1,2))</f>
        <v/>
      </c>
      <c r="AK1043" s="39" t="str">
        <f>IF($C1043="","",IFERROR(IF(INDEX(Settings!$C$20:$C$59,MATCH($C1043,Settings!$B$20:$B$59,0))="",Settings!$C$10,INDEX(Settings!$C$20:$C$59,MATCH($C1043,Settings!$B$20:$B$59,0))),Settings!$C$10))</f>
        <v/>
      </c>
      <c r="AL1043" s="108">
        <f t="shared" si="300"/>
        <v>0</v>
      </c>
      <c r="AM1043" s="39" t="str">
        <f t="shared" si="301"/>
        <v/>
      </c>
      <c r="AN1043" s="39" t="str">
        <f t="shared" si="302"/>
        <v/>
      </c>
      <c r="AO1043" s="39" t="str">
        <f t="shared" si="303"/>
        <v/>
      </c>
      <c r="AP1043" s="39">
        <f t="shared" si="304"/>
        <v>0</v>
      </c>
      <c r="AQ1043" s="39">
        <f t="shared" si="305"/>
        <v>0</v>
      </c>
    </row>
    <row r="1044" spans="14:43" x14ac:dyDescent="0.25">
      <c r="N1044" s="105">
        <f t="shared" si="288"/>
        <v>0</v>
      </c>
      <c r="O1044" s="106" t="str">
        <f>IF($F1044="","",IF(ISNUMBER($F1044),$F1044+Settings!$C$7/24,IFERROR(DATEVALUE(LEFT($F1044,10))+TIMEVALUE(MID($F1044,12,8))+Settings!$C$7/24,"")))</f>
        <v/>
      </c>
      <c r="P1044" s="106" t="str">
        <f>IF($G1044="","",IF(ISNUMBER($G1044),$G1044+Settings!$C$7/24,IFERROR(DATEVALUE(LEFT($G1044,10))+TIMEVALUE(MID($G1044,12,8))+Settings!$C$7/24,"")))</f>
        <v/>
      </c>
      <c r="Q1044" s="39" t="str">
        <f t="shared" si="289"/>
        <v/>
      </c>
      <c r="R1044" s="39" t="str">
        <f t="shared" si="290"/>
        <v/>
      </c>
      <c r="S1044" s="107" t="str">
        <f t="shared" si="291"/>
        <v/>
      </c>
      <c r="T1044" s="39" t="str">
        <f>IF($C1044="","",IF(COUNTIF($C$2:$C1044,$C1044)=1,1,0))</f>
        <v/>
      </c>
      <c r="U1044" s="39" t="str">
        <f>IF($T1044=1,COUNTIF($T$2:$T1044,1),"")</f>
        <v/>
      </c>
      <c r="V1044" s="39" t="str">
        <f>IF($B1044="","",IF(COUNTIF($B$2:$B1044,$B1044)=1,1,0))</f>
        <v/>
      </c>
      <c r="W1044" s="39" t="str">
        <f>IF($V1044=1,COUNTIF($V$2:$V1044,1),"")</f>
        <v/>
      </c>
      <c r="X1044" s="39" t="str">
        <f>IF($A1044="","",IF(COUNTIF($A$2:$A1044,$A1044)=1,1,0))</f>
        <v/>
      </c>
      <c r="Y1044" s="39" t="str">
        <f>IF($X1044=1,COUNTIF($X$2:$X1044,1),"")</f>
        <v/>
      </c>
      <c r="Z1044" s="39">
        <f>IF(AND($E1044="timed",$N1044&gt;Settings!$C$8),1,0)</f>
        <v>0</v>
      </c>
      <c r="AA1044" s="39">
        <f t="shared" si="292"/>
        <v>0</v>
      </c>
      <c r="AB1044" s="39">
        <f t="shared" si="293"/>
        <v>0</v>
      </c>
      <c r="AC1044" s="39" t="str">
        <f t="shared" si="294"/>
        <v/>
      </c>
      <c r="AD1044" s="39" t="str">
        <f t="shared" si="295"/>
        <v/>
      </c>
      <c r="AE1044" s="39" t="str">
        <f t="shared" si="296"/>
        <v/>
      </c>
      <c r="AF1044" s="106" t="str">
        <f t="shared" si="297"/>
        <v/>
      </c>
      <c r="AG1044" s="39">
        <f t="shared" si="298"/>
        <v>0</v>
      </c>
      <c r="AH1044" s="39" t="str">
        <f t="shared" si="299"/>
        <v/>
      </c>
      <c r="AI1044" s="39">
        <f>IF(AND($E1044="timed",$N1044&gt;=Settings!$C$9),1,0)</f>
        <v>0</v>
      </c>
      <c r="AJ1044" s="39" t="str">
        <f>IF(OR($S1044="",Settings!$C$16=""),"",IF($S1044&lt;=Settings!$C$16,1,2))</f>
        <v/>
      </c>
      <c r="AK1044" s="39" t="str">
        <f>IF($C1044="","",IFERROR(IF(INDEX(Settings!$C$20:$C$59,MATCH($C1044,Settings!$B$20:$B$59,0))="",Settings!$C$10,INDEX(Settings!$C$20:$C$59,MATCH($C1044,Settings!$B$20:$B$59,0))),Settings!$C$10))</f>
        <v/>
      </c>
      <c r="AL1044" s="108">
        <f t="shared" si="300"/>
        <v>0</v>
      </c>
      <c r="AM1044" s="39" t="str">
        <f t="shared" si="301"/>
        <v/>
      </c>
      <c r="AN1044" s="39" t="str">
        <f t="shared" si="302"/>
        <v/>
      </c>
      <c r="AO1044" s="39" t="str">
        <f t="shared" si="303"/>
        <v/>
      </c>
      <c r="AP1044" s="39">
        <f t="shared" si="304"/>
        <v>0</v>
      </c>
      <c r="AQ1044" s="39">
        <f t="shared" si="305"/>
        <v>0</v>
      </c>
    </row>
    <row r="1045" spans="14:43" x14ac:dyDescent="0.25">
      <c r="N1045" s="105">
        <f t="shared" si="288"/>
        <v>0</v>
      </c>
      <c r="O1045" s="106" t="str">
        <f>IF($F1045="","",IF(ISNUMBER($F1045),$F1045+Settings!$C$7/24,IFERROR(DATEVALUE(LEFT($F1045,10))+TIMEVALUE(MID($F1045,12,8))+Settings!$C$7/24,"")))</f>
        <v/>
      </c>
      <c r="P1045" s="106" t="str">
        <f>IF($G1045="","",IF(ISNUMBER($G1045),$G1045+Settings!$C$7/24,IFERROR(DATEVALUE(LEFT($G1045,10))+TIMEVALUE(MID($G1045,12,8))+Settings!$C$7/24,"")))</f>
        <v/>
      </c>
      <c r="Q1045" s="39" t="str">
        <f t="shared" si="289"/>
        <v/>
      </c>
      <c r="R1045" s="39" t="str">
        <f t="shared" si="290"/>
        <v/>
      </c>
      <c r="S1045" s="107" t="str">
        <f t="shared" si="291"/>
        <v/>
      </c>
      <c r="T1045" s="39" t="str">
        <f>IF($C1045="","",IF(COUNTIF($C$2:$C1045,$C1045)=1,1,0))</f>
        <v/>
      </c>
      <c r="U1045" s="39" t="str">
        <f>IF($T1045=1,COUNTIF($T$2:$T1045,1),"")</f>
        <v/>
      </c>
      <c r="V1045" s="39" t="str">
        <f>IF($B1045="","",IF(COUNTIF($B$2:$B1045,$B1045)=1,1,0))</f>
        <v/>
      </c>
      <c r="W1045" s="39" t="str">
        <f>IF($V1045=1,COUNTIF($V$2:$V1045,1),"")</f>
        <v/>
      </c>
      <c r="X1045" s="39" t="str">
        <f>IF($A1045="","",IF(COUNTIF($A$2:$A1045,$A1045)=1,1,0))</f>
        <v/>
      </c>
      <c r="Y1045" s="39" t="str">
        <f>IF($X1045=1,COUNTIF($X$2:$X1045,1),"")</f>
        <v/>
      </c>
      <c r="Z1045" s="39">
        <f>IF(AND($E1045="timed",$N1045&gt;Settings!$C$8),1,0)</f>
        <v>0</v>
      </c>
      <c r="AA1045" s="39">
        <f t="shared" si="292"/>
        <v>0</v>
      </c>
      <c r="AB1045" s="39">
        <f t="shared" si="293"/>
        <v>0</v>
      </c>
      <c r="AC1045" s="39" t="str">
        <f t="shared" si="294"/>
        <v/>
      </c>
      <c r="AD1045" s="39" t="str">
        <f t="shared" si="295"/>
        <v/>
      </c>
      <c r="AE1045" s="39" t="str">
        <f t="shared" si="296"/>
        <v/>
      </c>
      <c r="AF1045" s="106" t="str">
        <f t="shared" si="297"/>
        <v/>
      </c>
      <c r="AG1045" s="39">
        <f t="shared" si="298"/>
        <v>0</v>
      </c>
      <c r="AH1045" s="39" t="str">
        <f t="shared" si="299"/>
        <v/>
      </c>
      <c r="AI1045" s="39">
        <f>IF(AND($E1045="timed",$N1045&gt;=Settings!$C$9),1,0)</f>
        <v>0</v>
      </c>
      <c r="AJ1045" s="39" t="str">
        <f>IF(OR($S1045="",Settings!$C$16=""),"",IF($S1045&lt;=Settings!$C$16,1,2))</f>
        <v/>
      </c>
      <c r="AK1045" s="39" t="str">
        <f>IF($C1045="","",IFERROR(IF(INDEX(Settings!$C$20:$C$59,MATCH($C1045,Settings!$B$20:$B$59,0))="",Settings!$C$10,INDEX(Settings!$C$20:$C$59,MATCH($C1045,Settings!$B$20:$B$59,0))),Settings!$C$10))</f>
        <v/>
      </c>
      <c r="AL1045" s="108">
        <f t="shared" si="300"/>
        <v>0</v>
      </c>
      <c r="AM1045" s="39" t="str">
        <f t="shared" si="301"/>
        <v/>
      </c>
      <c r="AN1045" s="39" t="str">
        <f t="shared" si="302"/>
        <v/>
      </c>
      <c r="AO1045" s="39" t="str">
        <f t="shared" si="303"/>
        <v/>
      </c>
      <c r="AP1045" s="39">
        <f t="shared" si="304"/>
        <v>0</v>
      </c>
      <c r="AQ1045" s="39">
        <f t="shared" si="305"/>
        <v>0</v>
      </c>
    </row>
    <row r="1046" spans="14:43" x14ac:dyDescent="0.25">
      <c r="N1046" s="105">
        <f t="shared" si="288"/>
        <v>0</v>
      </c>
      <c r="O1046" s="106" t="str">
        <f>IF($F1046="","",IF(ISNUMBER($F1046),$F1046+Settings!$C$7/24,IFERROR(DATEVALUE(LEFT($F1046,10))+TIMEVALUE(MID($F1046,12,8))+Settings!$C$7/24,"")))</f>
        <v/>
      </c>
      <c r="P1046" s="106" t="str">
        <f>IF($G1046="","",IF(ISNUMBER($G1046),$G1046+Settings!$C$7/24,IFERROR(DATEVALUE(LEFT($G1046,10))+TIMEVALUE(MID($G1046,12,8))+Settings!$C$7/24,"")))</f>
        <v/>
      </c>
      <c r="Q1046" s="39" t="str">
        <f t="shared" si="289"/>
        <v/>
      </c>
      <c r="R1046" s="39" t="str">
        <f t="shared" si="290"/>
        <v/>
      </c>
      <c r="S1046" s="107" t="str">
        <f t="shared" si="291"/>
        <v/>
      </c>
      <c r="T1046" s="39" t="str">
        <f>IF($C1046="","",IF(COUNTIF($C$2:$C1046,$C1046)=1,1,0))</f>
        <v/>
      </c>
      <c r="U1046" s="39" t="str">
        <f>IF($T1046=1,COUNTIF($T$2:$T1046,1),"")</f>
        <v/>
      </c>
      <c r="V1046" s="39" t="str">
        <f>IF($B1046="","",IF(COUNTIF($B$2:$B1046,$B1046)=1,1,0))</f>
        <v/>
      </c>
      <c r="W1046" s="39" t="str">
        <f>IF($V1046=1,COUNTIF($V$2:$V1046,1),"")</f>
        <v/>
      </c>
      <c r="X1046" s="39" t="str">
        <f>IF($A1046="","",IF(COUNTIF($A$2:$A1046,$A1046)=1,1,0))</f>
        <v/>
      </c>
      <c r="Y1046" s="39" t="str">
        <f>IF($X1046=1,COUNTIF($X$2:$X1046,1),"")</f>
        <v/>
      </c>
      <c r="Z1046" s="39">
        <f>IF(AND($E1046="timed",$N1046&gt;Settings!$C$8),1,0)</f>
        <v>0</v>
      </c>
      <c r="AA1046" s="39">
        <f t="shared" si="292"/>
        <v>0</v>
      </c>
      <c r="AB1046" s="39">
        <f t="shared" si="293"/>
        <v>0</v>
      </c>
      <c r="AC1046" s="39" t="str">
        <f t="shared" si="294"/>
        <v/>
      </c>
      <c r="AD1046" s="39" t="str">
        <f t="shared" si="295"/>
        <v/>
      </c>
      <c r="AE1046" s="39" t="str">
        <f t="shared" si="296"/>
        <v/>
      </c>
      <c r="AF1046" s="106" t="str">
        <f t="shared" si="297"/>
        <v/>
      </c>
      <c r="AG1046" s="39">
        <f t="shared" si="298"/>
        <v>0</v>
      </c>
      <c r="AH1046" s="39" t="str">
        <f t="shared" si="299"/>
        <v/>
      </c>
      <c r="AI1046" s="39">
        <f>IF(AND($E1046="timed",$N1046&gt;=Settings!$C$9),1,0)</f>
        <v>0</v>
      </c>
      <c r="AJ1046" s="39" t="str">
        <f>IF(OR($S1046="",Settings!$C$16=""),"",IF($S1046&lt;=Settings!$C$16,1,2))</f>
        <v/>
      </c>
      <c r="AK1046" s="39" t="str">
        <f>IF($C1046="","",IFERROR(IF(INDEX(Settings!$C$20:$C$59,MATCH($C1046,Settings!$B$20:$B$59,0))="",Settings!$C$10,INDEX(Settings!$C$20:$C$59,MATCH($C1046,Settings!$B$20:$B$59,0))),Settings!$C$10))</f>
        <v/>
      </c>
      <c r="AL1046" s="108">
        <f t="shared" si="300"/>
        <v>0</v>
      </c>
      <c r="AM1046" s="39" t="str">
        <f t="shared" si="301"/>
        <v/>
      </c>
      <c r="AN1046" s="39" t="str">
        <f t="shared" si="302"/>
        <v/>
      </c>
      <c r="AO1046" s="39" t="str">
        <f t="shared" si="303"/>
        <v/>
      </c>
      <c r="AP1046" s="39">
        <f t="shared" si="304"/>
        <v>0</v>
      </c>
      <c r="AQ1046" s="39">
        <f t="shared" si="305"/>
        <v>0</v>
      </c>
    </row>
    <row r="1047" spans="14:43" x14ac:dyDescent="0.25">
      <c r="N1047" s="105">
        <f t="shared" si="288"/>
        <v>0</v>
      </c>
      <c r="O1047" s="106" t="str">
        <f>IF($F1047="","",IF(ISNUMBER($F1047),$F1047+Settings!$C$7/24,IFERROR(DATEVALUE(LEFT($F1047,10))+TIMEVALUE(MID($F1047,12,8))+Settings!$C$7/24,"")))</f>
        <v/>
      </c>
      <c r="P1047" s="106" t="str">
        <f>IF($G1047="","",IF(ISNUMBER($G1047),$G1047+Settings!$C$7/24,IFERROR(DATEVALUE(LEFT($G1047,10))+TIMEVALUE(MID($G1047,12,8))+Settings!$C$7/24,"")))</f>
        <v/>
      </c>
      <c r="Q1047" s="39" t="str">
        <f t="shared" si="289"/>
        <v/>
      </c>
      <c r="R1047" s="39" t="str">
        <f t="shared" si="290"/>
        <v/>
      </c>
      <c r="S1047" s="107" t="str">
        <f t="shared" si="291"/>
        <v/>
      </c>
      <c r="T1047" s="39" t="str">
        <f>IF($C1047="","",IF(COUNTIF($C$2:$C1047,$C1047)=1,1,0))</f>
        <v/>
      </c>
      <c r="U1047" s="39" t="str">
        <f>IF($T1047=1,COUNTIF($T$2:$T1047,1),"")</f>
        <v/>
      </c>
      <c r="V1047" s="39" t="str">
        <f>IF($B1047="","",IF(COUNTIF($B$2:$B1047,$B1047)=1,1,0))</f>
        <v/>
      </c>
      <c r="W1047" s="39" t="str">
        <f>IF($V1047=1,COUNTIF($V$2:$V1047,1),"")</f>
        <v/>
      </c>
      <c r="X1047" s="39" t="str">
        <f>IF($A1047="","",IF(COUNTIF($A$2:$A1047,$A1047)=1,1,0))</f>
        <v/>
      </c>
      <c r="Y1047" s="39" t="str">
        <f>IF($X1047=1,COUNTIF($X$2:$X1047,1),"")</f>
        <v/>
      </c>
      <c r="Z1047" s="39">
        <f>IF(AND($E1047="timed",$N1047&gt;Settings!$C$8),1,0)</f>
        <v>0</v>
      </c>
      <c r="AA1047" s="39">
        <f t="shared" si="292"/>
        <v>0</v>
      </c>
      <c r="AB1047" s="39">
        <f t="shared" si="293"/>
        <v>0</v>
      </c>
      <c r="AC1047" s="39" t="str">
        <f t="shared" si="294"/>
        <v/>
      </c>
      <c r="AD1047" s="39" t="str">
        <f t="shared" si="295"/>
        <v/>
      </c>
      <c r="AE1047" s="39" t="str">
        <f t="shared" si="296"/>
        <v/>
      </c>
      <c r="AF1047" s="106" t="str">
        <f t="shared" si="297"/>
        <v/>
      </c>
      <c r="AG1047" s="39">
        <f t="shared" si="298"/>
        <v>0</v>
      </c>
      <c r="AH1047" s="39" t="str">
        <f t="shared" si="299"/>
        <v/>
      </c>
      <c r="AI1047" s="39">
        <f>IF(AND($E1047="timed",$N1047&gt;=Settings!$C$9),1,0)</f>
        <v>0</v>
      </c>
      <c r="AJ1047" s="39" t="str">
        <f>IF(OR($S1047="",Settings!$C$16=""),"",IF($S1047&lt;=Settings!$C$16,1,2))</f>
        <v/>
      </c>
      <c r="AK1047" s="39" t="str">
        <f>IF($C1047="","",IFERROR(IF(INDEX(Settings!$C$20:$C$59,MATCH($C1047,Settings!$B$20:$B$59,0))="",Settings!$C$10,INDEX(Settings!$C$20:$C$59,MATCH($C1047,Settings!$B$20:$B$59,0))),Settings!$C$10))</f>
        <v/>
      </c>
      <c r="AL1047" s="108">
        <f t="shared" si="300"/>
        <v>0</v>
      </c>
      <c r="AM1047" s="39" t="str">
        <f t="shared" si="301"/>
        <v/>
      </c>
      <c r="AN1047" s="39" t="str">
        <f t="shared" si="302"/>
        <v/>
      </c>
      <c r="AO1047" s="39" t="str">
        <f t="shared" si="303"/>
        <v/>
      </c>
      <c r="AP1047" s="39">
        <f t="shared" si="304"/>
        <v>0</v>
      </c>
      <c r="AQ1047" s="39">
        <f t="shared" si="305"/>
        <v>0</v>
      </c>
    </row>
    <row r="1048" spans="14:43" x14ac:dyDescent="0.25">
      <c r="N1048" s="105">
        <f t="shared" si="288"/>
        <v>0</v>
      </c>
      <c r="O1048" s="106" t="str">
        <f>IF($F1048="","",IF(ISNUMBER($F1048),$F1048+Settings!$C$7/24,IFERROR(DATEVALUE(LEFT($F1048,10))+TIMEVALUE(MID($F1048,12,8))+Settings!$C$7/24,"")))</f>
        <v/>
      </c>
      <c r="P1048" s="106" t="str">
        <f>IF($G1048="","",IF(ISNUMBER($G1048),$G1048+Settings!$C$7/24,IFERROR(DATEVALUE(LEFT($G1048,10))+TIMEVALUE(MID($G1048,12,8))+Settings!$C$7/24,"")))</f>
        <v/>
      </c>
      <c r="Q1048" s="39" t="str">
        <f t="shared" si="289"/>
        <v/>
      </c>
      <c r="R1048" s="39" t="str">
        <f t="shared" si="290"/>
        <v/>
      </c>
      <c r="S1048" s="107" t="str">
        <f t="shared" si="291"/>
        <v/>
      </c>
      <c r="T1048" s="39" t="str">
        <f>IF($C1048="","",IF(COUNTIF($C$2:$C1048,$C1048)=1,1,0))</f>
        <v/>
      </c>
      <c r="U1048" s="39" t="str">
        <f>IF($T1048=1,COUNTIF($T$2:$T1048,1),"")</f>
        <v/>
      </c>
      <c r="V1048" s="39" t="str">
        <f>IF($B1048="","",IF(COUNTIF($B$2:$B1048,$B1048)=1,1,0))</f>
        <v/>
      </c>
      <c r="W1048" s="39" t="str">
        <f>IF($V1048=1,COUNTIF($V$2:$V1048,1),"")</f>
        <v/>
      </c>
      <c r="X1048" s="39" t="str">
        <f>IF($A1048="","",IF(COUNTIF($A$2:$A1048,$A1048)=1,1,0))</f>
        <v/>
      </c>
      <c r="Y1048" s="39" t="str">
        <f>IF($X1048=1,COUNTIF($X$2:$X1048,1),"")</f>
        <v/>
      </c>
      <c r="Z1048" s="39">
        <f>IF(AND($E1048="timed",$N1048&gt;Settings!$C$8),1,0)</f>
        <v>0</v>
      </c>
      <c r="AA1048" s="39">
        <f t="shared" si="292"/>
        <v>0</v>
      </c>
      <c r="AB1048" s="39">
        <f t="shared" si="293"/>
        <v>0</v>
      </c>
      <c r="AC1048" s="39" t="str">
        <f t="shared" si="294"/>
        <v/>
      </c>
      <c r="AD1048" s="39" t="str">
        <f t="shared" si="295"/>
        <v/>
      </c>
      <c r="AE1048" s="39" t="str">
        <f t="shared" si="296"/>
        <v/>
      </c>
      <c r="AF1048" s="106" t="str">
        <f t="shared" si="297"/>
        <v/>
      </c>
      <c r="AG1048" s="39">
        <f t="shared" si="298"/>
        <v>0</v>
      </c>
      <c r="AH1048" s="39" t="str">
        <f t="shared" si="299"/>
        <v/>
      </c>
      <c r="AI1048" s="39">
        <f>IF(AND($E1048="timed",$N1048&gt;=Settings!$C$9),1,0)</f>
        <v>0</v>
      </c>
      <c r="AJ1048" s="39" t="str">
        <f>IF(OR($S1048="",Settings!$C$16=""),"",IF($S1048&lt;=Settings!$C$16,1,2))</f>
        <v/>
      </c>
      <c r="AK1048" s="39" t="str">
        <f>IF($C1048="","",IFERROR(IF(INDEX(Settings!$C$20:$C$59,MATCH($C1048,Settings!$B$20:$B$59,0))="",Settings!$C$10,INDEX(Settings!$C$20:$C$59,MATCH($C1048,Settings!$B$20:$B$59,0))),Settings!$C$10))</f>
        <v/>
      </c>
      <c r="AL1048" s="108">
        <f t="shared" si="300"/>
        <v>0</v>
      </c>
      <c r="AM1048" s="39" t="str">
        <f t="shared" si="301"/>
        <v/>
      </c>
      <c r="AN1048" s="39" t="str">
        <f t="shared" si="302"/>
        <v/>
      </c>
      <c r="AO1048" s="39" t="str">
        <f t="shared" si="303"/>
        <v/>
      </c>
      <c r="AP1048" s="39">
        <f t="shared" si="304"/>
        <v>0</v>
      </c>
      <c r="AQ1048" s="39">
        <f t="shared" si="305"/>
        <v>0</v>
      </c>
    </row>
    <row r="1049" spans="14:43" x14ac:dyDescent="0.25">
      <c r="N1049" s="105">
        <f t="shared" si="288"/>
        <v>0</v>
      </c>
      <c r="O1049" s="106" t="str">
        <f>IF($F1049="","",IF(ISNUMBER($F1049),$F1049+Settings!$C$7/24,IFERROR(DATEVALUE(LEFT($F1049,10))+TIMEVALUE(MID($F1049,12,8))+Settings!$C$7/24,"")))</f>
        <v/>
      </c>
      <c r="P1049" s="106" t="str">
        <f>IF($G1049="","",IF(ISNUMBER($G1049),$G1049+Settings!$C$7/24,IFERROR(DATEVALUE(LEFT($G1049,10))+TIMEVALUE(MID($G1049,12,8))+Settings!$C$7/24,"")))</f>
        <v/>
      </c>
      <c r="Q1049" s="39" t="str">
        <f t="shared" si="289"/>
        <v/>
      </c>
      <c r="R1049" s="39" t="str">
        <f t="shared" si="290"/>
        <v/>
      </c>
      <c r="S1049" s="107" t="str">
        <f t="shared" si="291"/>
        <v/>
      </c>
      <c r="T1049" s="39" t="str">
        <f>IF($C1049="","",IF(COUNTIF($C$2:$C1049,$C1049)=1,1,0))</f>
        <v/>
      </c>
      <c r="U1049" s="39" t="str">
        <f>IF($T1049=1,COUNTIF($T$2:$T1049,1),"")</f>
        <v/>
      </c>
      <c r="V1049" s="39" t="str">
        <f>IF($B1049="","",IF(COUNTIF($B$2:$B1049,$B1049)=1,1,0))</f>
        <v/>
      </c>
      <c r="W1049" s="39" t="str">
        <f>IF($V1049=1,COUNTIF($V$2:$V1049,1),"")</f>
        <v/>
      </c>
      <c r="X1049" s="39" t="str">
        <f>IF($A1049="","",IF(COUNTIF($A$2:$A1049,$A1049)=1,1,0))</f>
        <v/>
      </c>
      <c r="Y1049" s="39" t="str">
        <f>IF($X1049=1,COUNTIF($X$2:$X1049,1),"")</f>
        <v/>
      </c>
      <c r="Z1049" s="39">
        <f>IF(AND($E1049="timed",$N1049&gt;Settings!$C$8),1,0)</f>
        <v>0</v>
      </c>
      <c r="AA1049" s="39">
        <f t="shared" si="292"/>
        <v>0</v>
      </c>
      <c r="AB1049" s="39">
        <f t="shared" si="293"/>
        <v>0</v>
      </c>
      <c r="AC1049" s="39" t="str">
        <f t="shared" si="294"/>
        <v/>
      </c>
      <c r="AD1049" s="39" t="str">
        <f t="shared" si="295"/>
        <v/>
      </c>
      <c r="AE1049" s="39" t="str">
        <f t="shared" si="296"/>
        <v/>
      </c>
      <c r="AF1049" s="106" t="str">
        <f t="shared" si="297"/>
        <v/>
      </c>
      <c r="AG1049" s="39">
        <f t="shared" si="298"/>
        <v>0</v>
      </c>
      <c r="AH1049" s="39" t="str">
        <f t="shared" si="299"/>
        <v/>
      </c>
      <c r="AI1049" s="39">
        <f>IF(AND($E1049="timed",$N1049&gt;=Settings!$C$9),1,0)</f>
        <v>0</v>
      </c>
      <c r="AJ1049" s="39" t="str">
        <f>IF(OR($S1049="",Settings!$C$16=""),"",IF($S1049&lt;=Settings!$C$16,1,2))</f>
        <v/>
      </c>
      <c r="AK1049" s="39" t="str">
        <f>IF($C1049="","",IFERROR(IF(INDEX(Settings!$C$20:$C$59,MATCH($C1049,Settings!$B$20:$B$59,0))="",Settings!$C$10,INDEX(Settings!$C$20:$C$59,MATCH($C1049,Settings!$B$20:$B$59,0))),Settings!$C$10))</f>
        <v/>
      </c>
      <c r="AL1049" s="108">
        <f t="shared" si="300"/>
        <v>0</v>
      </c>
      <c r="AM1049" s="39" t="str">
        <f t="shared" si="301"/>
        <v/>
      </c>
      <c r="AN1049" s="39" t="str">
        <f t="shared" si="302"/>
        <v/>
      </c>
      <c r="AO1049" s="39" t="str">
        <f t="shared" si="303"/>
        <v/>
      </c>
      <c r="AP1049" s="39">
        <f t="shared" si="304"/>
        <v>0</v>
      </c>
      <c r="AQ1049" s="39">
        <f t="shared" si="305"/>
        <v>0</v>
      </c>
    </row>
    <row r="1050" spans="14:43" x14ac:dyDescent="0.25">
      <c r="N1050" s="105">
        <f t="shared" si="288"/>
        <v>0</v>
      </c>
      <c r="O1050" s="106" t="str">
        <f>IF($F1050="","",IF(ISNUMBER($F1050),$F1050+Settings!$C$7/24,IFERROR(DATEVALUE(LEFT($F1050,10))+TIMEVALUE(MID($F1050,12,8))+Settings!$C$7/24,"")))</f>
        <v/>
      </c>
      <c r="P1050" s="106" t="str">
        <f>IF($G1050="","",IF(ISNUMBER($G1050),$G1050+Settings!$C$7/24,IFERROR(DATEVALUE(LEFT($G1050,10))+TIMEVALUE(MID($G1050,12,8))+Settings!$C$7/24,"")))</f>
        <v/>
      </c>
      <c r="Q1050" s="39" t="str">
        <f t="shared" si="289"/>
        <v/>
      </c>
      <c r="R1050" s="39" t="str">
        <f t="shared" si="290"/>
        <v/>
      </c>
      <c r="S1050" s="107" t="str">
        <f t="shared" si="291"/>
        <v/>
      </c>
      <c r="T1050" s="39" t="str">
        <f>IF($C1050="","",IF(COUNTIF($C$2:$C1050,$C1050)=1,1,0))</f>
        <v/>
      </c>
      <c r="U1050" s="39" t="str">
        <f>IF($T1050=1,COUNTIF($T$2:$T1050,1),"")</f>
        <v/>
      </c>
      <c r="V1050" s="39" t="str">
        <f>IF($B1050="","",IF(COUNTIF($B$2:$B1050,$B1050)=1,1,0))</f>
        <v/>
      </c>
      <c r="W1050" s="39" t="str">
        <f>IF($V1050=1,COUNTIF($V$2:$V1050,1),"")</f>
        <v/>
      </c>
      <c r="X1050" s="39" t="str">
        <f>IF($A1050="","",IF(COUNTIF($A$2:$A1050,$A1050)=1,1,0))</f>
        <v/>
      </c>
      <c r="Y1050" s="39" t="str">
        <f>IF($X1050=1,COUNTIF($X$2:$X1050,1),"")</f>
        <v/>
      </c>
      <c r="Z1050" s="39">
        <f>IF(AND($E1050="timed",$N1050&gt;Settings!$C$8),1,0)</f>
        <v>0</v>
      </c>
      <c r="AA1050" s="39">
        <f t="shared" si="292"/>
        <v>0</v>
      </c>
      <c r="AB1050" s="39">
        <f t="shared" si="293"/>
        <v>0</v>
      </c>
      <c r="AC1050" s="39" t="str">
        <f t="shared" si="294"/>
        <v/>
      </c>
      <c r="AD1050" s="39" t="str">
        <f t="shared" si="295"/>
        <v/>
      </c>
      <c r="AE1050" s="39" t="str">
        <f t="shared" si="296"/>
        <v/>
      </c>
      <c r="AF1050" s="106" t="str">
        <f t="shared" si="297"/>
        <v/>
      </c>
      <c r="AG1050" s="39">
        <f t="shared" si="298"/>
        <v>0</v>
      </c>
      <c r="AH1050" s="39" t="str">
        <f t="shared" si="299"/>
        <v/>
      </c>
      <c r="AI1050" s="39">
        <f>IF(AND($E1050="timed",$N1050&gt;=Settings!$C$9),1,0)</f>
        <v>0</v>
      </c>
      <c r="AJ1050" s="39" t="str">
        <f>IF(OR($S1050="",Settings!$C$16=""),"",IF($S1050&lt;=Settings!$C$16,1,2))</f>
        <v/>
      </c>
      <c r="AK1050" s="39" t="str">
        <f>IF($C1050="","",IFERROR(IF(INDEX(Settings!$C$20:$C$59,MATCH($C1050,Settings!$B$20:$B$59,0))="",Settings!$C$10,INDEX(Settings!$C$20:$C$59,MATCH($C1050,Settings!$B$20:$B$59,0))),Settings!$C$10))</f>
        <v/>
      </c>
      <c r="AL1050" s="108">
        <f t="shared" si="300"/>
        <v>0</v>
      </c>
      <c r="AM1050" s="39" t="str">
        <f t="shared" si="301"/>
        <v/>
      </c>
      <c r="AN1050" s="39" t="str">
        <f t="shared" si="302"/>
        <v/>
      </c>
      <c r="AO1050" s="39" t="str">
        <f t="shared" si="303"/>
        <v/>
      </c>
      <c r="AP1050" s="39">
        <f t="shared" si="304"/>
        <v>0</v>
      </c>
      <c r="AQ1050" s="39">
        <f t="shared" si="305"/>
        <v>0</v>
      </c>
    </row>
    <row r="1051" spans="14:43" x14ac:dyDescent="0.25">
      <c r="N1051" s="105">
        <f t="shared" si="288"/>
        <v>0</v>
      </c>
      <c r="O1051" s="106" t="str">
        <f>IF($F1051="","",IF(ISNUMBER($F1051),$F1051+Settings!$C$7/24,IFERROR(DATEVALUE(LEFT($F1051,10))+TIMEVALUE(MID($F1051,12,8))+Settings!$C$7/24,"")))</f>
        <v/>
      </c>
      <c r="P1051" s="106" t="str">
        <f>IF($G1051="","",IF(ISNUMBER($G1051),$G1051+Settings!$C$7/24,IFERROR(DATEVALUE(LEFT($G1051,10))+TIMEVALUE(MID($G1051,12,8))+Settings!$C$7/24,"")))</f>
        <v/>
      </c>
      <c r="Q1051" s="39" t="str">
        <f t="shared" si="289"/>
        <v/>
      </c>
      <c r="R1051" s="39" t="str">
        <f t="shared" si="290"/>
        <v/>
      </c>
      <c r="S1051" s="107" t="str">
        <f t="shared" si="291"/>
        <v/>
      </c>
      <c r="T1051" s="39" t="str">
        <f>IF($C1051="","",IF(COUNTIF($C$2:$C1051,$C1051)=1,1,0))</f>
        <v/>
      </c>
      <c r="U1051" s="39" t="str">
        <f>IF($T1051=1,COUNTIF($T$2:$T1051,1),"")</f>
        <v/>
      </c>
      <c r="V1051" s="39" t="str">
        <f>IF($B1051="","",IF(COUNTIF($B$2:$B1051,$B1051)=1,1,0))</f>
        <v/>
      </c>
      <c r="W1051" s="39" t="str">
        <f>IF($V1051=1,COUNTIF($V$2:$V1051,1),"")</f>
        <v/>
      </c>
      <c r="X1051" s="39" t="str">
        <f>IF($A1051="","",IF(COUNTIF($A$2:$A1051,$A1051)=1,1,0))</f>
        <v/>
      </c>
      <c r="Y1051" s="39" t="str">
        <f>IF($X1051=1,COUNTIF($X$2:$X1051,1),"")</f>
        <v/>
      </c>
      <c r="Z1051" s="39">
        <f>IF(AND($E1051="timed",$N1051&gt;Settings!$C$8),1,0)</f>
        <v>0</v>
      </c>
      <c r="AA1051" s="39">
        <f t="shared" si="292"/>
        <v>0</v>
      </c>
      <c r="AB1051" s="39">
        <f t="shared" si="293"/>
        <v>0</v>
      </c>
      <c r="AC1051" s="39" t="str">
        <f t="shared" si="294"/>
        <v/>
      </c>
      <c r="AD1051" s="39" t="str">
        <f t="shared" si="295"/>
        <v/>
      </c>
      <c r="AE1051" s="39" t="str">
        <f t="shared" si="296"/>
        <v/>
      </c>
      <c r="AF1051" s="106" t="str">
        <f t="shared" si="297"/>
        <v/>
      </c>
      <c r="AG1051" s="39">
        <f t="shared" si="298"/>
        <v>0</v>
      </c>
      <c r="AH1051" s="39" t="str">
        <f t="shared" si="299"/>
        <v/>
      </c>
      <c r="AI1051" s="39">
        <f>IF(AND($E1051="timed",$N1051&gt;=Settings!$C$9),1,0)</f>
        <v>0</v>
      </c>
      <c r="AJ1051" s="39" t="str">
        <f>IF(OR($S1051="",Settings!$C$16=""),"",IF($S1051&lt;=Settings!$C$16,1,2))</f>
        <v/>
      </c>
      <c r="AK1051" s="39" t="str">
        <f>IF($C1051="","",IFERROR(IF(INDEX(Settings!$C$20:$C$59,MATCH($C1051,Settings!$B$20:$B$59,0))="",Settings!$C$10,INDEX(Settings!$C$20:$C$59,MATCH($C1051,Settings!$B$20:$B$59,0))),Settings!$C$10))</f>
        <v/>
      </c>
      <c r="AL1051" s="108">
        <f t="shared" si="300"/>
        <v>0</v>
      </c>
      <c r="AM1051" s="39" t="str">
        <f t="shared" si="301"/>
        <v/>
      </c>
      <c r="AN1051" s="39" t="str">
        <f t="shared" si="302"/>
        <v/>
      </c>
      <c r="AO1051" s="39" t="str">
        <f t="shared" si="303"/>
        <v/>
      </c>
      <c r="AP1051" s="39">
        <f t="shared" si="304"/>
        <v>0</v>
      </c>
      <c r="AQ1051" s="39">
        <f t="shared" si="305"/>
        <v>0</v>
      </c>
    </row>
    <row r="1052" spans="14:43" x14ac:dyDescent="0.25">
      <c r="N1052" s="105">
        <f t="shared" si="288"/>
        <v>0</v>
      </c>
      <c r="O1052" s="106" t="str">
        <f>IF($F1052="","",IF(ISNUMBER($F1052),$F1052+Settings!$C$7/24,IFERROR(DATEVALUE(LEFT($F1052,10))+TIMEVALUE(MID($F1052,12,8))+Settings!$C$7/24,"")))</f>
        <v/>
      </c>
      <c r="P1052" s="106" t="str">
        <f>IF($G1052="","",IF(ISNUMBER($G1052),$G1052+Settings!$C$7/24,IFERROR(DATEVALUE(LEFT($G1052,10))+TIMEVALUE(MID($G1052,12,8))+Settings!$C$7/24,"")))</f>
        <v/>
      </c>
      <c r="Q1052" s="39" t="str">
        <f t="shared" si="289"/>
        <v/>
      </c>
      <c r="R1052" s="39" t="str">
        <f t="shared" si="290"/>
        <v/>
      </c>
      <c r="S1052" s="107" t="str">
        <f t="shared" si="291"/>
        <v/>
      </c>
      <c r="T1052" s="39" t="str">
        <f>IF($C1052="","",IF(COUNTIF($C$2:$C1052,$C1052)=1,1,0))</f>
        <v/>
      </c>
      <c r="U1052" s="39" t="str">
        <f>IF($T1052=1,COUNTIF($T$2:$T1052,1),"")</f>
        <v/>
      </c>
      <c r="V1052" s="39" t="str">
        <f>IF($B1052="","",IF(COUNTIF($B$2:$B1052,$B1052)=1,1,0))</f>
        <v/>
      </c>
      <c r="W1052" s="39" t="str">
        <f>IF($V1052=1,COUNTIF($V$2:$V1052,1),"")</f>
        <v/>
      </c>
      <c r="X1052" s="39" t="str">
        <f>IF($A1052="","",IF(COUNTIF($A$2:$A1052,$A1052)=1,1,0))</f>
        <v/>
      </c>
      <c r="Y1052" s="39" t="str">
        <f>IF($X1052=1,COUNTIF($X$2:$X1052,1),"")</f>
        <v/>
      </c>
      <c r="Z1052" s="39">
        <f>IF(AND($E1052="timed",$N1052&gt;Settings!$C$8),1,0)</f>
        <v>0</v>
      </c>
      <c r="AA1052" s="39">
        <f t="shared" si="292"/>
        <v>0</v>
      </c>
      <c r="AB1052" s="39">
        <f t="shared" si="293"/>
        <v>0</v>
      </c>
      <c r="AC1052" s="39" t="str">
        <f t="shared" si="294"/>
        <v/>
      </c>
      <c r="AD1052" s="39" t="str">
        <f t="shared" si="295"/>
        <v/>
      </c>
      <c r="AE1052" s="39" t="str">
        <f t="shared" si="296"/>
        <v/>
      </c>
      <c r="AF1052" s="106" t="str">
        <f t="shared" si="297"/>
        <v/>
      </c>
      <c r="AG1052" s="39">
        <f t="shared" si="298"/>
        <v>0</v>
      </c>
      <c r="AH1052" s="39" t="str">
        <f t="shared" si="299"/>
        <v/>
      </c>
      <c r="AI1052" s="39">
        <f>IF(AND($E1052="timed",$N1052&gt;=Settings!$C$9),1,0)</f>
        <v>0</v>
      </c>
      <c r="AJ1052" s="39" t="str">
        <f>IF(OR($S1052="",Settings!$C$16=""),"",IF($S1052&lt;=Settings!$C$16,1,2))</f>
        <v/>
      </c>
      <c r="AK1052" s="39" t="str">
        <f>IF($C1052="","",IFERROR(IF(INDEX(Settings!$C$20:$C$59,MATCH($C1052,Settings!$B$20:$B$59,0))="",Settings!$C$10,INDEX(Settings!$C$20:$C$59,MATCH($C1052,Settings!$B$20:$B$59,0))),Settings!$C$10))</f>
        <v/>
      </c>
      <c r="AL1052" s="108">
        <f t="shared" si="300"/>
        <v>0</v>
      </c>
      <c r="AM1052" s="39" t="str">
        <f t="shared" si="301"/>
        <v/>
      </c>
      <c r="AN1052" s="39" t="str">
        <f t="shared" si="302"/>
        <v/>
      </c>
      <c r="AO1052" s="39" t="str">
        <f t="shared" si="303"/>
        <v/>
      </c>
      <c r="AP1052" s="39">
        <f t="shared" si="304"/>
        <v>0</v>
      </c>
      <c r="AQ1052" s="39">
        <f t="shared" si="305"/>
        <v>0</v>
      </c>
    </row>
    <row r="1053" spans="14:43" x14ac:dyDescent="0.25">
      <c r="N1053" s="105">
        <f t="shared" si="288"/>
        <v>0</v>
      </c>
      <c r="O1053" s="106" t="str">
        <f>IF($F1053="","",IF(ISNUMBER($F1053),$F1053+Settings!$C$7/24,IFERROR(DATEVALUE(LEFT($F1053,10))+TIMEVALUE(MID($F1053,12,8))+Settings!$C$7/24,"")))</f>
        <v/>
      </c>
      <c r="P1053" s="106" t="str">
        <f>IF($G1053="","",IF(ISNUMBER($G1053),$G1053+Settings!$C$7/24,IFERROR(DATEVALUE(LEFT($G1053,10))+TIMEVALUE(MID($G1053,12,8))+Settings!$C$7/24,"")))</f>
        <v/>
      </c>
      <c r="Q1053" s="39" t="str">
        <f t="shared" si="289"/>
        <v/>
      </c>
      <c r="R1053" s="39" t="str">
        <f t="shared" si="290"/>
        <v/>
      </c>
      <c r="S1053" s="107" t="str">
        <f t="shared" si="291"/>
        <v/>
      </c>
      <c r="T1053" s="39" t="str">
        <f>IF($C1053="","",IF(COUNTIF($C$2:$C1053,$C1053)=1,1,0))</f>
        <v/>
      </c>
      <c r="U1053" s="39" t="str">
        <f>IF($T1053=1,COUNTIF($T$2:$T1053,1),"")</f>
        <v/>
      </c>
      <c r="V1053" s="39" t="str">
        <f>IF($B1053="","",IF(COUNTIF($B$2:$B1053,$B1053)=1,1,0))</f>
        <v/>
      </c>
      <c r="W1053" s="39" t="str">
        <f>IF($V1053=1,COUNTIF($V$2:$V1053,1),"")</f>
        <v/>
      </c>
      <c r="X1053" s="39" t="str">
        <f>IF($A1053="","",IF(COUNTIF($A$2:$A1053,$A1053)=1,1,0))</f>
        <v/>
      </c>
      <c r="Y1053" s="39" t="str">
        <f>IF($X1053=1,COUNTIF($X$2:$X1053,1),"")</f>
        <v/>
      </c>
      <c r="Z1053" s="39">
        <f>IF(AND($E1053="timed",$N1053&gt;Settings!$C$8),1,0)</f>
        <v>0</v>
      </c>
      <c r="AA1053" s="39">
        <f t="shared" si="292"/>
        <v>0</v>
      </c>
      <c r="AB1053" s="39">
        <f t="shared" si="293"/>
        <v>0</v>
      </c>
      <c r="AC1053" s="39" t="str">
        <f t="shared" si="294"/>
        <v/>
      </c>
      <c r="AD1053" s="39" t="str">
        <f t="shared" si="295"/>
        <v/>
      </c>
      <c r="AE1053" s="39" t="str">
        <f t="shared" si="296"/>
        <v/>
      </c>
      <c r="AF1053" s="106" t="str">
        <f t="shared" si="297"/>
        <v/>
      </c>
      <c r="AG1053" s="39">
        <f t="shared" si="298"/>
        <v>0</v>
      </c>
      <c r="AH1053" s="39" t="str">
        <f t="shared" si="299"/>
        <v/>
      </c>
      <c r="AI1053" s="39">
        <f>IF(AND($E1053="timed",$N1053&gt;=Settings!$C$9),1,0)</f>
        <v>0</v>
      </c>
      <c r="AJ1053" s="39" t="str">
        <f>IF(OR($S1053="",Settings!$C$16=""),"",IF($S1053&lt;=Settings!$C$16,1,2))</f>
        <v/>
      </c>
      <c r="AK1053" s="39" t="str">
        <f>IF($C1053="","",IFERROR(IF(INDEX(Settings!$C$20:$C$59,MATCH($C1053,Settings!$B$20:$B$59,0))="",Settings!$C$10,INDEX(Settings!$C$20:$C$59,MATCH($C1053,Settings!$B$20:$B$59,0))),Settings!$C$10))</f>
        <v/>
      </c>
      <c r="AL1053" s="108">
        <f t="shared" si="300"/>
        <v>0</v>
      </c>
      <c r="AM1053" s="39" t="str">
        <f t="shared" si="301"/>
        <v/>
      </c>
      <c r="AN1053" s="39" t="str">
        <f t="shared" si="302"/>
        <v/>
      </c>
      <c r="AO1053" s="39" t="str">
        <f t="shared" si="303"/>
        <v/>
      </c>
      <c r="AP1053" s="39">
        <f t="shared" si="304"/>
        <v>0</v>
      </c>
      <c r="AQ1053" s="39">
        <f t="shared" si="305"/>
        <v>0</v>
      </c>
    </row>
    <row r="1054" spans="14:43" x14ac:dyDescent="0.25">
      <c r="N1054" s="105">
        <f t="shared" si="288"/>
        <v>0</v>
      </c>
      <c r="O1054" s="106" t="str">
        <f>IF($F1054="","",IF(ISNUMBER($F1054),$F1054+Settings!$C$7/24,IFERROR(DATEVALUE(LEFT($F1054,10))+TIMEVALUE(MID($F1054,12,8))+Settings!$C$7/24,"")))</f>
        <v/>
      </c>
      <c r="P1054" s="106" t="str">
        <f>IF($G1054="","",IF(ISNUMBER($G1054),$G1054+Settings!$C$7/24,IFERROR(DATEVALUE(LEFT($G1054,10))+TIMEVALUE(MID($G1054,12,8))+Settings!$C$7/24,"")))</f>
        <v/>
      </c>
      <c r="Q1054" s="39" t="str">
        <f t="shared" si="289"/>
        <v/>
      </c>
      <c r="R1054" s="39" t="str">
        <f t="shared" si="290"/>
        <v/>
      </c>
      <c r="S1054" s="107" t="str">
        <f t="shared" si="291"/>
        <v/>
      </c>
      <c r="T1054" s="39" t="str">
        <f>IF($C1054="","",IF(COUNTIF($C$2:$C1054,$C1054)=1,1,0))</f>
        <v/>
      </c>
      <c r="U1054" s="39" t="str">
        <f>IF($T1054=1,COUNTIF($T$2:$T1054,1),"")</f>
        <v/>
      </c>
      <c r="V1054" s="39" t="str">
        <f>IF($B1054="","",IF(COUNTIF($B$2:$B1054,$B1054)=1,1,0))</f>
        <v/>
      </c>
      <c r="W1054" s="39" t="str">
        <f>IF($V1054=1,COUNTIF($V$2:$V1054,1),"")</f>
        <v/>
      </c>
      <c r="X1054" s="39" t="str">
        <f>IF($A1054="","",IF(COUNTIF($A$2:$A1054,$A1054)=1,1,0))</f>
        <v/>
      </c>
      <c r="Y1054" s="39" t="str">
        <f>IF($X1054=1,COUNTIF($X$2:$X1054,1),"")</f>
        <v/>
      </c>
      <c r="Z1054" s="39">
        <f>IF(AND($E1054="timed",$N1054&gt;Settings!$C$8),1,0)</f>
        <v>0</v>
      </c>
      <c r="AA1054" s="39">
        <f t="shared" si="292"/>
        <v>0</v>
      </c>
      <c r="AB1054" s="39">
        <f t="shared" si="293"/>
        <v>0</v>
      </c>
      <c r="AC1054" s="39" t="str">
        <f t="shared" si="294"/>
        <v/>
      </c>
      <c r="AD1054" s="39" t="str">
        <f t="shared" si="295"/>
        <v/>
      </c>
      <c r="AE1054" s="39" t="str">
        <f t="shared" si="296"/>
        <v/>
      </c>
      <c r="AF1054" s="106" t="str">
        <f t="shared" si="297"/>
        <v/>
      </c>
      <c r="AG1054" s="39">
        <f t="shared" si="298"/>
        <v>0</v>
      </c>
      <c r="AH1054" s="39" t="str">
        <f t="shared" si="299"/>
        <v/>
      </c>
      <c r="AI1054" s="39">
        <f>IF(AND($E1054="timed",$N1054&gt;=Settings!$C$9),1,0)</f>
        <v>0</v>
      </c>
      <c r="AJ1054" s="39" t="str">
        <f>IF(OR($S1054="",Settings!$C$16=""),"",IF($S1054&lt;=Settings!$C$16,1,2))</f>
        <v/>
      </c>
      <c r="AK1054" s="39" t="str">
        <f>IF($C1054="","",IFERROR(IF(INDEX(Settings!$C$20:$C$59,MATCH($C1054,Settings!$B$20:$B$59,0))="",Settings!$C$10,INDEX(Settings!$C$20:$C$59,MATCH($C1054,Settings!$B$20:$B$59,0))),Settings!$C$10))</f>
        <v/>
      </c>
      <c r="AL1054" s="108">
        <f t="shared" si="300"/>
        <v>0</v>
      </c>
      <c r="AM1054" s="39" t="str">
        <f t="shared" si="301"/>
        <v/>
      </c>
      <c r="AN1054" s="39" t="str">
        <f t="shared" si="302"/>
        <v/>
      </c>
      <c r="AO1054" s="39" t="str">
        <f t="shared" si="303"/>
        <v/>
      </c>
      <c r="AP1054" s="39">
        <f t="shared" si="304"/>
        <v>0</v>
      </c>
      <c r="AQ1054" s="39">
        <f t="shared" si="305"/>
        <v>0</v>
      </c>
    </row>
    <row r="1055" spans="14:43" x14ac:dyDescent="0.25">
      <c r="N1055" s="105">
        <f t="shared" si="288"/>
        <v>0</v>
      </c>
      <c r="O1055" s="106" t="str">
        <f>IF($F1055="","",IF(ISNUMBER($F1055),$F1055+Settings!$C$7/24,IFERROR(DATEVALUE(LEFT($F1055,10))+TIMEVALUE(MID($F1055,12,8))+Settings!$C$7/24,"")))</f>
        <v/>
      </c>
      <c r="P1055" s="106" t="str">
        <f>IF($G1055="","",IF(ISNUMBER($G1055),$G1055+Settings!$C$7/24,IFERROR(DATEVALUE(LEFT($G1055,10))+TIMEVALUE(MID($G1055,12,8))+Settings!$C$7/24,"")))</f>
        <v/>
      </c>
      <c r="Q1055" s="39" t="str">
        <f t="shared" si="289"/>
        <v/>
      </c>
      <c r="R1055" s="39" t="str">
        <f t="shared" si="290"/>
        <v/>
      </c>
      <c r="S1055" s="107" t="str">
        <f t="shared" si="291"/>
        <v/>
      </c>
      <c r="T1055" s="39" t="str">
        <f>IF($C1055="","",IF(COUNTIF($C$2:$C1055,$C1055)=1,1,0))</f>
        <v/>
      </c>
      <c r="U1055" s="39" t="str">
        <f>IF($T1055=1,COUNTIF($T$2:$T1055,1),"")</f>
        <v/>
      </c>
      <c r="V1055" s="39" t="str">
        <f>IF($B1055="","",IF(COUNTIF($B$2:$B1055,$B1055)=1,1,0))</f>
        <v/>
      </c>
      <c r="W1055" s="39" t="str">
        <f>IF($V1055=1,COUNTIF($V$2:$V1055,1),"")</f>
        <v/>
      </c>
      <c r="X1055" s="39" t="str">
        <f>IF($A1055="","",IF(COUNTIF($A$2:$A1055,$A1055)=1,1,0))</f>
        <v/>
      </c>
      <c r="Y1055" s="39" t="str">
        <f>IF($X1055=1,COUNTIF($X$2:$X1055,1),"")</f>
        <v/>
      </c>
      <c r="Z1055" s="39">
        <f>IF(AND($E1055="timed",$N1055&gt;Settings!$C$8),1,0)</f>
        <v>0</v>
      </c>
      <c r="AA1055" s="39">
        <f t="shared" si="292"/>
        <v>0</v>
      </c>
      <c r="AB1055" s="39">
        <f t="shared" si="293"/>
        <v>0</v>
      </c>
      <c r="AC1055" s="39" t="str">
        <f t="shared" si="294"/>
        <v/>
      </c>
      <c r="AD1055" s="39" t="str">
        <f t="shared" si="295"/>
        <v/>
      </c>
      <c r="AE1055" s="39" t="str">
        <f t="shared" si="296"/>
        <v/>
      </c>
      <c r="AF1055" s="106" t="str">
        <f t="shared" si="297"/>
        <v/>
      </c>
      <c r="AG1055" s="39">
        <f t="shared" si="298"/>
        <v>0</v>
      </c>
      <c r="AH1055" s="39" t="str">
        <f t="shared" si="299"/>
        <v/>
      </c>
      <c r="AI1055" s="39">
        <f>IF(AND($E1055="timed",$N1055&gt;=Settings!$C$9),1,0)</f>
        <v>0</v>
      </c>
      <c r="AJ1055" s="39" t="str">
        <f>IF(OR($S1055="",Settings!$C$16=""),"",IF($S1055&lt;=Settings!$C$16,1,2))</f>
        <v/>
      </c>
      <c r="AK1055" s="39" t="str">
        <f>IF($C1055="","",IFERROR(IF(INDEX(Settings!$C$20:$C$59,MATCH($C1055,Settings!$B$20:$B$59,0))="",Settings!$C$10,INDEX(Settings!$C$20:$C$59,MATCH($C1055,Settings!$B$20:$B$59,0))),Settings!$C$10))</f>
        <v/>
      </c>
      <c r="AL1055" s="108">
        <f t="shared" si="300"/>
        <v>0</v>
      </c>
      <c r="AM1055" s="39" t="str">
        <f t="shared" si="301"/>
        <v/>
      </c>
      <c r="AN1055" s="39" t="str">
        <f t="shared" si="302"/>
        <v/>
      </c>
      <c r="AO1055" s="39" t="str">
        <f t="shared" si="303"/>
        <v/>
      </c>
      <c r="AP1055" s="39">
        <f t="shared" si="304"/>
        <v>0</v>
      </c>
      <c r="AQ1055" s="39">
        <f t="shared" si="305"/>
        <v>0</v>
      </c>
    </row>
    <row r="1056" spans="14:43" x14ac:dyDescent="0.25">
      <c r="N1056" s="105">
        <f t="shared" si="288"/>
        <v>0</v>
      </c>
      <c r="O1056" s="106" t="str">
        <f>IF($F1056="","",IF(ISNUMBER($F1056),$F1056+Settings!$C$7/24,IFERROR(DATEVALUE(LEFT($F1056,10))+TIMEVALUE(MID($F1056,12,8))+Settings!$C$7/24,"")))</f>
        <v/>
      </c>
      <c r="P1056" s="106" t="str">
        <f>IF($G1056="","",IF(ISNUMBER($G1056),$G1056+Settings!$C$7/24,IFERROR(DATEVALUE(LEFT($G1056,10))+TIMEVALUE(MID($G1056,12,8))+Settings!$C$7/24,"")))</f>
        <v/>
      </c>
      <c r="Q1056" s="39" t="str">
        <f t="shared" si="289"/>
        <v/>
      </c>
      <c r="R1056" s="39" t="str">
        <f t="shared" si="290"/>
        <v/>
      </c>
      <c r="S1056" s="107" t="str">
        <f t="shared" si="291"/>
        <v/>
      </c>
      <c r="T1056" s="39" t="str">
        <f>IF($C1056="","",IF(COUNTIF($C$2:$C1056,$C1056)=1,1,0))</f>
        <v/>
      </c>
      <c r="U1056" s="39" t="str">
        <f>IF($T1056=1,COUNTIF($T$2:$T1056,1),"")</f>
        <v/>
      </c>
      <c r="V1056" s="39" t="str">
        <f>IF($B1056="","",IF(COUNTIF($B$2:$B1056,$B1056)=1,1,0))</f>
        <v/>
      </c>
      <c r="W1056" s="39" t="str">
        <f>IF($V1056=1,COUNTIF($V$2:$V1056,1),"")</f>
        <v/>
      </c>
      <c r="X1056" s="39" t="str">
        <f>IF($A1056="","",IF(COUNTIF($A$2:$A1056,$A1056)=1,1,0))</f>
        <v/>
      </c>
      <c r="Y1056" s="39" t="str">
        <f>IF($X1056=1,COUNTIF($X$2:$X1056,1),"")</f>
        <v/>
      </c>
      <c r="Z1056" s="39">
        <f>IF(AND($E1056="timed",$N1056&gt;Settings!$C$8),1,0)</f>
        <v>0</v>
      </c>
      <c r="AA1056" s="39">
        <f t="shared" si="292"/>
        <v>0</v>
      </c>
      <c r="AB1056" s="39">
        <f t="shared" si="293"/>
        <v>0</v>
      </c>
      <c r="AC1056" s="39" t="str">
        <f t="shared" si="294"/>
        <v/>
      </c>
      <c r="AD1056" s="39" t="str">
        <f t="shared" si="295"/>
        <v/>
      </c>
      <c r="AE1056" s="39" t="str">
        <f t="shared" si="296"/>
        <v/>
      </c>
      <c r="AF1056" s="106" t="str">
        <f t="shared" si="297"/>
        <v/>
      </c>
      <c r="AG1056" s="39">
        <f t="shared" si="298"/>
        <v>0</v>
      </c>
      <c r="AH1056" s="39" t="str">
        <f t="shared" si="299"/>
        <v/>
      </c>
      <c r="AI1056" s="39">
        <f>IF(AND($E1056="timed",$N1056&gt;=Settings!$C$9),1,0)</f>
        <v>0</v>
      </c>
      <c r="AJ1056" s="39" t="str">
        <f>IF(OR($S1056="",Settings!$C$16=""),"",IF($S1056&lt;=Settings!$C$16,1,2))</f>
        <v/>
      </c>
      <c r="AK1056" s="39" t="str">
        <f>IF($C1056="","",IFERROR(IF(INDEX(Settings!$C$20:$C$59,MATCH($C1056,Settings!$B$20:$B$59,0))="",Settings!$C$10,INDEX(Settings!$C$20:$C$59,MATCH($C1056,Settings!$B$20:$B$59,0))),Settings!$C$10))</f>
        <v/>
      </c>
      <c r="AL1056" s="108">
        <f t="shared" si="300"/>
        <v>0</v>
      </c>
      <c r="AM1056" s="39" t="str">
        <f t="shared" si="301"/>
        <v/>
      </c>
      <c r="AN1056" s="39" t="str">
        <f t="shared" si="302"/>
        <v/>
      </c>
      <c r="AO1056" s="39" t="str">
        <f t="shared" si="303"/>
        <v/>
      </c>
      <c r="AP1056" s="39">
        <f t="shared" si="304"/>
        <v>0</v>
      </c>
      <c r="AQ1056" s="39">
        <f t="shared" si="305"/>
        <v>0</v>
      </c>
    </row>
    <row r="1057" spans="14:43" x14ac:dyDescent="0.25">
      <c r="N1057" s="105">
        <f t="shared" si="288"/>
        <v>0</v>
      </c>
      <c r="O1057" s="106" t="str">
        <f>IF($F1057="","",IF(ISNUMBER($F1057),$F1057+Settings!$C$7/24,IFERROR(DATEVALUE(LEFT($F1057,10))+TIMEVALUE(MID($F1057,12,8))+Settings!$C$7/24,"")))</f>
        <v/>
      </c>
      <c r="P1057" s="106" t="str">
        <f>IF($G1057="","",IF(ISNUMBER($G1057),$G1057+Settings!$C$7/24,IFERROR(DATEVALUE(LEFT($G1057,10))+TIMEVALUE(MID($G1057,12,8))+Settings!$C$7/24,"")))</f>
        <v/>
      </c>
      <c r="Q1057" s="39" t="str">
        <f t="shared" si="289"/>
        <v/>
      </c>
      <c r="R1057" s="39" t="str">
        <f t="shared" si="290"/>
        <v/>
      </c>
      <c r="S1057" s="107" t="str">
        <f t="shared" si="291"/>
        <v/>
      </c>
      <c r="T1057" s="39" t="str">
        <f>IF($C1057="","",IF(COUNTIF($C$2:$C1057,$C1057)=1,1,0))</f>
        <v/>
      </c>
      <c r="U1057" s="39" t="str">
        <f>IF($T1057=1,COUNTIF($T$2:$T1057,1),"")</f>
        <v/>
      </c>
      <c r="V1057" s="39" t="str">
        <f>IF($B1057="","",IF(COUNTIF($B$2:$B1057,$B1057)=1,1,0))</f>
        <v/>
      </c>
      <c r="W1057" s="39" t="str">
        <f>IF($V1057=1,COUNTIF($V$2:$V1057,1),"")</f>
        <v/>
      </c>
      <c r="X1057" s="39" t="str">
        <f>IF($A1057="","",IF(COUNTIF($A$2:$A1057,$A1057)=1,1,0))</f>
        <v/>
      </c>
      <c r="Y1057" s="39" t="str">
        <f>IF($X1057=1,COUNTIF($X$2:$X1057,1),"")</f>
        <v/>
      </c>
      <c r="Z1057" s="39">
        <f>IF(AND($E1057="timed",$N1057&gt;Settings!$C$8),1,0)</f>
        <v>0</v>
      </c>
      <c r="AA1057" s="39">
        <f t="shared" si="292"/>
        <v>0</v>
      </c>
      <c r="AB1057" s="39">
        <f t="shared" si="293"/>
        <v>0</v>
      </c>
      <c r="AC1057" s="39" t="str">
        <f t="shared" si="294"/>
        <v/>
      </c>
      <c r="AD1057" s="39" t="str">
        <f t="shared" si="295"/>
        <v/>
      </c>
      <c r="AE1057" s="39" t="str">
        <f t="shared" si="296"/>
        <v/>
      </c>
      <c r="AF1057" s="106" t="str">
        <f t="shared" si="297"/>
        <v/>
      </c>
      <c r="AG1057" s="39">
        <f t="shared" si="298"/>
        <v>0</v>
      </c>
      <c r="AH1057" s="39" t="str">
        <f t="shared" si="299"/>
        <v/>
      </c>
      <c r="AI1057" s="39">
        <f>IF(AND($E1057="timed",$N1057&gt;=Settings!$C$9),1,0)</f>
        <v>0</v>
      </c>
      <c r="AJ1057" s="39" t="str">
        <f>IF(OR($S1057="",Settings!$C$16=""),"",IF($S1057&lt;=Settings!$C$16,1,2))</f>
        <v/>
      </c>
      <c r="AK1057" s="39" t="str">
        <f>IF($C1057="","",IFERROR(IF(INDEX(Settings!$C$20:$C$59,MATCH($C1057,Settings!$B$20:$B$59,0))="",Settings!$C$10,INDEX(Settings!$C$20:$C$59,MATCH($C1057,Settings!$B$20:$B$59,0))),Settings!$C$10))</f>
        <v/>
      </c>
      <c r="AL1057" s="108">
        <f t="shared" si="300"/>
        <v>0</v>
      </c>
      <c r="AM1057" s="39" t="str">
        <f t="shared" si="301"/>
        <v/>
      </c>
      <c r="AN1057" s="39" t="str">
        <f t="shared" si="302"/>
        <v/>
      </c>
      <c r="AO1057" s="39" t="str">
        <f t="shared" si="303"/>
        <v/>
      </c>
      <c r="AP1057" s="39">
        <f t="shared" si="304"/>
        <v>0</v>
      </c>
      <c r="AQ1057" s="39">
        <f t="shared" si="305"/>
        <v>0</v>
      </c>
    </row>
    <row r="1058" spans="14:43" x14ac:dyDescent="0.25">
      <c r="N1058" s="105">
        <f t="shared" si="288"/>
        <v>0</v>
      </c>
      <c r="O1058" s="106" t="str">
        <f>IF($F1058="","",IF(ISNUMBER($F1058),$F1058+Settings!$C$7/24,IFERROR(DATEVALUE(LEFT($F1058,10))+TIMEVALUE(MID($F1058,12,8))+Settings!$C$7/24,"")))</f>
        <v/>
      </c>
      <c r="P1058" s="106" t="str">
        <f>IF($G1058="","",IF(ISNUMBER($G1058),$G1058+Settings!$C$7/24,IFERROR(DATEVALUE(LEFT($G1058,10))+TIMEVALUE(MID($G1058,12,8))+Settings!$C$7/24,"")))</f>
        <v/>
      </c>
      <c r="Q1058" s="39" t="str">
        <f t="shared" si="289"/>
        <v/>
      </c>
      <c r="R1058" s="39" t="str">
        <f t="shared" si="290"/>
        <v/>
      </c>
      <c r="S1058" s="107" t="str">
        <f t="shared" si="291"/>
        <v/>
      </c>
      <c r="T1058" s="39" t="str">
        <f>IF($C1058="","",IF(COUNTIF($C$2:$C1058,$C1058)=1,1,0))</f>
        <v/>
      </c>
      <c r="U1058" s="39" t="str">
        <f>IF($T1058=1,COUNTIF($T$2:$T1058,1),"")</f>
        <v/>
      </c>
      <c r="V1058" s="39" t="str">
        <f>IF($B1058="","",IF(COUNTIF($B$2:$B1058,$B1058)=1,1,0))</f>
        <v/>
      </c>
      <c r="W1058" s="39" t="str">
        <f>IF($V1058=1,COUNTIF($V$2:$V1058,1),"")</f>
        <v/>
      </c>
      <c r="X1058" s="39" t="str">
        <f>IF($A1058="","",IF(COUNTIF($A$2:$A1058,$A1058)=1,1,0))</f>
        <v/>
      </c>
      <c r="Y1058" s="39" t="str">
        <f>IF($X1058=1,COUNTIF($X$2:$X1058,1),"")</f>
        <v/>
      </c>
      <c r="Z1058" s="39">
        <f>IF(AND($E1058="timed",$N1058&gt;Settings!$C$8),1,0)</f>
        <v>0</v>
      </c>
      <c r="AA1058" s="39">
        <f t="shared" si="292"/>
        <v>0</v>
      </c>
      <c r="AB1058" s="39">
        <f t="shared" si="293"/>
        <v>0</v>
      </c>
      <c r="AC1058" s="39" t="str">
        <f t="shared" si="294"/>
        <v/>
      </c>
      <c r="AD1058" s="39" t="str">
        <f t="shared" si="295"/>
        <v/>
      </c>
      <c r="AE1058" s="39" t="str">
        <f t="shared" si="296"/>
        <v/>
      </c>
      <c r="AF1058" s="106" t="str">
        <f t="shared" si="297"/>
        <v/>
      </c>
      <c r="AG1058" s="39">
        <f t="shared" si="298"/>
        <v>0</v>
      </c>
      <c r="AH1058" s="39" t="str">
        <f t="shared" si="299"/>
        <v/>
      </c>
      <c r="AI1058" s="39">
        <f>IF(AND($E1058="timed",$N1058&gt;=Settings!$C$9),1,0)</f>
        <v>0</v>
      </c>
      <c r="AJ1058" s="39" t="str">
        <f>IF(OR($S1058="",Settings!$C$16=""),"",IF($S1058&lt;=Settings!$C$16,1,2))</f>
        <v/>
      </c>
      <c r="AK1058" s="39" t="str">
        <f>IF($C1058="","",IFERROR(IF(INDEX(Settings!$C$20:$C$59,MATCH($C1058,Settings!$B$20:$B$59,0))="",Settings!$C$10,INDEX(Settings!$C$20:$C$59,MATCH($C1058,Settings!$B$20:$B$59,0))),Settings!$C$10))</f>
        <v/>
      </c>
      <c r="AL1058" s="108">
        <f t="shared" si="300"/>
        <v>0</v>
      </c>
      <c r="AM1058" s="39" t="str">
        <f t="shared" si="301"/>
        <v/>
      </c>
      <c r="AN1058" s="39" t="str">
        <f t="shared" si="302"/>
        <v/>
      </c>
      <c r="AO1058" s="39" t="str">
        <f t="shared" si="303"/>
        <v/>
      </c>
      <c r="AP1058" s="39">
        <f t="shared" si="304"/>
        <v>0</v>
      </c>
      <c r="AQ1058" s="39">
        <f t="shared" si="305"/>
        <v>0</v>
      </c>
    </row>
    <row r="1059" spans="14:43" x14ac:dyDescent="0.25">
      <c r="N1059" s="105">
        <f t="shared" si="288"/>
        <v>0</v>
      </c>
      <c r="O1059" s="106" t="str">
        <f>IF($F1059="","",IF(ISNUMBER($F1059),$F1059+Settings!$C$7/24,IFERROR(DATEVALUE(LEFT($F1059,10))+TIMEVALUE(MID($F1059,12,8))+Settings!$C$7/24,"")))</f>
        <v/>
      </c>
      <c r="P1059" s="106" t="str">
        <f>IF($G1059="","",IF(ISNUMBER($G1059),$G1059+Settings!$C$7/24,IFERROR(DATEVALUE(LEFT($G1059,10))+TIMEVALUE(MID($G1059,12,8))+Settings!$C$7/24,"")))</f>
        <v/>
      </c>
      <c r="Q1059" s="39" t="str">
        <f t="shared" si="289"/>
        <v/>
      </c>
      <c r="R1059" s="39" t="str">
        <f t="shared" si="290"/>
        <v/>
      </c>
      <c r="S1059" s="107" t="str">
        <f t="shared" si="291"/>
        <v/>
      </c>
      <c r="T1059" s="39" t="str">
        <f>IF($C1059="","",IF(COUNTIF($C$2:$C1059,$C1059)=1,1,0))</f>
        <v/>
      </c>
      <c r="U1059" s="39" t="str">
        <f>IF($T1059=1,COUNTIF($T$2:$T1059,1),"")</f>
        <v/>
      </c>
      <c r="V1059" s="39" t="str">
        <f>IF($B1059="","",IF(COUNTIF($B$2:$B1059,$B1059)=1,1,0))</f>
        <v/>
      </c>
      <c r="W1059" s="39" t="str">
        <f>IF($V1059=1,COUNTIF($V$2:$V1059,1),"")</f>
        <v/>
      </c>
      <c r="X1059" s="39" t="str">
        <f>IF($A1059="","",IF(COUNTIF($A$2:$A1059,$A1059)=1,1,0))</f>
        <v/>
      </c>
      <c r="Y1059" s="39" t="str">
        <f>IF($X1059=1,COUNTIF($X$2:$X1059,1),"")</f>
        <v/>
      </c>
      <c r="Z1059" s="39">
        <f>IF(AND($E1059="timed",$N1059&gt;Settings!$C$8),1,0)</f>
        <v>0</v>
      </c>
      <c r="AA1059" s="39">
        <f t="shared" si="292"/>
        <v>0</v>
      </c>
      <c r="AB1059" s="39">
        <f t="shared" si="293"/>
        <v>0</v>
      </c>
      <c r="AC1059" s="39" t="str">
        <f t="shared" si="294"/>
        <v/>
      </c>
      <c r="AD1059" s="39" t="str">
        <f t="shared" si="295"/>
        <v/>
      </c>
      <c r="AE1059" s="39" t="str">
        <f t="shared" si="296"/>
        <v/>
      </c>
      <c r="AF1059" s="106" t="str">
        <f t="shared" si="297"/>
        <v/>
      </c>
      <c r="AG1059" s="39">
        <f t="shared" si="298"/>
        <v>0</v>
      </c>
      <c r="AH1059" s="39" t="str">
        <f t="shared" si="299"/>
        <v/>
      </c>
      <c r="AI1059" s="39">
        <f>IF(AND($E1059="timed",$N1059&gt;=Settings!$C$9),1,0)</f>
        <v>0</v>
      </c>
      <c r="AJ1059" s="39" t="str">
        <f>IF(OR($S1059="",Settings!$C$16=""),"",IF($S1059&lt;=Settings!$C$16,1,2))</f>
        <v/>
      </c>
      <c r="AK1059" s="39" t="str">
        <f>IF($C1059="","",IFERROR(IF(INDEX(Settings!$C$20:$C$59,MATCH($C1059,Settings!$B$20:$B$59,0))="",Settings!$C$10,INDEX(Settings!$C$20:$C$59,MATCH($C1059,Settings!$B$20:$B$59,0))),Settings!$C$10))</f>
        <v/>
      </c>
      <c r="AL1059" s="108">
        <f t="shared" si="300"/>
        <v>0</v>
      </c>
      <c r="AM1059" s="39" t="str">
        <f t="shared" si="301"/>
        <v/>
      </c>
      <c r="AN1059" s="39" t="str">
        <f t="shared" si="302"/>
        <v/>
      </c>
      <c r="AO1059" s="39" t="str">
        <f t="shared" si="303"/>
        <v/>
      </c>
      <c r="AP1059" s="39">
        <f t="shared" si="304"/>
        <v>0</v>
      </c>
      <c r="AQ1059" s="39">
        <f t="shared" si="305"/>
        <v>0</v>
      </c>
    </row>
    <row r="1060" spans="14:43" x14ac:dyDescent="0.25">
      <c r="N1060" s="105">
        <f t="shared" si="288"/>
        <v>0</v>
      </c>
      <c r="O1060" s="106" t="str">
        <f>IF($F1060="","",IF(ISNUMBER($F1060),$F1060+Settings!$C$7/24,IFERROR(DATEVALUE(LEFT($F1060,10))+TIMEVALUE(MID($F1060,12,8))+Settings!$C$7/24,"")))</f>
        <v/>
      </c>
      <c r="P1060" s="106" t="str">
        <f>IF($G1060="","",IF(ISNUMBER($G1060),$G1060+Settings!$C$7/24,IFERROR(DATEVALUE(LEFT($G1060,10))+TIMEVALUE(MID($G1060,12,8))+Settings!$C$7/24,"")))</f>
        <v/>
      </c>
      <c r="Q1060" s="39" t="str">
        <f t="shared" si="289"/>
        <v/>
      </c>
      <c r="R1060" s="39" t="str">
        <f t="shared" si="290"/>
        <v/>
      </c>
      <c r="S1060" s="107" t="str">
        <f t="shared" si="291"/>
        <v/>
      </c>
      <c r="T1060" s="39" t="str">
        <f>IF($C1060="","",IF(COUNTIF($C$2:$C1060,$C1060)=1,1,0))</f>
        <v/>
      </c>
      <c r="U1060" s="39" t="str">
        <f>IF($T1060=1,COUNTIF($T$2:$T1060,1),"")</f>
        <v/>
      </c>
      <c r="V1060" s="39" t="str">
        <f>IF($B1060="","",IF(COUNTIF($B$2:$B1060,$B1060)=1,1,0))</f>
        <v/>
      </c>
      <c r="W1060" s="39" t="str">
        <f>IF($V1060=1,COUNTIF($V$2:$V1060,1),"")</f>
        <v/>
      </c>
      <c r="X1060" s="39" t="str">
        <f>IF($A1060="","",IF(COUNTIF($A$2:$A1060,$A1060)=1,1,0))</f>
        <v/>
      </c>
      <c r="Y1060" s="39" t="str">
        <f>IF($X1060=1,COUNTIF($X$2:$X1060,1),"")</f>
        <v/>
      </c>
      <c r="Z1060" s="39">
        <f>IF(AND($E1060="timed",$N1060&gt;Settings!$C$8),1,0)</f>
        <v>0</v>
      </c>
      <c r="AA1060" s="39">
        <f t="shared" si="292"/>
        <v>0</v>
      </c>
      <c r="AB1060" s="39">
        <f t="shared" si="293"/>
        <v>0</v>
      </c>
      <c r="AC1060" s="39" t="str">
        <f t="shared" si="294"/>
        <v/>
      </c>
      <c r="AD1060" s="39" t="str">
        <f t="shared" si="295"/>
        <v/>
      </c>
      <c r="AE1060" s="39" t="str">
        <f t="shared" si="296"/>
        <v/>
      </c>
      <c r="AF1060" s="106" t="str">
        <f t="shared" si="297"/>
        <v/>
      </c>
      <c r="AG1060" s="39">
        <f t="shared" si="298"/>
        <v>0</v>
      </c>
      <c r="AH1060" s="39" t="str">
        <f t="shared" si="299"/>
        <v/>
      </c>
      <c r="AI1060" s="39">
        <f>IF(AND($E1060="timed",$N1060&gt;=Settings!$C$9),1,0)</f>
        <v>0</v>
      </c>
      <c r="AJ1060" s="39" t="str">
        <f>IF(OR($S1060="",Settings!$C$16=""),"",IF($S1060&lt;=Settings!$C$16,1,2))</f>
        <v/>
      </c>
      <c r="AK1060" s="39" t="str">
        <f>IF($C1060="","",IFERROR(IF(INDEX(Settings!$C$20:$C$59,MATCH($C1060,Settings!$B$20:$B$59,0))="",Settings!$C$10,INDEX(Settings!$C$20:$C$59,MATCH($C1060,Settings!$B$20:$B$59,0))),Settings!$C$10))</f>
        <v/>
      </c>
      <c r="AL1060" s="108">
        <f t="shared" si="300"/>
        <v>0</v>
      </c>
      <c r="AM1060" s="39" t="str">
        <f t="shared" si="301"/>
        <v/>
      </c>
      <c r="AN1060" s="39" t="str">
        <f t="shared" si="302"/>
        <v/>
      </c>
      <c r="AO1060" s="39" t="str">
        <f t="shared" si="303"/>
        <v/>
      </c>
      <c r="AP1060" s="39">
        <f t="shared" si="304"/>
        <v>0</v>
      </c>
      <c r="AQ1060" s="39">
        <f t="shared" si="305"/>
        <v>0</v>
      </c>
    </row>
    <row r="1061" spans="14:43" x14ac:dyDescent="0.25">
      <c r="N1061" s="105">
        <f t="shared" si="288"/>
        <v>0</v>
      </c>
      <c r="O1061" s="106" t="str">
        <f>IF($F1061="","",IF(ISNUMBER($F1061),$F1061+Settings!$C$7/24,IFERROR(DATEVALUE(LEFT($F1061,10))+TIMEVALUE(MID($F1061,12,8))+Settings!$C$7/24,"")))</f>
        <v/>
      </c>
      <c r="P1061" s="106" t="str">
        <f>IF($G1061="","",IF(ISNUMBER($G1061),$G1061+Settings!$C$7/24,IFERROR(DATEVALUE(LEFT($G1061,10))+TIMEVALUE(MID($G1061,12,8))+Settings!$C$7/24,"")))</f>
        <v/>
      </c>
      <c r="Q1061" s="39" t="str">
        <f t="shared" si="289"/>
        <v/>
      </c>
      <c r="R1061" s="39" t="str">
        <f t="shared" si="290"/>
        <v/>
      </c>
      <c r="S1061" s="107" t="str">
        <f t="shared" si="291"/>
        <v/>
      </c>
      <c r="T1061" s="39" t="str">
        <f>IF($C1061="","",IF(COUNTIF($C$2:$C1061,$C1061)=1,1,0))</f>
        <v/>
      </c>
      <c r="U1061" s="39" t="str">
        <f>IF($T1061=1,COUNTIF($T$2:$T1061,1),"")</f>
        <v/>
      </c>
      <c r="V1061" s="39" t="str">
        <f>IF($B1061="","",IF(COUNTIF($B$2:$B1061,$B1061)=1,1,0))</f>
        <v/>
      </c>
      <c r="W1061" s="39" t="str">
        <f>IF($V1061=1,COUNTIF($V$2:$V1061,1),"")</f>
        <v/>
      </c>
      <c r="X1061" s="39" t="str">
        <f>IF($A1061="","",IF(COUNTIF($A$2:$A1061,$A1061)=1,1,0))</f>
        <v/>
      </c>
      <c r="Y1061" s="39" t="str">
        <f>IF($X1061=1,COUNTIF($X$2:$X1061,1),"")</f>
        <v/>
      </c>
      <c r="Z1061" s="39">
        <f>IF(AND($E1061="timed",$N1061&gt;Settings!$C$8),1,0)</f>
        <v>0</v>
      </c>
      <c r="AA1061" s="39">
        <f t="shared" si="292"/>
        <v>0</v>
      </c>
      <c r="AB1061" s="39">
        <f t="shared" si="293"/>
        <v>0</v>
      </c>
      <c r="AC1061" s="39" t="str">
        <f t="shared" si="294"/>
        <v/>
      </c>
      <c r="AD1061" s="39" t="str">
        <f t="shared" si="295"/>
        <v/>
      </c>
      <c r="AE1061" s="39" t="str">
        <f t="shared" si="296"/>
        <v/>
      </c>
      <c r="AF1061" s="106" t="str">
        <f t="shared" si="297"/>
        <v/>
      </c>
      <c r="AG1061" s="39">
        <f t="shared" si="298"/>
        <v>0</v>
      </c>
      <c r="AH1061" s="39" t="str">
        <f t="shared" si="299"/>
        <v/>
      </c>
      <c r="AI1061" s="39">
        <f>IF(AND($E1061="timed",$N1061&gt;=Settings!$C$9),1,0)</f>
        <v>0</v>
      </c>
      <c r="AJ1061" s="39" t="str">
        <f>IF(OR($S1061="",Settings!$C$16=""),"",IF($S1061&lt;=Settings!$C$16,1,2))</f>
        <v/>
      </c>
      <c r="AK1061" s="39" t="str">
        <f>IF($C1061="","",IFERROR(IF(INDEX(Settings!$C$20:$C$59,MATCH($C1061,Settings!$B$20:$B$59,0))="",Settings!$C$10,INDEX(Settings!$C$20:$C$59,MATCH($C1061,Settings!$B$20:$B$59,0))),Settings!$C$10))</f>
        <v/>
      </c>
      <c r="AL1061" s="108">
        <f t="shared" si="300"/>
        <v>0</v>
      </c>
      <c r="AM1061" s="39" t="str">
        <f t="shared" si="301"/>
        <v/>
      </c>
      <c r="AN1061" s="39" t="str">
        <f t="shared" si="302"/>
        <v/>
      </c>
      <c r="AO1061" s="39" t="str">
        <f t="shared" si="303"/>
        <v/>
      </c>
      <c r="AP1061" s="39">
        <f t="shared" si="304"/>
        <v>0</v>
      </c>
      <c r="AQ1061" s="39">
        <f t="shared" si="305"/>
        <v>0</v>
      </c>
    </row>
    <row r="1062" spans="14:43" x14ac:dyDescent="0.25">
      <c r="N1062" s="105">
        <f t="shared" si="288"/>
        <v>0</v>
      </c>
      <c r="O1062" s="106" t="str">
        <f>IF($F1062="","",IF(ISNUMBER($F1062),$F1062+Settings!$C$7/24,IFERROR(DATEVALUE(LEFT($F1062,10))+TIMEVALUE(MID($F1062,12,8))+Settings!$C$7/24,"")))</f>
        <v/>
      </c>
      <c r="P1062" s="106" t="str">
        <f>IF($G1062="","",IF(ISNUMBER($G1062),$G1062+Settings!$C$7/24,IFERROR(DATEVALUE(LEFT($G1062,10))+TIMEVALUE(MID($G1062,12,8))+Settings!$C$7/24,"")))</f>
        <v/>
      </c>
      <c r="Q1062" s="39" t="str">
        <f t="shared" si="289"/>
        <v/>
      </c>
      <c r="R1062" s="39" t="str">
        <f t="shared" si="290"/>
        <v/>
      </c>
      <c r="S1062" s="107" t="str">
        <f t="shared" si="291"/>
        <v/>
      </c>
      <c r="T1062" s="39" t="str">
        <f>IF($C1062="","",IF(COUNTIF($C$2:$C1062,$C1062)=1,1,0))</f>
        <v/>
      </c>
      <c r="U1062" s="39" t="str">
        <f>IF($T1062=1,COUNTIF($T$2:$T1062,1),"")</f>
        <v/>
      </c>
      <c r="V1062" s="39" t="str">
        <f>IF($B1062="","",IF(COUNTIF($B$2:$B1062,$B1062)=1,1,0))</f>
        <v/>
      </c>
      <c r="W1062" s="39" t="str">
        <f>IF($V1062=1,COUNTIF($V$2:$V1062,1),"")</f>
        <v/>
      </c>
      <c r="X1062" s="39" t="str">
        <f>IF($A1062="","",IF(COUNTIF($A$2:$A1062,$A1062)=1,1,0))</f>
        <v/>
      </c>
      <c r="Y1062" s="39" t="str">
        <f>IF($X1062=1,COUNTIF($X$2:$X1062,1),"")</f>
        <v/>
      </c>
      <c r="Z1062" s="39">
        <f>IF(AND($E1062="timed",$N1062&gt;Settings!$C$8),1,0)</f>
        <v>0</v>
      </c>
      <c r="AA1062" s="39">
        <f t="shared" si="292"/>
        <v>0</v>
      </c>
      <c r="AB1062" s="39">
        <f t="shared" si="293"/>
        <v>0</v>
      </c>
      <c r="AC1062" s="39" t="str">
        <f t="shared" si="294"/>
        <v/>
      </c>
      <c r="AD1062" s="39" t="str">
        <f t="shared" si="295"/>
        <v/>
      </c>
      <c r="AE1062" s="39" t="str">
        <f t="shared" si="296"/>
        <v/>
      </c>
      <c r="AF1062" s="106" t="str">
        <f t="shared" si="297"/>
        <v/>
      </c>
      <c r="AG1062" s="39">
        <f t="shared" si="298"/>
        <v>0</v>
      </c>
      <c r="AH1062" s="39" t="str">
        <f t="shared" si="299"/>
        <v/>
      </c>
      <c r="AI1062" s="39">
        <f>IF(AND($E1062="timed",$N1062&gt;=Settings!$C$9),1,0)</f>
        <v>0</v>
      </c>
      <c r="AJ1062" s="39" t="str">
        <f>IF(OR($S1062="",Settings!$C$16=""),"",IF($S1062&lt;=Settings!$C$16,1,2))</f>
        <v/>
      </c>
      <c r="AK1062" s="39" t="str">
        <f>IF($C1062="","",IFERROR(IF(INDEX(Settings!$C$20:$C$59,MATCH($C1062,Settings!$B$20:$B$59,0))="",Settings!$C$10,INDEX(Settings!$C$20:$C$59,MATCH($C1062,Settings!$B$20:$B$59,0))),Settings!$C$10))</f>
        <v/>
      </c>
      <c r="AL1062" s="108">
        <f t="shared" si="300"/>
        <v>0</v>
      </c>
      <c r="AM1062" s="39" t="str">
        <f t="shared" si="301"/>
        <v/>
      </c>
      <c r="AN1062" s="39" t="str">
        <f t="shared" si="302"/>
        <v/>
      </c>
      <c r="AO1062" s="39" t="str">
        <f t="shared" si="303"/>
        <v/>
      </c>
      <c r="AP1062" s="39">
        <f t="shared" si="304"/>
        <v>0</v>
      </c>
      <c r="AQ1062" s="39">
        <f t="shared" si="305"/>
        <v>0</v>
      </c>
    </row>
    <row r="1063" spans="14:43" x14ac:dyDescent="0.25">
      <c r="N1063" s="105">
        <f t="shared" si="288"/>
        <v>0</v>
      </c>
      <c r="O1063" s="106" t="str">
        <f>IF($F1063="","",IF(ISNUMBER($F1063),$F1063+Settings!$C$7/24,IFERROR(DATEVALUE(LEFT($F1063,10))+TIMEVALUE(MID($F1063,12,8))+Settings!$C$7/24,"")))</f>
        <v/>
      </c>
      <c r="P1063" s="106" t="str">
        <f>IF($G1063="","",IF(ISNUMBER($G1063),$G1063+Settings!$C$7/24,IFERROR(DATEVALUE(LEFT($G1063,10))+TIMEVALUE(MID($G1063,12,8))+Settings!$C$7/24,"")))</f>
        <v/>
      </c>
      <c r="Q1063" s="39" t="str">
        <f t="shared" si="289"/>
        <v/>
      </c>
      <c r="R1063" s="39" t="str">
        <f t="shared" si="290"/>
        <v/>
      </c>
      <c r="S1063" s="107" t="str">
        <f t="shared" si="291"/>
        <v/>
      </c>
      <c r="T1063" s="39" t="str">
        <f>IF($C1063="","",IF(COUNTIF($C$2:$C1063,$C1063)=1,1,0))</f>
        <v/>
      </c>
      <c r="U1063" s="39" t="str">
        <f>IF($T1063=1,COUNTIF($T$2:$T1063,1),"")</f>
        <v/>
      </c>
      <c r="V1063" s="39" t="str">
        <f>IF($B1063="","",IF(COUNTIF($B$2:$B1063,$B1063)=1,1,0))</f>
        <v/>
      </c>
      <c r="W1063" s="39" t="str">
        <f>IF($V1063=1,COUNTIF($V$2:$V1063,1),"")</f>
        <v/>
      </c>
      <c r="X1063" s="39" t="str">
        <f>IF($A1063="","",IF(COUNTIF($A$2:$A1063,$A1063)=1,1,0))</f>
        <v/>
      </c>
      <c r="Y1063" s="39" t="str">
        <f>IF($X1063=1,COUNTIF($X$2:$X1063,1),"")</f>
        <v/>
      </c>
      <c r="Z1063" s="39">
        <f>IF(AND($E1063="timed",$N1063&gt;Settings!$C$8),1,0)</f>
        <v>0</v>
      </c>
      <c r="AA1063" s="39">
        <f t="shared" si="292"/>
        <v>0</v>
      </c>
      <c r="AB1063" s="39">
        <f t="shared" si="293"/>
        <v>0</v>
      </c>
      <c r="AC1063" s="39" t="str">
        <f t="shared" si="294"/>
        <v/>
      </c>
      <c r="AD1063" s="39" t="str">
        <f t="shared" si="295"/>
        <v/>
      </c>
      <c r="AE1063" s="39" t="str">
        <f t="shared" si="296"/>
        <v/>
      </c>
      <c r="AF1063" s="106" t="str">
        <f t="shared" si="297"/>
        <v/>
      </c>
      <c r="AG1063" s="39">
        <f t="shared" si="298"/>
        <v>0</v>
      </c>
      <c r="AH1063" s="39" t="str">
        <f t="shared" si="299"/>
        <v/>
      </c>
      <c r="AI1063" s="39">
        <f>IF(AND($E1063="timed",$N1063&gt;=Settings!$C$9),1,0)</f>
        <v>0</v>
      </c>
      <c r="AJ1063" s="39" t="str">
        <f>IF(OR($S1063="",Settings!$C$16=""),"",IF($S1063&lt;=Settings!$C$16,1,2))</f>
        <v/>
      </c>
      <c r="AK1063" s="39" t="str">
        <f>IF($C1063="","",IFERROR(IF(INDEX(Settings!$C$20:$C$59,MATCH($C1063,Settings!$B$20:$B$59,0))="",Settings!$C$10,INDEX(Settings!$C$20:$C$59,MATCH($C1063,Settings!$B$20:$B$59,0))),Settings!$C$10))</f>
        <v/>
      </c>
      <c r="AL1063" s="108">
        <f t="shared" si="300"/>
        <v>0</v>
      </c>
      <c r="AM1063" s="39" t="str">
        <f t="shared" si="301"/>
        <v/>
      </c>
      <c r="AN1063" s="39" t="str">
        <f t="shared" si="302"/>
        <v/>
      </c>
      <c r="AO1063" s="39" t="str">
        <f t="shared" si="303"/>
        <v/>
      </c>
      <c r="AP1063" s="39">
        <f t="shared" si="304"/>
        <v>0</v>
      </c>
      <c r="AQ1063" s="39">
        <f t="shared" si="305"/>
        <v>0</v>
      </c>
    </row>
    <row r="1064" spans="14:43" x14ac:dyDescent="0.25">
      <c r="N1064" s="105">
        <f t="shared" si="288"/>
        <v>0</v>
      </c>
      <c r="O1064" s="106" t="str">
        <f>IF($F1064="","",IF(ISNUMBER($F1064),$F1064+Settings!$C$7/24,IFERROR(DATEVALUE(LEFT($F1064,10))+TIMEVALUE(MID($F1064,12,8))+Settings!$C$7/24,"")))</f>
        <v/>
      </c>
      <c r="P1064" s="106" t="str">
        <f>IF($G1064="","",IF(ISNUMBER($G1064),$G1064+Settings!$C$7/24,IFERROR(DATEVALUE(LEFT($G1064,10))+TIMEVALUE(MID($G1064,12,8))+Settings!$C$7/24,"")))</f>
        <v/>
      </c>
      <c r="Q1064" s="39" t="str">
        <f t="shared" si="289"/>
        <v/>
      </c>
      <c r="R1064" s="39" t="str">
        <f t="shared" si="290"/>
        <v/>
      </c>
      <c r="S1064" s="107" t="str">
        <f t="shared" si="291"/>
        <v/>
      </c>
      <c r="T1064" s="39" t="str">
        <f>IF($C1064="","",IF(COUNTIF($C$2:$C1064,$C1064)=1,1,0))</f>
        <v/>
      </c>
      <c r="U1064" s="39" t="str">
        <f>IF($T1064=1,COUNTIF($T$2:$T1064,1),"")</f>
        <v/>
      </c>
      <c r="V1064" s="39" t="str">
        <f>IF($B1064="","",IF(COUNTIF($B$2:$B1064,$B1064)=1,1,0))</f>
        <v/>
      </c>
      <c r="W1064" s="39" t="str">
        <f>IF($V1064=1,COUNTIF($V$2:$V1064,1),"")</f>
        <v/>
      </c>
      <c r="X1064" s="39" t="str">
        <f>IF($A1064="","",IF(COUNTIF($A$2:$A1064,$A1064)=1,1,0))</f>
        <v/>
      </c>
      <c r="Y1064" s="39" t="str">
        <f>IF($X1064=1,COUNTIF($X$2:$X1064,1),"")</f>
        <v/>
      </c>
      <c r="Z1064" s="39">
        <f>IF(AND($E1064="timed",$N1064&gt;Settings!$C$8),1,0)</f>
        <v>0</v>
      </c>
      <c r="AA1064" s="39">
        <f t="shared" si="292"/>
        <v>0</v>
      </c>
      <c r="AB1064" s="39">
        <f t="shared" si="293"/>
        <v>0</v>
      </c>
      <c r="AC1064" s="39" t="str">
        <f t="shared" si="294"/>
        <v/>
      </c>
      <c r="AD1064" s="39" t="str">
        <f t="shared" si="295"/>
        <v/>
      </c>
      <c r="AE1064" s="39" t="str">
        <f t="shared" si="296"/>
        <v/>
      </c>
      <c r="AF1064" s="106" t="str">
        <f t="shared" si="297"/>
        <v/>
      </c>
      <c r="AG1064" s="39">
        <f t="shared" si="298"/>
        <v>0</v>
      </c>
      <c r="AH1064" s="39" t="str">
        <f t="shared" si="299"/>
        <v/>
      </c>
      <c r="AI1064" s="39">
        <f>IF(AND($E1064="timed",$N1064&gt;=Settings!$C$9),1,0)</f>
        <v>0</v>
      </c>
      <c r="AJ1064" s="39" t="str">
        <f>IF(OR($S1064="",Settings!$C$16=""),"",IF($S1064&lt;=Settings!$C$16,1,2))</f>
        <v/>
      </c>
      <c r="AK1064" s="39" t="str">
        <f>IF($C1064="","",IFERROR(IF(INDEX(Settings!$C$20:$C$59,MATCH($C1064,Settings!$B$20:$B$59,0))="",Settings!$C$10,INDEX(Settings!$C$20:$C$59,MATCH($C1064,Settings!$B$20:$B$59,0))),Settings!$C$10))</f>
        <v/>
      </c>
      <c r="AL1064" s="108">
        <f t="shared" si="300"/>
        <v>0</v>
      </c>
      <c r="AM1064" s="39" t="str">
        <f t="shared" si="301"/>
        <v/>
      </c>
      <c r="AN1064" s="39" t="str">
        <f t="shared" si="302"/>
        <v/>
      </c>
      <c r="AO1064" s="39" t="str">
        <f t="shared" si="303"/>
        <v/>
      </c>
      <c r="AP1064" s="39">
        <f t="shared" si="304"/>
        <v>0</v>
      </c>
      <c r="AQ1064" s="39">
        <f t="shared" si="305"/>
        <v>0</v>
      </c>
    </row>
    <row r="1065" spans="14:43" x14ac:dyDescent="0.25">
      <c r="N1065" s="105">
        <f t="shared" si="288"/>
        <v>0</v>
      </c>
      <c r="O1065" s="106" t="str">
        <f>IF($F1065="","",IF(ISNUMBER($F1065),$F1065+Settings!$C$7/24,IFERROR(DATEVALUE(LEFT($F1065,10))+TIMEVALUE(MID($F1065,12,8))+Settings!$C$7/24,"")))</f>
        <v/>
      </c>
      <c r="P1065" s="106" t="str">
        <f>IF($G1065="","",IF(ISNUMBER($G1065),$G1065+Settings!$C$7/24,IFERROR(DATEVALUE(LEFT($G1065,10))+TIMEVALUE(MID($G1065,12,8))+Settings!$C$7/24,"")))</f>
        <v/>
      </c>
      <c r="Q1065" s="39" t="str">
        <f t="shared" si="289"/>
        <v/>
      </c>
      <c r="R1065" s="39" t="str">
        <f t="shared" si="290"/>
        <v/>
      </c>
      <c r="S1065" s="107" t="str">
        <f t="shared" si="291"/>
        <v/>
      </c>
      <c r="T1065" s="39" t="str">
        <f>IF($C1065="","",IF(COUNTIF($C$2:$C1065,$C1065)=1,1,0))</f>
        <v/>
      </c>
      <c r="U1065" s="39" t="str">
        <f>IF($T1065=1,COUNTIF($T$2:$T1065,1),"")</f>
        <v/>
      </c>
      <c r="V1065" s="39" t="str">
        <f>IF($B1065="","",IF(COUNTIF($B$2:$B1065,$B1065)=1,1,0))</f>
        <v/>
      </c>
      <c r="W1065" s="39" t="str">
        <f>IF($V1065=1,COUNTIF($V$2:$V1065,1),"")</f>
        <v/>
      </c>
      <c r="X1065" s="39" t="str">
        <f>IF($A1065="","",IF(COUNTIF($A$2:$A1065,$A1065)=1,1,0))</f>
        <v/>
      </c>
      <c r="Y1065" s="39" t="str">
        <f>IF($X1065=1,COUNTIF($X$2:$X1065,1),"")</f>
        <v/>
      </c>
      <c r="Z1065" s="39">
        <f>IF(AND($E1065="timed",$N1065&gt;Settings!$C$8),1,0)</f>
        <v>0</v>
      </c>
      <c r="AA1065" s="39">
        <f t="shared" si="292"/>
        <v>0</v>
      </c>
      <c r="AB1065" s="39">
        <f t="shared" si="293"/>
        <v>0</v>
      </c>
      <c r="AC1065" s="39" t="str">
        <f t="shared" si="294"/>
        <v/>
      </c>
      <c r="AD1065" s="39" t="str">
        <f t="shared" si="295"/>
        <v/>
      </c>
      <c r="AE1065" s="39" t="str">
        <f t="shared" si="296"/>
        <v/>
      </c>
      <c r="AF1065" s="106" t="str">
        <f t="shared" si="297"/>
        <v/>
      </c>
      <c r="AG1065" s="39">
        <f t="shared" si="298"/>
        <v>0</v>
      </c>
      <c r="AH1065" s="39" t="str">
        <f t="shared" si="299"/>
        <v/>
      </c>
      <c r="AI1065" s="39">
        <f>IF(AND($E1065="timed",$N1065&gt;=Settings!$C$9),1,0)</f>
        <v>0</v>
      </c>
      <c r="AJ1065" s="39" t="str">
        <f>IF(OR($S1065="",Settings!$C$16=""),"",IF($S1065&lt;=Settings!$C$16,1,2))</f>
        <v/>
      </c>
      <c r="AK1065" s="39" t="str">
        <f>IF($C1065="","",IFERROR(IF(INDEX(Settings!$C$20:$C$59,MATCH($C1065,Settings!$B$20:$B$59,0))="",Settings!$C$10,INDEX(Settings!$C$20:$C$59,MATCH($C1065,Settings!$B$20:$B$59,0))),Settings!$C$10))</f>
        <v/>
      </c>
      <c r="AL1065" s="108">
        <f t="shared" si="300"/>
        <v>0</v>
      </c>
      <c r="AM1065" s="39" t="str">
        <f t="shared" si="301"/>
        <v/>
      </c>
      <c r="AN1065" s="39" t="str">
        <f t="shared" si="302"/>
        <v/>
      </c>
      <c r="AO1065" s="39" t="str">
        <f t="shared" si="303"/>
        <v/>
      </c>
      <c r="AP1065" s="39">
        <f t="shared" si="304"/>
        <v>0</v>
      </c>
      <c r="AQ1065" s="39">
        <f t="shared" si="305"/>
        <v>0</v>
      </c>
    </row>
    <row r="1066" spans="14:43" x14ac:dyDescent="0.25">
      <c r="N1066" s="105">
        <f t="shared" si="288"/>
        <v>0</v>
      </c>
      <c r="O1066" s="106" t="str">
        <f>IF($F1066="","",IF(ISNUMBER($F1066),$F1066+Settings!$C$7/24,IFERROR(DATEVALUE(LEFT($F1066,10))+TIMEVALUE(MID($F1066,12,8))+Settings!$C$7/24,"")))</f>
        <v/>
      </c>
      <c r="P1066" s="106" t="str">
        <f>IF($G1066="","",IF(ISNUMBER($G1066),$G1066+Settings!$C$7/24,IFERROR(DATEVALUE(LEFT($G1066,10))+TIMEVALUE(MID($G1066,12,8))+Settings!$C$7/24,"")))</f>
        <v/>
      </c>
      <c r="Q1066" s="39" t="str">
        <f t="shared" si="289"/>
        <v/>
      </c>
      <c r="R1066" s="39" t="str">
        <f t="shared" si="290"/>
        <v/>
      </c>
      <c r="S1066" s="107" t="str">
        <f t="shared" si="291"/>
        <v/>
      </c>
      <c r="T1066" s="39" t="str">
        <f>IF($C1066="","",IF(COUNTIF($C$2:$C1066,$C1066)=1,1,0))</f>
        <v/>
      </c>
      <c r="U1066" s="39" t="str">
        <f>IF($T1066=1,COUNTIF($T$2:$T1066,1),"")</f>
        <v/>
      </c>
      <c r="V1066" s="39" t="str">
        <f>IF($B1066="","",IF(COUNTIF($B$2:$B1066,$B1066)=1,1,0))</f>
        <v/>
      </c>
      <c r="W1066" s="39" t="str">
        <f>IF($V1066=1,COUNTIF($V$2:$V1066,1),"")</f>
        <v/>
      </c>
      <c r="X1066" s="39" t="str">
        <f>IF($A1066="","",IF(COUNTIF($A$2:$A1066,$A1066)=1,1,0))</f>
        <v/>
      </c>
      <c r="Y1066" s="39" t="str">
        <f>IF($X1066=1,COUNTIF($X$2:$X1066,1),"")</f>
        <v/>
      </c>
      <c r="Z1066" s="39">
        <f>IF(AND($E1066="timed",$N1066&gt;Settings!$C$8),1,0)</f>
        <v>0</v>
      </c>
      <c r="AA1066" s="39">
        <f t="shared" si="292"/>
        <v>0</v>
      </c>
      <c r="AB1066" s="39">
        <f t="shared" si="293"/>
        <v>0</v>
      </c>
      <c r="AC1066" s="39" t="str">
        <f t="shared" si="294"/>
        <v/>
      </c>
      <c r="AD1066" s="39" t="str">
        <f t="shared" si="295"/>
        <v/>
      </c>
      <c r="AE1066" s="39" t="str">
        <f t="shared" si="296"/>
        <v/>
      </c>
      <c r="AF1066" s="106" t="str">
        <f t="shared" si="297"/>
        <v/>
      </c>
      <c r="AG1066" s="39">
        <f t="shared" si="298"/>
        <v>0</v>
      </c>
      <c r="AH1066" s="39" t="str">
        <f t="shared" si="299"/>
        <v/>
      </c>
      <c r="AI1066" s="39">
        <f>IF(AND($E1066="timed",$N1066&gt;=Settings!$C$9),1,0)</f>
        <v>0</v>
      </c>
      <c r="AJ1066" s="39" t="str">
        <f>IF(OR($S1066="",Settings!$C$16=""),"",IF($S1066&lt;=Settings!$C$16,1,2))</f>
        <v/>
      </c>
      <c r="AK1066" s="39" t="str">
        <f>IF($C1066="","",IFERROR(IF(INDEX(Settings!$C$20:$C$59,MATCH($C1066,Settings!$B$20:$B$59,0))="",Settings!$C$10,INDEX(Settings!$C$20:$C$59,MATCH($C1066,Settings!$B$20:$B$59,0))),Settings!$C$10))</f>
        <v/>
      </c>
      <c r="AL1066" s="108">
        <f t="shared" si="300"/>
        <v>0</v>
      </c>
      <c r="AM1066" s="39" t="str">
        <f t="shared" si="301"/>
        <v/>
      </c>
      <c r="AN1066" s="39" t="str">
        <f t="shared" si="302"/>
        <v/>
      </c>
      <c r="AO1066" s="39" t="str">
        <f t="shared" si="303"/>
        <v/>
      </c>
      <c r="AP1066" s="39">
        <f t="shared" si="304"/>
        <v>0</v>
      </c>
      <c r="AQ1066" s="39">
        <f t="shared" si="305"/>
        <v>0</v>
      </c>
    </row>
    <row r="1067" spans="14:43" x14ac:dyDescent="0.25">
      <c r="N1067" s="105">
        <f t="shared" si="288"/>
        <v>0</v>
      </c>
      <c r="O1067" s="106" t="str">
        <f>IF($F1067="","",IF(ISNUMBER($F1067),$F1067+Settings!$C$7/24,IFERROR(DATEVALUE(LEFT($F1067,10))+TIMEVALUE(MID($F1067,12,8))+Settings!$C$7/24,"")))</f>
        <v/>
      </c>
      <c r="P1067" s="106" t="str">
        <f>IF($G1067="","",IF(ISNUMBER($G1067),$G1067+Settings!$C$7/24,IFERROR(DATEVALUE(LEFT($G1067,10))+TIMEVALUE(MID($G1067,12,8))+Settings!$C$7/24,"")))</f>
        <v/>
      </c>
      <c r="Q1067" s="39" t="str">
        <f t="shared" si="289"/>
        <v/>
      </c>
      <c r="R1067" s="39" t="str">
        <f t="shared" si="290"/>
        <v/>
      </c>
      <c r="S1067" s="107" t="str">
        <f t="shared" si="291"/>
        <v/>
      </c>
      <c r="T1067" s="39" t="str">
        <f>IF($C1067="","",IF(COUNTIF($C$2:$C1067,$C1067)=1,1,0))</f>
        <v/>
      </c>
      <c r="U1067" s="39" t="str">
        <f>IF($T1067=1,COUNTIF($T$2:$T1067,1),"")</f>
        <v/>
      </c>
      <c r="V1067" s="39" t="str">
        <f>IF($B1067="","",IF(COUNTIF($B$2:$B1067,$B1067)=1,1,0))</f>
        <v/>
      </c>
      <c r="W1067" s="39" t="str">
        <f>IF($V1067=1,COUNTIF($V$2:$V1067,1),"")</f>
        <v/>
      </c>
      <c r="X1067" s="39" t="str">
        <f>IF($A1067="","",IF(COUNTIF($A$2:$A1067,$A1067)=1,1,0))</f>
        <v/>
      </c>
      <c r="Y1067" s="39" t="str">
        <f>IF($X1067=1,COUNTIF($X$2:$X1067,1),"")</f>
        <v/>
      </c>
      <c r="Z1067" s="39">
        <f>IF(AND($E1067="timed",$N1067&gt;Settings!$C$8),1,0)</f>
        <v>0</v>
      </c>
      <c r="AA1067" s="39">
        <f t="shared" si="292"/>
        <v>0</v>
      </c>
      <c r="AB1067" s="39">
        <f t="shared" si="293"/>
        <v>0</v>
      </c>
      <c r="AC1067" s="39" t="str">
        <f t="shared" si="294"/>
        <v/>
      </c>
      <c r="AD1067" s="39" t="str">
        <f t="shared" si="295"/>
        <v/>
      </c>
      <c r="AE1067" s="39" t="str">
        <f t="shared" si="296"/>
        <v/>
      </c>
      <c r="AF1067" s="106" t="str">
        <f t="shared" si="297"/>
        <v/>
      </c>
      <c r="AG1067" s="39">
        <f t="shared" si="298"/>
        <v>0</v>
      </c>
      <c r="AH1067" s="39" t="str">
        <f t="shared" si="299"/>
        <v/>
      </c>
      <c r="AI1067" s="39">
        <f>IF(AND($E1067="timed",$N1067&gt;=Settings!$C$9),1,0)</f>
        <v>0</v>
      </c>
      <c r="AJ1067" s="39" t="str">
        <f>IF(OR($S1067="",Settings!$C$16=""),"",IF($S1067&lt;=Settings!$C$16,1,2))</f>
        <v/>
      </c>
      <c r="AK1067" s="39" t="str">
        <f>IF($C1067="","",IFERROR(IF(INDEX(Settings!$C$20:$C$59,MATCH($C1067,Settings!$B$20:$B$59,0))="",Settings!$C$10,INDEX(Settings!$C$20:$C$59,MATCH($C1067,Settings!$B$20:$B$59,0))),Settings!$C$10))</f>
        <v/>
      </c>
      <c r="AL1067" s="108">
        <f t="shared" si="300"/>
        <v>0</v>
      </c>
      <c r="AM1067" s="39" t="str">
        <f t="shared" si="301"/>
        <v/>
      </c>
      <c r="AN1067" s="39" t="str">
        <f t="shared" si="302"/>
        <v/>
      </c>
      <c r="AO1067" s="39" t="str">
        <f t="shared" si="303"/>
        <v/>
      </c>
      <c r="AP1067" s="39">
        <f t="shared" si="304"/>
        <v>0</v>
      </c>
      <c r="AQ1067" s="39">
        <f t="shared" si="305"/>
        <v>0</v>
      </c>
    </row>
    <row r="1068" spans="14:43" x14ac:dyDescent="0.25">
      <c r="N1068" s="105">
        <f t="shared" si="288"/>
        <v>0</v>
      </c>
      <c r="O1068" s="106" t="str">
        <f>IF($F1068="","",IF(ISNUMBER($F1068),$F1068+Settings!$C$7/24,IFERROR(DATEVALUE(LEFT($F1068,10))+TIMEVALUE(MID($F1068,12,8))+Settings!$C$7/24,"")))</f>
        <v/>
      </c>
      <c r="P1068" s="106" t="str">
        <f>IF($G1068="","",IF(ISNUMBER($G1068),$G1068+Settings!$C$7/24,IFERROR(DATEVALUE(LEFT($G1068,10))+TIMEVALUE(MID($G1068,12,8))+Settings!$C$7/24,"")))</f>
        <v/>
      </c>
      <c r="Q1068" s="39" t="str">
        <f t="shared" si="289"/>
        <v/>
      </c>
      <c r="R1068" s="39" t="str">
        <f t="shared" si="290"/>
        <v/>
      </c>
      <c r="S1068" s="107" t="str">
        <f t="shared" si="291"/>
        <v/>
      </c>
      <c r="T1068" s="39" t="str">
        <f>IF($C1068="","",IF(COUNTIF($C$2:$C1068,$C1068)=1,1,0))</f>
        <v/>
      </c>
      <c r="U1068" s="39" t="str">
        <f>IF($T1068=1,COUNTIF($T$2:$T1068,1),"")</f>
        <v/>
      </c>
      <c r="V1068" s="39" t="str">
        <f>IF($B1068="","",IF(COUNTIF($B$2:$B1068,$B1068)=1,1,0))</f>
        <v/>
      </c>
      <c r="W1068" s="39" t="str">
        <f>IF($V1068=1,COUNTIF($V$2:$V1068,1),"")</f>
        <v/>
      </c>
      <c r="X1068" s="39" t="str">
        <f>IF($A1068="","",IF(COUNTIF($A$2:$A1068,$A1068)=1,1,0))</f>
        <v/>
      </c>
      <c r="Y1068" s="39" t="str">
        <f>IF($X1068=1,COUNTIF($X$2:$X1068,1),"")</f>
        <v/>
      </c>
      <c r="Z1068" s="39">
        <f>IF(AND($E1068="timed",$N1068&gt;Settings!$C$8),1,0)</f>
        <v>0</v>
      </c>
      <c r="AA1068" s="39">
        <f t="shared" si="292"/>
        <v>0</v>
      </c>
      <c r="AB1068" s="39">
        <f t="shared" si="293"/>
        <v>0</v>
      </c>
      <c r="AC1068" s="39" t="str">
        <f t="shared" si="294"/>
        <v/>
      </c>
      <c r="AD1068" s="39" t="str">
        <f t="shared" si="295"/>
        <v/>
      </c>
      <c r="AE1068" s="39" t="str">
        <f t="shared" si="296"/>
        <v/>
      </c>
      <c r="AF1068" s="106" t="str">
        <f t="shared" si="297"/>
        <v/>
      </c>
      <c r="AG1068" s="39">
        <f t="shared" si="298"/>
        <v>0</v>
      </c>
      <c r="AH1068" s="39" t="str">
        <f t="shared" si="299"/>
        <v/>
      </c>
      <c r="AI1068" s="39">
        <f>IF(AND($E1068="timed",$N1068&gt;=Settings!$C$9),1,0)</f>
        <v>0</v>
      </c>
      <c r="AJ1068" s="39" t="str">
        <f>IF(OR($S1068="",Settings!$C$16=""),"",IF($S1068&lt;=Settings!$C$16,1,2))</f>
        <v/>
      </c>
      <c r="AK1068" s="39" t="str">
        <f>IF($C1068="","",IFERROR(IF(INDEX(Settings!$C$20:$C$59,MATCH($C1068,Settings!$B$20:$B$59,0))="",Settings!$C$10,INDEX(Settings!$C$20:$C$59,MATCH($C1068,Settings!$B$20:$B$59,0))),Settings!$C$10))</f>
        <v/>
      </c>
      <c r="AL1068" s="108">
        <f t="shared" si="300"/>
        <v>0</v>
      </c>
      <c r="AM1068" s="39" t="str">
        <f t="shared" si="301"/>
        <v/>
      </c>
      <c r="AN1068" s="39" t="str">
        <f t="shared" si="302"/>
        <v/>
      </c>
      <c r="AO1068" s="39" t="str">
        <f t="shared" si="303"/>
        <v/>
      </c>
      <c r="AP1068" s="39">
        <f t="shared" si="304"/>
        <v>0</v>
      </c>
      <c r="AQ1068" s="39">
        <f t="shared" si="305"/>
        <v>0</v>
      </c>
    </row>
    <row r="1069" spans="14:43" x14ac:dyDescent="0.25">
      <c r="N1069" s="105">
        <f t="shared" si="288"/>
        <v>0</v>
      </c>
      <c r="O1069" s="106" t="str">
        <f>IF($F1069="","",IF(ISNUMBER($F1069),$F1069+Settings!$C$7/24,IFERROR(DATEVALUE(LEFT($F1069,10))+TIMEVALUE(MID($F1069,12,8))+Settings!$C$7/24,"")))</f>
        <v/>
      </c>
      <c r="P1069" s="106" t="str">
        <f>IF($G1069="","",IF(ISNUMBER($G1069),$G1069+Settings!$C$7/24,IFERROR(DATEVALUE(LEFT($G1069,10))+TIMEVALUE(MID($G1069,12,8))+Settings!$C$7/24,"")))</f>
        <v/>
      </c>
      <c r="Q1069" s="39" t="str">
        <f t="shared" si="289"/>
        <v/>
      </c>
      <c r="R1069" s="39" t="str">
        <f t="shared" si="290"/>
        <v/>
      </c>
      <c r="S1069" s="107" t="str">
        <f t="shared" si="291"/>
        <v/>
      </c>
      <c r="T1069" s="39" t="str">
        <f>IF($C1069="","",IF(COUNTIF($C$2:$C1069,$C1069)=1,1,0))</f>
        <v/>
      </c>
      <c r="U1069" s="39" t="str">
        <f>IF($T1069=1,COUNTIF($T$2:$T1069,1),"")</f>
        <v/>
      </c>
      <c r="V1069" s="39" t="str">
        <f>IF($B1069="","",IF(COUNTIF($B$2:$B1069,$B1069)=1,1,0))</f>
        <v/>
      </c>
      <c r="W1069" s="39" t="str">
        <f>IF($V1069=1,COUNTIF($V$2:$V1069,1),"")</f>
        <v/>
      </c>
      <c r="X1069" s="39" t="str">
        <f>IF($A1069="","",IF(COUNTIF($A$2:$A1069,$A1069)=1,1,0))</f>
        <v/>
      </c>
      <c r="Y1069" s="39" t="str">
        <f>IF($X1069=1,COUNTIF($X$2:$X1069,1),"")</f>
        <v/>
      </c>
      <c r="Z1069" s="39">
        <f>IF(AND($E1069="timed",$N1069&gt;Settings!$C$8),1,0)</f>
        <v>0</v>
      </c>
      <c r="AA1069" s="39">
        <f t="shared" si="292"/>
        <v>0</v>
      </c>
      <c r="AB1069" s="39">
        <f t="shared" si="293"/>
        <v>0</v>
      </c>
      <c r="AC1069" s="39" t="str">
        <f t="shared" si="294"/>
        <v/>
      </c>
      <c r="AD1069" s="39" t="str">
        <f t="shared" si="295"/>
        <v/>
      </c>
      <c r="AE1069" s="39" t="str">
        <f t="shared" si="296"/>
        <v/>
      </c>
      <c r="AF1069" s="106" t="str">
        <f t="shared" si="297"/>
        <v/>
      </c>
      <c r="AG1069" s="39">
        <f t="shared" si="298"/>
        <v>0</v>
      </c>
      <c r="AH1069" s="39" t="str">
        <f t="shared" si="299"/>
        <v/>
      </c>
      <c r="AI1069" s="39">
        <f>IF(AND($E1069="timed",$N1069&gt;=Settings!$C$9),1,0)</f>
        <v>0</v>
      </c>
      <c r="AJ1069" s="39" t="str">
        <f>IF(OR($S1069="",Settings!$C$16=""),"",IF($S1069&lt;=Settings!$C$16,1,2))</f>
        <v/>
      </c>
      <c r="AK1069" s="39" t="str">
        <f>IF($C1069="","",IFERROR(IF(INDEX(Settings!$C$20:$C$59,MATCH($C1069,Settings!$B$20:$B$59,0))="",Settings!$C$10,INDEX(Settings!$C$20:$C$59,MATCH($C1069,Settings!$B$20:$B$59,0))),Settings!$C$10))</f>
        <v/>
      </c>
      <c r="AL1069" s="108">
        <f t="shared" si="300"/>
        <v>0</v>
      </c>
      <c r="AM1069" s="39" t="str">
        <f t="shared" si="301"/>
        <v/>
      </c>
      <c r="AN1069" s="39" t="str">
        <f t="shared" si="302"/>
        <v/>
      </c>
      <c r="AO1069" s="39" t="str">
        <f t="shared" si="303"/>
        <v/>
      </c>
      <c r="AP1069" s="39">
        <f t="shared" si="304"/>
        <v>0</v>
      </c>
      <c r="AQ1069" s="39">
        <f t="shared" si="305"/>
        <v>0</v>
      </c>
    </row>
    <row r="1070" spans="14:43" x14ac:dyDescent="0.25">
      <c r="N1070" s="105">
        <f t="shared" si="288"/>
        <v>0</v>
      </c>
      <c r="O1070" s="106" t="str">
        <f>IF($F1070="","",IF(ISNUMBER($F1070),$F1070+Settings!$C$7/24,IFERROR(DATEVALUE(LEFT($F1070,10))+TIMEVALUE(MID($F1070,12,8))+Settings!$C$7/24,"")))</f>
        <v/>
      </c>
      <c r="P1070" s="106" t="str">
        <f>IF($G1070="","",IF(ISNUMBER($G1070),$G1070+Settings!$C$7/24,IFERROR(DATEVALUE(LEFT($G1070,10))+TIMEVALUE(MID($G1070,12,8))+Settings!$C$7/24,"")))</f>
        <v/>
      </c>
      <c r="Q1070" s="39" t="str">
        <f t="shared" si="289"/>
        <v/>
      </c>
      <c r="R1070" s="39" t="str">
        <f t="shared" si="290"/>
        <v/>
      </c>
      <c r="S1070" s="107" t="str">
        <f t="shared" si="291"/>
        <v/>
      </c>
      <c r="T1070" s="39" t="str">
        <f>IF($C1070="","",IF(COUNTIF($C$2:$C1070,$C1070)=1,1,0))</f>
        <v/>
      </c>
      <c r="U1070" s="39" t="str">
        <f>IF($T1070=1,COUNTIF($T$2:$T1070,1),"")</f>
        <v/>
      </c>
      <c r="V1070" s="39" t="str">
        <f>IF($B1070="","",IF(COUNTIF($B$2:$B1070,$B1070)=1,1,0))</f>
        <v/>
      </c>
      <c r="W1070" s="39" t="str">
        <f>IF($V1070=1,COUNTIF($V$2:$V1070,1),"")</f>
        <v/>
      </c>
      <c r="X1070" s="39" t="str">
        <f>IF($A1070="","",IF(COUNTIF($A$2:$A1070,$A1070)=1,1,0))</f>
        <v/>
      </c>
      <c r="Y1070" s="39" t="str">
        <f>IF($X1070=1,COUNTIF($X$2:$X1070,1),"")</f>
        <v/>
      </c>
      <c r="Z1070" s="39">
        <f>IF(AND($E1070="timed",$N1070&gt;Settings!$C$8),1,0)</f>
        <v>0</v>
      </c>
      <c r="AA1070" s="39">
        <f t="shared" si="292"/>
        <v>0</v>
      </c>
      <c r="AB1070" s="39">
        <f t="shared" si="293"/>
        <v>0</v>
      </c>
      <c r="AC1070" s="39" t="str">
        <f t="shared" si="294"/>
        <v/>
      </c>
      <c r="AD1070" s="39" t="str">
        <f t="shared" si="295"/>
        <v/>
      </c>
      <c r="AE1070" s="39" t="str">
        <f t="shared" si="296"/>
        <v/>
      </c>
      <c r="AF1070" s="106" t="str">
        <f t="shared" si="297"/>
        <v/>
      </c>
      <c r="AG1070" s="39">
        <f t="shared" si="298"/>
        <v>0</v>
      </c>
      <c r="AH1070" s="39" t="str">
        <f t="shared" si="299"/>
        <v/>
      </c>
      <c r="AI1070" s="39">
        <f>IF(AND($E1070="timed",$N1070&gt;=Settings!$C$9),1,0)</f>
        <v>0</v>
      </c>
      <c r="AJ1070" s="39" t="str">
        <f>IF(OR($S1070="",Settings!$C$16=""),"",IF($S1070&lt;=Settings!$C$16,1,2))</f>
        <v/>
      </c>
      <c r="AK1070" s="39" t="str">
        <f>IF($C1070="","",IFERROR(IF(INDEX(Settings!$C$20:$C$59,MATCH($C1070,Settings!$B$20:$B$59,0))="",Settings!$C$10,INDEX(Settings!$C$20:$C$59,MATCH($C1070,Settings!$B$20:$B$59,0))),Settings!$C$10))</f>
        <v/>
      </c>
      <c r="AL1070" s="108">
        <f t="shared" si="300"/>
        <v>0</v>
      </c>
      <c r="AM1070" s="39" t="str">
        <f t="shared" si="301"/>
        <v/>
      </c>
      <c r="AN1070" s="39" t="str">
        <f t="shared" si="302"/>
        <v/>
      </c>
      <c r="AO1070" s="39" t="str">
        <f t="shared" si="303"/>
        <v/>
      </c>
      <c r="AP1070" s="39">
        <f t="shared" si="304"/>
        <v>0</v>
      </c>
      <c r="AQ1070" s="39">
        <f t="shared" si="305"/>
        <v>0</v>
      </c>
    </row>
    <row r="1071" spans="14:43" x14ac:dyDescent="0.25">
      <c r="N1071" s="105">
        <f t="shared" si="288"/>
        <v>0</v>
      </c>
      <c r="O1071" s="106" t="str">
        <f>IF($F1071="","",IF(ISNUMBER($F1071),$F1071+Settings!$C$7/24,IFERROR(DATEVALUE(LEFT($F1071,10))+TIMEVALUE(MID($F1071,12,8))+Settings!$C$7/24,"")))</f>
        <v/>
      </c>
      <c r="P1071" s="106" t="str">
        <f>IF($G1071="","",IF(ISNUMBER($G1071),$G1071+Settings!$C$7/24,IFERROR(DATEVALUE(LEFT($G1071,10))+TIMEVALUE(MID($G1071,12,8))+Settings!$C$7/24,"")))</f>
        <v/>
      </c>
      <c r="Q1071" s="39" t="str">
        <f t="shared" si="289"/>
        <v/>
      </c>
      <c r="R1071" s="39" t="str">
        <f t="shared" si="290"/>
        <v/>
      </c>
      <c r="S1071" s="107" t="str">
        <f t="shared" si="291"/>
        <v/>
      </c>
      <c r="T1071" s="39" t="str">
        <f>IF($C1071="","",IF(COUNTIF($C$2:$C1071,$C1071)=1,1,0))</f>
        <v/>
      </c>
      <c r="U1071" s="39" t="str">
        <f>IF($T1071=1,COUNTIF($T$2:$T1071,1),"")</f>
        <v/>
      </c>
      <c r="V1071" s="39" t="str">
        <f>IF($B1071="","",IF(COUNTIF($B$2:$B1071,$B1071)=1,1,0))</f>
        <v/>
      </c>
      <c r="W1071" s="39" t="str">
        <f>IF($V1071=1,COUNTIF($V$2:$V1071,1),"")</f>
        <v/>
      </c>
      <c r="X1071" s="39" t="str">
        <f>IF($A1071="","",IF(COUNTIF($A$2:$A1071,$A1071)=1,1,0))</f>
        <v/>
      </c>
      <c r="Y1071" s="39" t="str">
        <f>IF($X1071=1,COUNTIF($X$2:$X1071,1),"")</f>
        <v/>
      </c>
      <c r="Z1071" s="39">
        <f>IF(AND($E1071="timed",$N1071&gt;Settings!$C$8),1,0)</f>
        <v>0</v>
      </c>
      <c r="AA1071" s="39">
        <f t="shared" si="292"/>
        <v>0</v>
      </c>
      <c r="AB1071" s="39">
        <f t="shared" si="293"/>
        <v>0</v>
      </c>
      <c r="AC1071" s="39" t="str">
        <f t="shared" si="294"/>
        <v/>
      </c>
      <c r="AD1071" s="39" t="str">
        <f t="shared" si="295"/>
        <v/>
      </c>
      <c r="AE1071" s="39" t="str">
        <f t="shared" si="296"/>
        <v/>
      </c>
      <c r="AF1071" s="106" t="str">
        <f t="shared" si="297"/>
        <v/>
      </c>
      <c r="AG1071" s="39">
        <f t="shared" si="298"/>
        <v>0</v>
      </c>
      <c r="AH1071" s="39" t="str">
        <f t="shared" si="299"/>
        <v/>
      </c>
      <c r="AI1071" s="39">
        <f>IF(AND($E1071="timed",$N1071&gt;=Settings!$C$9),1,0)</f>
        <v>0</v>
      </c>
      <c r="AJ1071" s="39" t="str">
        <f>IF(OR($S1071="",Settings!$C$16=""),"",IF($S1071&lt;=Settings!$C$16,1,2))</f>
        <v/>
      </c>
      <c r="AK1071" s="39" t="str">
        <f>IF($C1071="","",IFERROR(IF(INDEX(Settings!$C$20:$C$59,MATCH($C1071,Settings!$B$20:$B$59,0))="",Settings!$C$10,INDEX(Settings!$C$20:$C$59,MATCH($C1071,Settings!$B$20:$B$59,0))),Settings!$C$10))</f>
        <v/>
      </c>
      <c r="AL1071" s="108">
        <f t="shared" si="300"/>
        <v>0</v>
      </c>
      <c r="AM1071" s="39" t="str">
        <f t="shared" si="301"/>
        <v/>
      </c>
      <c r="AN1071" s="39" t="str">
        <f t="shared" si="302"/>
        <v/>
      </c>
      <c r="AO1071" s="39" t="str">
        <f t="shared" si="303"/>
        <v/>
      </c>
      <c r="AP1071" s="39">
        <f t="shared" si="304"/>
        <v>0</v>
      </c>
      <c r="AQ1071" s="39">
        <f t="shared" si="305"/>
        <v>0</v>
      </c>
    </row>
    <row r="1072" spans="14:43" x14ac:dyDescent="0.25">
      <c r="N1072" s="105">
        <f t="shared" si="288"/>
        <v>0</v>
      </c>
      <c r="O1072" s="106" t="str">
        <f>IF($F1072="","",IF(ISNUMBER($F1072),$F1072+Settings!$C$7/24,IFERROR(DATEVALUE(LEFT($F1072,10))+TIMEVALUE(MID($F1072,12,8))+Settings!$C$7/24,"")))</f>
        <v/>
      </c>
      <c r="P1072" s="106" t="str">
        <f>IF($G1072="","",IF(ISNUMBER($G1072),$G1072+Settings!$C$7/24,IFERROR(DATEVALUE(LEFT($G1072,10))+TIMEVALUE(MID($G1072,12,8))+Settings!$C$7/24,"")))</f>
        <v/>
      </c>
      <c r="Q1072" s="39" t="str">
        <f t="shared" si="289"/>
        <v/>
      </c>
      <c r="R1072" s="39" t="str">
        <f t="shared" si="290"/>
        <v/>
      </c>
      <c r="S1072" s="107" t="str">
        <f t="shared" si="291"/>
        <v/>
      </c>
      <c r="T1072" s="39" t="str">
        <f>IF($C1072="","",IF(COUNTIF($C$2:$C1072,$C1072)=1,1,0))</f>
        <v/>
      </c>
      <c r="U1072" s="39" t="str">
        <f>IF($T1072=1,COUNTIF($T$2:$T1072,1),"")</f>
        <v/>
      </c>
      <c r="V1072" s="39" t="str">
        <f>IF($B1072="","",IF(COUNTIF($B$2:$B1072,$B1072)=1,1,0))</f>
        <v/>
      </c>
      <c r="W1072" s="39" t="str">
        <f>IF($V1072=1,COUNTIF($V$2:$V1072,1),"")</f>
        <v/>
      </c>
      <c r="X1072" s="39" t="str">
        <f>IF($A1072="","",IF(COUNTIF($A$2:$A1072,$A1072)=1,1,0))</f>
        <v/>
      </c>
      <c r="Y1072" s="39" t="str">
        <f>IF($X1072=1,COUNTIF($X$2:$X1072,1),"")</f>
        <v/>
      </c>
      <c r="Z1072" s="39">
        <f>IF(AND($E1072="timed",$N1072&gt;Settings!$C$8),1,0)</f>
        <v>0</v>
      </c>
      <c r="AA1072" s="39">
        <f t="shared" si="292"/>
        <v>0</v>
      </c>
      <c r="AB1072" s="39">
        <f t="shared" si="293"/>
        <v>0</v>
      </c>
      <c r="AC1072" s="39" t="str">
        <f t="shared" si="294"/>
        <v/>
      </c>
      <c r="AD1072" s="39" t="str">
        <f t="shared" si="295"/>
        <v/>
      </c>
      <c r="AE1072" s="39" t="str">
        <f t="shared" si="296"/>
        <v/>
      </c>
      <c r="AF1072" s="106" t="str">
        <f t="shared" si="297"/>
        <v/>
      </c>
      <c r="AG1072" s="39">
        <f t="shared" si="298"/>
        <v>0</v>
      </c>
      <c r="AH1072" s="39" t="str">
        <f t="shared" si="299"/>
        <v/>
      </c>
      <c r="AI1072" s="39">
        <f>IF(AND($E1072="timed",$N1072&gt;=Settings!$C$9),1,0)</f>
        <v>0</v>
      </c>
      <c r="AJ1072" s="39" t="str">
        <f>IF(OR($S1072="",Settings!$C$16=""),"",IF($S1072&lt;=Settings!$C$16,1,2))</f>
        <v/>
      </c>
      <c r="AK1072" s="39" t="str">
        <f>IF($C1072="","",IFERROR(IF(INDEX(Settings!$C$20:$C$59,MATCH($C1072,Settings!$B$20:$B$59,0))="",Settings!$C$10,INDEX(Settings!$C$20:$C$59,MATCH($C1072,Settings!$B$20:$B$59,0))),Settings!$C$10))</f>
        <v/>
      </c>
      <c r="AL1072" s="108">
        <f t="shared" si="300"/>
        <v>0</v>
      </c>
      <c r="AM1072" s="39" t="str">
        <f t="shared" si="301"/>
        <v/>
      </c>
      <c r="AN1072" s="39" t="str">
        <f t="shared" si="302"/>
        <v/>
      </c>
      <c r="AO1072" s="39" t="str">
        <f t="shared" si="303"/>
        <v/>
      </c>
      <c r="AP1072" s="39">
        <f t="shared" si="304"/>
        <v>0</v>
      </c>
      <c r="AQ1072" s="39">
        <f t="shared" si="305"/>
        <v>0</v>
      </c>
    </row>
    <row r="1073" spans="14:43" x14ac:dyDescent="0.25">
      <c r="N1073" s="105">
        <f t="shared" si="288"/>
        <v>0</v>
      </c>
      <c r="O1073" s="106" t="str">
        <f>IF($F1073="","",IF(ISNUMBER($F1073),$F1073+Settings!$C$7/24,IFERROR(DATEVALUE(LEFT($F1073,10))+TIMEVALUE(MID($F1073,12,8))+Settings!$C$7/24,"")))</f>
        <v/>
      </c>
      <c r="P1073" s="106" t="str">
        <f>IF($G1073="","",IF(ISNUMBER($G1073),$G1073+Settings!$C$7/24,IFERROR(DATEVALUE(LEFT($G1073,10))+TIMEVALUE(MID($G1073,12,8))+Settings!$C$7/24,"")))</f>
        <v/>
      </c>
      <c r="Q1073" s="39" t="str">
        <f t="shared" si="289"/>
        <v/>
      </c>
      <c r="R1073" s="39" t="str">
        <f t="shared" si="290"/>
        <v/>
      </c>
      <c r="S1073" s="107" t="str">
        <f t="shared" si="291"/>
        <v/>
      </c>
      <c r="T1073" s="39" t="str">
        <f>IF($C1073="","",IF(COUNTIF($C$2:$C1073,$C1073)=1,1,0))</f>
        <v/>
      </c>
      <c r="U1073" s="39" t="str">
        <f>IF($T1073=1,COUNTIF($T$2:$T1073,1),"")</f>
        <v/>
      </c>
      <c r="V1073" s="39" t="str">
        <f>IF($B1073="","",IF(COUNTIF($B$2:$B1073,$B1073)=1,1,0))</f>
        <v/>
      </c>
      <c r="W1073" s="39" t="str">
        <f>IF($V1073=1,COUNTIF($V$2:$V1073,1),"")</f>
        <v/>
      </c>
      <c r="X1073" s="39" t="str">
        <f>IF($A1073="","",IF(COUNTIF($A$2:$A1073,$A1073)=1,1,0))</f>
        <v/>
      </c>
      <c r="Y1073" s="39" t="str">
        <f>IF($X1073=1,COUNTIF($X$2:$X1073,1),"")</f>
        <v/>
      </c>
      <c r="Z1073" s="39">
        <f>IF(AND($E1073="timed",$N1073&gt;Settings!$C$8),1,0)</f>
        <v>0</v>
      </c>
      <c r="AA1073" s="39">
        <f t="shared" si="292"/>
        <v>0</v>
      </c>
      <c r="AB1073" s="39">
        <f t="shared" si="293"/>
        <v>0</v>
      </c>
      <c r="AC1073" s="39" t="str">
        <f t="shared" si="294"/>
        <v/>
      </c>
      <c r="AD1073" s="39" t="str">
        <f t="shared" si="295"/>
        <v/>
      </c>
      <c r="AE1073" s="39" t="str">
        <f t="shared" si="296"/>
        <v/>
      </c>
      <c r="AF1073" s="106" t="str">
        <f t="shared" si="297"/>
        <v/>
      </c>
      <c r="AG1073" s="39">
        <f t="shared" si="298"/>
        <v>0</v>
      </c>
      <c r="AH1073" s="39" t="str">
        <f t="shared" si="299"/>
        <v/>
      </c>
      <c r="AI1073" s="39">
        <f>IF(AND($E1073="timed",$N1073&gt;=Settings!$C$9),1,0)</f>
        <v>0</v>
      </c>
      <c r="AJ1073" s="39" t="str">
        <f>IF(OR($S1073="",Settings!$C$16=""),"",IF($S1073&lt;=Settings!$C$16,1,2))</f>
        <v/>
      </c>
      <c r="AK1073" s="39" t="str">
        <f>IF($C1073="","",IFERROR(IF(INDEX(Settings!$C$20:$C$59,MATCH($C1073,Settings!$B$20:$B$59,0))="",Settings!$C$10,INDEX(Settings!$C$20:$C$59,MATCH($C1073,Settings!$B$20:$B$59,0))),Settings!$C$10))</f>
        <v/>
      </c>
      <c r="AL1073" s="108">
        <f t="shared" si="300"/>
        <v>0</v>
      </c>
      <c r="AM1073" s="39" t="str">
        <f t="shared" si="301"/>
        <v/>
      </c>
      <c r="AN1073" s="39" t="str">
        <f t="shared" si="302"/>
        <v/>
      </c>
      <c r="AO1073" s="39" t="str">
        <f t="shared" si="303"/>
        <v/>
      </c>
      <c r="AP1073" s="39">
        <f t="shared" si="304"/>
        <v>0</v>
      </c>
      <c r="AQ1073" s="39">
        <f t="shared" si="305"/>
        <v>0</v>
      </c>
    </row>
    <row r="1074" spans="14:43" x14ac:dyDescent="0.25">
      <c r="N1074" s="105">
        <f t="shared" si="288"/>
        <v>0</v>
      </c>
      <c r="O1074" s="106" t="str">
        <f>IF($F1074="","",IF(ISNUMBER($F1074),$F1074+Settings!$C$7/24,IFERROR(DATEVALUE(LEFT($F1074,10))+TIMEVALUE(MID($F1074,12,8))+Settings!$C$7/24,"")))</f>
        <v/>
      </c>
      <c r="P1074" s="106" t="str">
        <f>IF($G1074="","",IF(ISNUMBER($G1074),$G1074+Settings!$C$7/24,IFERROR(DATEVALUE(LEFT($G1074,10))+TIMEVALUE(MID($G1074,12,8))+Settings!$C$7/24,"")))</f>
        <v/>
      </c>
      <c r="Q1074" s="39" t="str">
        <f t="shared" si="289"/>
        <v/>
      </c>
      <c r="R1074" s="39" t="str">
        <f t="shared" si="290"/>
        <v/>
      </c>
      <c r="S1074" s="107" t="str">
        <f t="shared" si="291"/>
        <v/>
      </c>
      <c r="T1074" s="39" t="str">
        <f>IF($C1074="","",IF(COUNTIF($C$2:$C1074,$C1074)=1,1,0))</f>
        <v/>
      </c>
      <c r="U1074" s="39" t="str">
        <f>IF($T1074=1,COUNTIF($T$2:$T1074,1),"")</f>
        <v/>
      </c>
      <c r="V1074" s="39" t="str">
        <f>IF($B1074="","",IF(COUNTIF($B$2:$B1074,$B1074)=1,1,0))</f>
        <v/>
      </c>
      <c r="W1074" s="39" t="str">
        <f>IF($V1074=1,COUNTIF($V$2:$V1074,1),"")</f>
        <v/>
      </c>
      <c r="X1074" s="39" t="str">
        <f>IF($A1074="","",IF(COUNTIF($A$2:$A1074,$A1074)=1,1,0))</f>
        <v/>
      </c>
      <c r="Y1074" s="39" t="str">
        <f>IF($X1074=1,COUNTIF($X$2:$X1074,1),"")</f>
        <v/>
      </c>
      <c r="Z1074" s="39">
        <f>IF(AND($E1074="timed",$N1074&gt;Settings!$C$8),1,0)</f>
        <v>0</v>
      </c>
      <c r="AA1074" s="39">
        <f t="shared" si="292"/>
        <v>0</v>
      </c>
      <c r="AB1074" s="39">
        <f t="shared" si="293"/>
        <v>0</v>
      </c>
      <c r="AC1074" s="39" t="str">
        <f t="shared" si="294"/>
        <v/>
      </c>
      <c r="AD1074" s="39" t="str">
        <f t="shared" si="295"/>
        <v/>
      </c>
      <c r="AE1074" s="39" t="str">
        <f t="shared" si="296"/>
        <v/>
      </c>
      <c r="AF1074" s="106" t="str">
        <f t="shared" si="297"/>
        <v/>
      </c>
      <c r="AG1074" s="39">
        <f t="shared" si="298"/>
        <v>0</v>
      </c>
      <c r="AH1074" s="39" t="str">
        <f t="shared" si="299"/>
        <v/>
      </c>
      <c r="AI1074" s="39">
        <f>IF(AND($E1074="timed",$N1074&gt;=Settings!$C$9),1,0)</f>
        <v>0</v>
      </c>
      <c r="AJ1074" s="39" t="str">
        <f>IF(OR($S1074="",Settings!$C$16=""),"",IF($S1074&lt;=Settings!$C$16,1,2))</f>
        <v/>
      </c>
      <c r="AK1074" s="39" t="str">
        <f>IF($C1074="","",IFERROR(IF(INDEX(Settings!$C$20:$C$59,MATCH($C1074,Settings!$B$20:$B$59,0))="",Settings!$C$10,INDEX(Settings!$C$20:$C$59,MATCH($C1074,Settings!$B$20:$B$59,0))),Settings!$C$10))</f>
        <v/>
      </c>
      <c r="AL1074" s="108">
        <f t="shared" si="300"/>
        <v>0</v>
      </c>
      <c r="AM1074" s="39" t="str">
        <f t="shared" si="301"/>
        <v/>
      </c>
      <c r="AN1074" s="39" t="str">
        <f t="shared" si="302"/>
        <v/>
      </c>
      <c r="AO1074" s="39" t="str">
        <f t="shared" si="303"/>
        <v/>
      </c>
      <c r="AP1074" s="39">
        <f t="shared" si="304"/>
        <v>0</v>
      </c>
      <c r="AQ1074" s="39">
        <f t="shared" si="305"/>
        <v>0</v>
      </c>
    </row>
    <row r="1075" spans="14:43" x14ac:dyDescent="0.25">
      <c r="N1075" s="105">
        <f t="shared" si="288"/>
        <v>0</v>
      </c>
      <c r="O1075" s="106" t="str">
        <f>IF($F1075="","",IF(ISNUMBER($F1075),$F1075+Settings!$C$7/24,IFERROR(DATEVALUE(LEFT($F1075,10))+TIMEVALUE(MID($F1075,12,8))+Settings!$C$7/24,"")))</f>
        <v/>
      </c>
      <c r="P1075" s="106" t="str">
        <f>IF($G1075="","",IF(ISNUMBER($G1075),$G1075+Settings!$C$7/24,IFERROR(DATEVALUE(LEFT($G1075,10))+TIMEVALUE(MID($G1075,12,8))+Settings!$C$7/24,"")))</f>
        <v/>
      </c>
      <c r="Q1075" s="39" t="str">
        <f t="shared" si="289"/>
        <v/>
      </c>
      <c r="R1075" s="39" t="str">
        <f t="shared" si="290"/>
        <v/>
      </c>
      <c r="S1075" s="107" t="str">
        <f t="shared" si="291"/>
        <v/>
      </c>
      <c r="T1075" s="39" t="str">
        <f>IF($C1075="","",IF(COUNTIF($C$2:$C1075,$C1075)=1,1,0))</f>
        <v/>
      </c>
      <c r="U1075" s="39" t="str">
        <f>IF($T1075=1,COUNTIF($T$2:$T1075,1),"")</f>
        <v/>
      </c>
      <c r="V1075" s="39" t="str">
        <f>IF($B1075="","",IF(COUNTIF($B$2:$B1075,$B1075)=1,1,0))</f>
        <v/>
      </c>
      <c r="W1075" s="39" t="str">
        <f>IF($V1075=1,COUNTIF($V$2:$V1075,1),"")</f>
        <v/>
      </c>
      <c r="X1075" s="39" t="str">
        <f>IF($A1075="","",IF(COUNTIF($A$2:$A1075,$A1075)=1,1,0))</f>
        <v/>
      </c>
      <c r="Y1075" s="39" t="str">
        <f>IF($X1075=1,COUNTIF($X$2:$X1075,1),"")</f>
        <v/>
      </c>
      <c r="Z1075" s="39">
        <f>IF(AND($E1075="timed",$N1075&gt;Settings!$C$8),1,0)</f>
        <v>0</v>
      </c>
      <c r="AA1075" s="39">
        <f t="shared" si="292"/>
        <v>0</v>
      </c>
      <c r="AB1075" s="39">
        <f t="shared" si="293"/>
        <v>0</v>
      </c>
      <c r="AC1075" s="39" t="str">
        <f t="shared" si="294"/>
        <v/>
      </c>
      <c r="AD1075" s="39" t="str">
        <f t="shared" si="295"/>
        <v/>
      </c>
      <c r="AE1075" s="39" t="str">
        <f t="shared" si="296"/>
        <v/>
      </c>
      <c r="AF1075" s="106" t="str">
        <f t="shared" si="297"/>
        <v/>
      </c>
      <c r="AG1075" s="39">
        <f t="shared" si="298"/>
        <v>0</v>
      </c>
      <c r="AH1075" s="39" t="str">
        <f t="shared" si="299"/>
        <v/>
      </c>
      <c r="AI1075" s="39">
        <f>IF(AND($E1075="timed",$N1075&gt;=Settings!$C$9),1,0)</f>
        <v>0</v>
      </c>
      <c r="AJ1075" s="39" t="str">
        <f>IF(OR($S1075="",Settings!$C$16=""),"",IF($S1075&lt;=Settings!$C$16,1,2))</f>
        <v/>
      </c>
      <c r="AK1075" s="39" t="str">
        <f>IF($C1075="","",IFERROR(IF(INDEX(Settings!$C$20:$C$59,MATCH($C1075,Settings!$B$20:$B$59,0))="",Settings!$C$10,INDEX(Settings!$C$20:$C$59,MATCH($C1075,Settings!$B$20:$B$59,0))),Settings!$C$10))</f>
        <v/>
      </c>
      <c r="AL1075" s="108">
        <f t="shared" si="300"/>
        <v>0</v>
      </c>
      <c r="AM1075" s="39" t="str">
        <f t="shared" si="301"/>
        <v/>
      </c>
      <c r="AN1075" s="39" t="str">
        <f t="shared" si="302"/>
        <v/>
      </c>
      <c r="AO1075" s="39" t="str">
        <f t="shared" si="303"/>
        <v/>
      </c>
      <c r="AP1075" s="39">
        <f t="shared" si="304"/>
        <v>0</v>
      </c>
      <c r="AQ1075" s="39">
        <f t="shared" si="305"/>
        <v>0</v>
      </c>
    </row>
    <row r="1076" spans="14:43" x14ac:dyDescent="0.25">
      <c r="N1076" s="105">
        <f t="shared" si="288"/>
        <v>0</v>
      </c>
      <c r="O1076" s="106" t="str">
        <f>IF($F1076="","",IF(ISNUMBER($F1076),$F1076+Settings!$C$7/24,IFERROR(DATEVALUE(LEFT($F1076,10))+TIMEVALUE(MID($F1076,12,8))+Settings!$C$7/24,"")))</f>
        <v/>
      </c>
      <c r="P1076" s="106" t="str">
        <f>IF($G1076="","",IF(ISNUMBER($G1076),$G1076+Settings!$C$7/24,IFERROR(DATEVALUE(LEFT($G1076,10))+TIMEVALUE(MID($G1076,12,8))+Settings!$C$7/24,"")))</f>
        <v/>
      </c>
      <c r="Q1076" s="39" t="str">
        <f t="shared" si="289"/>
        <v/>
      </c>
      <c r="R1076" s="39" t="str">
        <f t="shared" si="290"/>
        <v/>
      </c>
      <c r="S1076" s="107" t="str">
        <f t="shared" si="291"/>
        <v/>
      </c>
      <c r="T1076" s="39" t="str">
        <f>IF($C1076="","",IF(COUNTIF($C$2:$C1076,$C1076)=1,1,0))</f>
        <v/>
      </c>
      <c r="U1076" s="39" t="str">
        <f>IF($T1076=1,COUNTIF($T$2:$T1076,1),"")</f>
        <v/>
      </c>
      <c r="V1076" s="39" t="str">
        <f>IF($B1076="","",IF(COUNTIF($B$2:$B1076,$B1076)=1,1,0))</f>
        <v/>
      </c>
      <c r="W1076" s="39" t="str">
        <f>IF($V1076=1,COUNTIF($V$2:$V1076,1),"")</f>
        <v/>
      </c>
      <c r="X1076" s="39" t="str">
        <f>IF($A1076="","",IF(COUNTIF($A$2:$A1076,$A1076)=1,1,0))</f>
        <v/>
      </c>
      <c r="Y1076" s="39" t="str">
        <f>IF($X1076=1,COUNTIF($X$2:$X1076,1),"")</f>
        <v/>
      </c>
      <c r="Z1076" s="39">
        <f>IF(AND($E1076="timed",$N1076&gt;Settings!$C$8),1,0)</f>
        <v>0</v>
      </c>
      <c r="AA1076" s="39">
        <f t="shared" si="292"/>
        <v>0</v>
      </c>
      <c r="AB1076" s="39">
        <f t="shared" si="293"/>
        <v>0</v>
      </c>
      <c r="AC1076" s="39" t="str">
        <f t="shared" si="294"/>
        <v/>
      </c>
      <c r="AD1076" s="39" t="str">
        <f t="shared" si="295"/>
        <v/>
      </c>
      <c r="AE1076" s="39" t="str">
        <f t="shared" si="296"/>
        <v/>
      </c>
      <c r="AF1076" s="106" t="str">
        <f t="shared" si="297"/>
        <v/>
      </c>
      <c r="AG1076" s="39">
        <f t="shared" si="298"/>
        <v>0</v>
      </c>
      <c r="AH1076" s="39" t="str">
        <f t="shared" si="299"/>
        <v/>
      </c>
      <c r="AI1076" s="39">
        <f>IF(AND($E1076="timed",$N1076&gt;=Settings!$C$9),1,0)</f>
        <v>0</v>
      </c>
      <c r="AJ1076" s="39" t="str">
        <f>IF(OR($S1076="",Settings!$C$16=""),"",IF($S1076&lt;=Settings!$C$16,1,2))</f>
        <v/>
      </c>
      <c r="AK1076" s="39" t="str">
        <f>IF($C1076="","",IFERROR(IF(INDEX(Settings!$C$20:$C$59,MATCH($C1076,Settings!$B$20:$B$59,0))="",Settings!$C$10,INDEX(Settings!$C$20:$C$59,MATCH($C1076,Settings!$B$20:$B$59,0))),Settings!$C$10))</f>
        <v/>
      </c>
      <c r="AL1076" s="108">
        <f t="shared" si="300"/>
        <v>0</v>
      </c>
      <c r="AM1076" s="39" t="str">
        <f t="shared" si="301"/>
        <v/>
      </c>
      <c r="AN1076" s="39" t="str">
        <f t="shared" si="302"/>
        <v/>
      </c>
      <c r="AO1076" s="39" t="str">
        <f t="shared" si="303"/>
        <v/>
      </c>
      <c r="AP1076" s="39">
        <f t="shared" si="304"/>
        <v>0</v>
      </c>
      <c r="AQ1076" s="39">
        <f t="shared" si="305"/>
        <v>0</v>
      </c>
    </row>
    <row r="1077" spans="14:43" x14ac:dyDescent="0.25">
      <c r="N1077" s="105">
        <f t="shared" si="288"/>
        <v>0</v>
      </c>
      <c r="O1077" s="106" t="str">
        <f>IF($F1077="","",IF(ISNUMBER($F1077),$F1077+Settings!$C$7/24,IFERROR(DATEVALUE(LEFT($F1077,10))+TIMEVALUE(MID($F1077,12,8))+Settings!$C$7/24,"")))</f>
        <v/>
      </c>
      <c r="P1077" s="106" t="str">
        <f>IF($G1077="","",IF(ISNUMBER($G1077),$G1077+Settings!$C$7/24,IFERROR(DATEVALUE(LEFT($G1077,10))+TIMEVALUE(MID($G1077,12,8))+Settings!$C$7/24,"")))</f>
        <v/>
      </c>
      <c r="Q1077" s="39" t="str">
        <f t="shared" si="289"/>
        <v/>
      </c>
      <c r="R1077" s="39" t="str">
        <f t="shared" si="290"/>
        <v/>
      </c>
      <c r="S1077" s="107" t="str">
        <f t="shared" si="291"/>
        <v/>
      </c>
      <c r="T1077" s="39" t="str">
        <f>IF($C1077="","",IF(COUNTIF($C$2:$C1077,$C1077)=1,1,0))</f>
        <v/>
      </c>
      <c r="U1077" s="39" t="str">
        <f>IF($T1077=1,COUNTIF($T$2:$T1077,1),"")</f>
        <v/>
      </c>
      <c r="V1077" s="39" t="str">
        <f>IF($B1077="","",IF(COUNTIF($B$2:$B1077,$B1077)=1,1,0))</f>
        <v/>
      </c>
      <c r="W1077" s="39" t="str">
        <f>IF($V1077=1,COUNTIF($V$2:$V1077,1),"")</f>
        <v/>
      </c>
      <c r="X1077" s="39" t="str">
        <f>IF($A1077="","",IF(COUNTIF($A$2:$A1077,$A1077)=1,1,0))</f>
        <v/>
      </c>
      <c r="Y1077" s="39" t="str">
        <f>IF($X1077=1,COUNTIF($X$2:$X1077,1),"")</f>
        <v/>
      </c>
      <c r="Z1077" s="39">
        <f>IF(AND($E1077="timed",$N1077&gt;Settings!$C$8),1,0)</f>
        <v>0</v>
      </c>
      <c r="AA1077" s="39">
        <f t="shared" si="292"/>
        <v>0</v>
      </c>
      <c r="AB1077" s="39">
        <f t="shared" si="293"/>
        <v>0</v>
      </c>
      <c r="AC1077" s="39" t="str">
        <f t="shared" si="294"/>
        <v/>
      </c>
      <c r="AD1077" s="39" t="str">
        <f t="shared" si="295"/>
        <v/>
      </c>
      <c r="AE1077" s="39" t="str">
        <f t="shared" si="296"/>
        <v/>
      </c>
      <c r="AF1077" s="106" t="str">
        <f t="shared" si="297"/>
        <v/>
      </c>
      <c r="AG1077" s="39">
        <f t="shared" si="298"/>
        <v>0</v>
      </c>
      <c r="AH1077" s="39" t="str">
        <f t="shared" si="299"/>
        <v/>
      </c>
      <c r="AI1077" s="39">
        <f>IF(AND($E1077="timed",$N1077&gt;=Settings!$C$9),1,0)</f>
        <v>0</v>
      </c>
      <c r="AJ1077" s="39" t="str">
        <f>IF(OR($S1077="",Settings!$C$16=""),"",IF($S1077&lt;=Settings!$C$16,1,2))</f>
        <v/>
      </c>
      <c r="AK1077" s="39" t="str">
        <f>IF($C1077="","",IFERROR(IF(INDEX(Settings!$C$20:$C$59,MATCH($C1077,Settings!$B$20:$B$59,0))="",Settings!$C$10,INDEX(Settings!$C$20:$C$59,MATCH($C1077,Settings!$B$20:$B$59,0))),Settings!$C$10))</f>
        <v/>
      </c>
      <c r="AL1077" s="108">
        <f t="shared" si="300"/>
        <v>0</v>
      </c>
      <c r="AM1077" s="39" t="str">
        <f t="shared" si="301"/>
        <v/>
      </c>
      <c r="AN1077" s="39" t="str">
        <f t="shared" si="302"/>
        <v/>
      </c>
      <c r="AO1077" s="39" t="str">
        <f t="shared" si="303"/>
        <v/>
      </c>
      <c r="AP1077" s="39">
        <f t="shared" si="304"/>
        <v>0</v>
      </c>
      <c r="AQ1077" s="39">
        <f t="shared" si="305"/>
        <v>0</v>
      </c>
    </row>
    <row r="1078" spans="14:43" x14ac:dyDescent="0.25">
      <c r="N1078" s="105">
        <f t="shared" si="288"/>
        <v>0</v>
      </c>
      <c r="O1078" s="106" t="str">
        <f>IF($F1078="","",IF(ISNUMBER($F1078),$F1078+Settings!$C$7/24,IFERROR(DATEVALUE(LEFT($F1078,10))+TIMEVALUE(MID($F1078,12,8))+Settings!$C$7/24,"")))</f>
        <v/>
      </c>
      <c r="P1078" s="106" t="str">
        <f>IF($G1078="","",IF(ISNUMBER($G1078),$G1078+Settings!$C$7/24,IFERROR(DATEVALUE(LEFT($G1078,10))+TIMEVALUE(MID($G1078,12,8))+Settings!$C$7/24,"")))</f>
        <v/>
      </c>
      <c r="Q1078" s="39" t="str">
        <f t="shared" si="289"/>
        <v/>
      </c>
      <c r="R1078" s="39" t="str">
        <f t="shared" si="290"/>
        <v/>
      </c>
      <c r="S1078" s="107" t="str">
        <f t="shared" si="291"/>
        <v/>
      </c>
      <c r="T1078" s="39" t="str">
        <f>IF($C1078="","",IF(COUNTIF($C$2:$C1078,$C1078)=1,1,0))</f>
        <v/>
      </c>
      <c r="U1078" s="39" t="str">
        <f>IF($T1078=1,COUNTIF($T$2:$T1078,1),"")</f>
        <v/>
      </c>
      <c r="V1078" s="39" t="str">
        <f>IF($B1078="","",IF(COUNTIF($B$2:$B1078,$B1078)=1,1,0))</f>
        <v/>
      </c>
      <c r="W1078" s="39" t="str">
        <f>IF($V1078=1,COUNTIF($V$2:$V1078,1),"")</f>
        <v/>
      </c>
      <c r="X1078" s="39" t="str">
        <f>IF($A1078="","",IF(COUNTIF($A$2:$A1078,$A1078)=1,1,0))</f>
        <v/>
      </c>
      <c r="Y1078" s="39" t="str">
        <f>IF($X1078=1,COUNTIF($X$2:$X1078,1),"")</f>
        <v/>
      </c>
      <c r="Z1078" s="39">
        <f>IF(AND($E1078="timed",$N1078&gt;Settings!$C$8),1,0)</f>
        <v>0</v>
      </c>
      <c r="AA1078" s="39">
        <f t="shared" si="292"/>
        <v>0</v>
      </c>
      <c r="AB1078" s="39">
        <f t="shared" si="293"/>
        <v>0</v>
      </c>
      <c r="AC1078" s="39" t="str">
        <f t="shared" si="294"/>
        <v/>
      </c>
      <c r="AD1078" s="39" t="str">
        <f t="shared" si="295"/>
        <v/>
      </c>
      <c r="AE1078" s="39" t="str">
        <f t="shared" si="296"/>
        <v/>
      </c>
      <c r="AF1078" s="106" t="str">
        <f t="shared" si="297"/>
        <v/>
      </c>
      <c r="AG1078" s="39">
        <f t="shared" si="298"/>
        <v>0</v>
      </c>
      <c r="AH1078" s="39" t="str">
        <f t="shared" si="299"/>
        <v/>
      </c>
      <c r="AI1078" s="39">
        <f>IF(AND($E1078="timed",$N1078&gt;=Settings!$C$9),1,0)</f>
        <v>0</v>
      </c>
      <c r="AJ1078" s="39" t="str">
        <f>IF(OR($S1078="",Settings!$C$16=""),"",IF($S1078&lt;=Settings!$C$16,1,2))</f>
        <v/>
      </c>
      <c r="AK1078" s="39" t="str">
        <f>IF($C1078="","",IFERROR(IF(INDEX(Settings!$C$20:$C$59,MATCH($C1078,Settings!$B$20:$B$59,0))="",Settings!$C$10,INDEX(Settings!$C$20:$C$59,MATCH($C1078,Settings!$B$20:$B$59,0))),Settings!$C$10))</f>
        <v/>
      </c>
      <c r="AL1078" s="108">
        <f t="shared" si="300"/>
        <v>0</v>
      </c>
      <c r="AM1078" s="39" t="str">
        <f t="shared" si="301"/>
        <v/>
      </c>
      <c r="AN1078" s="39" t="str">
        <f t="shared" si="302"/>
        <v/>
      </c>
      <c r="AO1078" s="39" t="str">
        <f t="shared" si="303"/>
        <v/>
      </c>
      <c r="AP1078" s="39">
        <f t="shared" si="304"/>
        <v>0</v>
      </c>
      <c r="AQ1078" s="39">
        <f t="shared" si="305"/>
        <v>0</v>
      </c>
    </row>
    <row r="1079" spans="14:43" x14ac:dyDescent="0.25">
      <c r="N1079" s="105">
        <f t="shared" si="288"/>
        <v>0</v>
      </c>
      <c r="O1079" s="106" t="str">
        <f>IF($F1079="","",IF(ISNUMBER($F1079),$F1079+Settings!$C$7/24,IFERROR(DATEVALUE(LEFT($F1079,10))+TIMEVALUE(MID($F1079,12,8))+Settings!$C$7/24,"")))</f>
        <v/>
      </c>
      <c r="P1079" s="106" t="str">
        <f>IF($G1079="","",IF(ISNUMBER($G1079),$G1079+Settings!$C$7/24,IFERROR(DATEVALUE(LEFT($G1079,10))+TIMEVALUE(MID($G1079,12,8))+Settings!$C$7/24,"")))</f>
        <v/>
      </c>
      <c r="Q1079" s="39" t="str">
        <f t="shared" si="289"/>
        <v/>
      </c>
      <c r="R1079" s="39" t="str">
        <f t="shared" si="290"/>
        <v/>
      </c>
      <c r="S1079" s="107" t="str">
        <f t="shared" si="291"/>
        <v/>
      </c>
      <c r="T1079" s="39" t="str">
        <f>IF($C1079="","",IF(COUNTIF($C$2:$C1079,$C1079)=1,1,0))</f>
        <v/>
      </c>
      <c r="U1079" s="39" t="str">
        <f>IF($T1079=1,COUNTIF($T$2:$T1079,1),"")</f>
        <v/>
      </c>
      <c r="V1079" s="39" t="str">
        <f>IF($B1079="","",IF(COUNTIF($B$2:$B1079,$B1079)=1,1,0))</f>
        <v/>
      </c>
      <c r="W1079" s="39" t="str">
        <f>IF($V1079=1,COUNTIF($V$2:$V1079,1),"")</f>
        <v/>
      </c>
      <c r="X1079" s="39" t="str">
        <f>IF($A1079="","",IF(COUNTIF($A$2:$A1079,$A1079)=1,1,0))</f>
        <v/>
      </c>
      <c r="Y1079" s="39" t="str">
        <f>IF($X1079=1,COUNTIF($X$2:$X1079,1),"")</f>
        <v/>
      </c>
      <c r="Z1079" s="39">
        <f>IF(AND($E1079="timed",$N1079&gt;Settings!$C$8),1,0)</f>
        <v>0</v>
      </c>
      <c r="AA1079" s="39">
        <f t="shared" si="292"/>
        <v>0</v>
      </c>
      <c r="AB1079" s="39">
        <f t="shared" si="293"/>
        <v>0</v>
      </c>
      <c r="AC1079" s="39" t="str">
        <f t="shared" si="294"/>
        <v/>
      </c>
      <c r="AD1079" s="39" t="str">
        <f t="shared" si="295"/>
        <v/>
      </c>
      <c r="AE1079" s="39" t="str">
        <f t="shared" si="296"/>
        <v/>
      </c>
      <c r="AF1079" s="106" t="str">
        <f t="shared" si="297"/>
        <v/>
      </c>
      <c r="AG1079" s="39">
        <f t="shared" si="298"/>
        <v>0</v>
      </c>
      <c r="AH1079" s="39" t="str">
        <f t="shared" si="299"/>
        <v/>
      </c>
      <c r="AI1079" s="39">
        <f>IF(AND($E1079="timed",$N1079&gt;=Settings!$C$9),1,0)</f>
        <v>0</v>
      </c>
      <c r="AJ1079" s="39" t="str">
        <f>IF(OR($S1079="",Settings!$C$16=""),"",IF($S1079&lt;=Settings!$C$16,1,2))</f>
        <v/>
      </c>
      <c r="AK1079" s="39" t="str">
        <f>IF($C1079="","",IFERROR(IF(INDEX(Settings!$C$20:$C$59,MATCH($C1079,Settings!$B$20:$B$59,0))="",Settings!$C$10,INDEX(Settings!$C$20:$C$59,MATCH($C1079,Settings!$B$20:$B$59,0))),Settings!$C$10))</f>
        <v/>
      </c>
      <c r="AL1079" s="108">
        <f t="shared" si="300"/>
        <v>0</v>
      </c>
      <c r="AM1079" s="39" t="str">
        <f t="shared" si="301"/>
        <v/>
      </c>
      <c r="AN1079" s="39" t="str">
        <f t="shared" si="302"/>
        <v/>
      </c>
      <c r="AO1079" s="39" t="str">
        <f t="shared" si="303"/>
        <v/>
      </c>
      <c r="AP1079" s="39">
        <f t="shared" si="304"/>
        <v>0</v>
      </c>
      <c r="AQ1079" s="39">
        <f t="shared" si="305"/>
        <v>0</v>
      </c>
    </row>
    <row r="1080" spans="14:43" x14ac:dyDescent="0.25">
      <c r="N1080" s="105">
        <f t="shared" si="288"/>
        <v>0</v>
      </c>
      <c r="O1080" s="106" t="str">
        <f>IF($F1080="","",IF(ISNUMBER($F1080),$F1080+Settings!$C$7/24,IFERROR(DATEVALUE(LEFT($F1080,10))+TIMEVALUE(MID($F1080,12,8))+Settings!$C$7/24,"")))</f>
        <v/>
      </c>
      <c r="P1080" s="106" t="str">
        <f>IF($G1080="","",IF(ISNUMBER($G1080),$G1080+Settings!$C$7/24,IFERROR(DATEVALUE(LEFT($G1080,10))+TIMEVALUE(MID($G1080,12,8))+Settings!$C$7/24,"")))</f>
        <v/>
      </c>
      <c r="Q1080" s="39" t="str">
        <f t="shared" si="289"/>
        <v/>
      </c>
      <c r="R1080" s="39" t="str">
        <f t="shared" si="290"/>
        <v/>
      </c>
      <c r="S1080" s="107" t="str">
        <f t="shared" si="291"/>
        <v/>
      </c>
      <c r="T1080" s="39" t="str">
        <f>IF($C1080="","",IF(COUNTIF($C$2:$C1080,$C1080)=1,1,0))</f>
        <v/>
      </c>
      <c r="U1080" s="39" t="str">
        <f>IF($T1080=1,COUNTIF($T$2:$T1080,1),"")</f>
        <v/>
      </c>
      <c r="V1080" s="39" t="str">
        <f>IF($B1080="","",IF(COUNTIF($B$2:$B1080,$B1080)=1,1,0))</f>
        <v/>
      </c>
      <c r="W1080" s="39" t="str">
        <f>IF($V1080=1,COUNTIF($V$2:$V1080,1),"")</f>
        <v/>
      </c>
      <c r="X1080" s="39" t="str">
        <f>IF($A1080="","",IF(COUNTIF($A$2:$A1080,$A1080)=1,1,0))</f>
        <v/>
      </c>
      <c r="Y1080" s="39" t="str">
        <f>IF($X1080=1,COUNTIF($X$2:$X1080,1),"")</f>
        <v/>
      </c>
      <c r="Z1080" s="39">
        <f>IF(AND($E1080="timed",$N1080&gt;Settings!$C$8),1,0)</f>
        <v>0</v>
      </c>
      <c r="AA1080" s="39">
        <f t="shared" si="292"/>
        <v>0</v>
      </c>
      <c r="AB1080" s="39">
        <f t="shared" si="293"/>
        <v>0</v>
      </c>
      <c r="AC1080" s="39" t="str">
        <f t="shared" si="294"/>
        <v/>
      </c>
      <c r="AD1080" s="39" t="str">
        <f t="shared" si="295"/>
        <v/>
      </c>
      <c r="AE1080" s="39" t="str">
        <f t="shared" si="296"/>
        <v/>
      </c>
      <c r="AF1080" s="106" t="str">
        <f t="shared" si="297"/>
        <v/>
      </c>
      <c r="AG1080" s="39">
        <f t="shared" si="298"/>
        <v>0</v>
      </c>
      <c r="AH1080" s="39" t="str">
        <f t="shared" si="299"/>
        <v/>
      </c>
      <c r="AI1080" s="39">
        <f>IF(AND($E1080="timed",$N1080&gt;=Settings!$C$9),1,0)</f>
        <v>0</v>
      </c>
      <c r="AJ1080" s="39" t="str">
        <f>IF(OR($S1080="",Settings!$C$16=""),"",IF($S1080&lt;=Settings!$C$16,1,2))</f>
        <v/>
      </c>
      <c r="AK1080" s="39" t="str">
        <f>IF($C1080="","",IFERROR(IF(INDEX(Settings!$C$20:$C$59,MATCH($C1080,Settings!$B$20:$B$59,0))="",Settings!$C$10,INDEX(Settings!$C$20:$C$59,MATCH($C1080,Settings!$B$20:$B$59,0))),Settings!$C$10))</f>
        <v/>
      </c>
      <c r="AL1080" s="108">
        <f t="shared" si="300"/>
        <v>0</v>
      </c>
      <c r="AM1080" s="39" t="str">
        <f t="shared" si="301"/>
        <v/>
      </c>
      <c r="AN1080" s="39" t="str">
        <f t="shared" si="302"/>
        <v/>
      </c>
      <c r="AO1080" s="39" t="str">
        <f t="shared" si="303"/>
        <v/>
      </c>
      <c r="AP1080" s="39">
        <f t="shared" si="304"/>
        <v>0</v>
      </c>
      <c r="AQ1080" s="39">
        <f t="shared" si="305"/>
        <v>0</v>
      </c>
    </row>
    <row r="1081" spans="14:43" x14ac:dyDescent="0.25">
      <c r="N1081" s="105">
        <f t="shared" si="288"/>
        <v>0</v>
      </c>
      <c r="O1081" s="106" t="str">
        <f>IF($F1081="","",IF(ISNUMBER($F1081),$F1081+Settings!$C$7/24,IFERROR(DATEVALUE(LEFT($F1081,10))+TIMEVALUE(MID($F1081,12,8))+Settings!$C$7/24,"")))</f>
        <v/>
      </c>
      <c r="P1081" s="106" t="str">
        <f>IF($G1081="","",IF(ISNUMBER($G1081),$G1081+Settings!$C$7/24,IFERROR(DATEVALUE(LEFT($G1081,10))+TIMEVALUE(MID($G1081,12,8))+Settings!$C$7/24,"")))</f>
        <v/>
      </c>
      <c r="Q1081" s="39" t="str">
        <f t="shared" si="289"/>
        <v/>
      </c>
      <c r="R1081" s="39" t="str">
        <f t="shared" si="290"/>
        <v/>
      </c>
      <c r="S1081" s="107" t="str">
        <f t="shared" si="291"/>
        <v/>
      </c>
      <c r="T1081" s="39" t="str">
        <f>IF($C1081="","",IF(COUNTIF($C$2:$C1081,$C1081)=1,1,0))</f>
        <v/>
      </c>
      <c r="U1081" s="39" t="str">
        <f>IF($T1081=1,COUNTIF($T$2:$T1081,1),"")</f>
        <v/>
      </c>
      <c r="V1081" s="39" t="str">
        <f>IF($B1081="","",IF(COUNTIF($B$2:$B1081,$B1081)=1,1,0))</f>
        <v/>
      </c>
      <c r="W1081" s="39" t="str">
        <f>IF($V1081=1,COUNTIF($V$2:$V1081,1),"")</f>
        <v/>
      </c>
      <c r="X1081" s="39" t="str">
        <f>IF($A1081="","",IF(COUNTIF($A$2:$A1081,$A1081)=1,1,0))</f>
        <v/>
      </c>
      <c r="Y1081" s="39" t="str">
        <f>IF($X1081=1,COUNTIF($X$2:$X1081,1),"")</f>
        <v/>
      </c>
      <c r="Z1081" s="39">
        <f>IF(AND($E1081="timed",$N1081&gt;Settings!$C$8),1,0)</f>
        <v>0</v>
      </c>
      <c r="AA1081" s="39">
        <f t="shared" si="292"/>
        <v>0</v>
      </c>
      <c r="AB1081" s="39">
        <f t="shared" si="293"/>
        <v>0</v>
      </c>
      <c r="AC1081" s="39" t="str">
        <f t="shared" si="294"/>
        <v/>
      </c>
      <c r="AD1081" s="39" t="str">
        <f t="shared" si="295"/>
        <v/>
      </c>
      <c r="AE1081" s="39" t="str">
        <f t="shared" si="296"/>
        <v/>
      </c>
      <c r="AF1081" s="106" t="str">
        <f t="shared" si="297"/>
        <v/>
      </c>
      <c r="AG1081" s="39">
        <f t="shared" si="298"/>
        <v>0</v>
      </c>
      <c r="AH1081" s="39" t="str">
        <f t="shared" si="299"/>
        <v/>
      </c>
      <c r="AI1081" s="39">
        <f>IF(AND($E1081="timed",$N1081&gt;=Settings!$C$9),1,0)</f>
        <v>0</v>
      </c>
      <c r="AJ1081" s="39" t="str">
        <f>IF(OR($S1081="",Settings!$C$16=""),"",IF($S1081&lt;=Settings!$C$16,1,2))</f>
        <v/>
      </c>
      <c r="AK1081" s="39" t="str">
        <f>IF($C1081="","",IFERROR(IF(INDEX(Settings!$C$20:$C$59,MATCH($C1081,Settings!$B$20:$B$59,0))="",Settings!$C$10,INDEX(Settings!$C$20:$C$59,MATCH($C1081,Settings!$B$20:$B$59,0))),Settings!$C$10))</f>
        <v/>
      </c>
      <c r="AL1081" s="108">
        <f t="shared" si="300"/>
        <v>0</v>
      </c>
      <c r="AM1081" s="39" t="str">
        <f t="shared" si="301"/>
        <v/>
      </c>
      <c r="AN1081" s="39" t="str">
        <f t="shared" si="302"/>
        <v/>
      </c>
      <c r="AO1081" s="39" t="str">
        <f t="shared" si="303"/>
        <v/>
      </c>
      <c r="AP1081" s="39">
        <f t="shared" si="304"/>
        <v>0</v>
      </c>
      <c r="AQ1081" s="39">
        <f t="shared" si="305"/>
        <v>0</v>
      </c>
    </row>
    <row r="1082" spans="14:43" x14ac:dyDescent="0.25">
      <c r="N1082" s="105">
        <f t="shared" si="288"/>
        <v>0</v>
      </c>
      <c r="O1082" s="106" t="str">
        <f>IF($F1082="","",IF(ISNUMBER($F1082),$F1082+Settings!$C$7/24,IFERROR(DATEVALUE(LEFT($F1082,10))+TIMEVALUE(MID($F1082,12,8))+Settings!$C$7/24,"")))</f>
        <v/>
      </c>
      <c r="P1082" s="106" t="str">
        <f>IF($G1082="","",IF(ISNUMBER($G1082),$G1082+Settings!$C$7/24,IFERROR(DATEVALUE(LEFT($G1082,10))+TIMEVALUE(MID($G1082,12,8))+Settings!$C$7/24,"")))</f>
        <v/>
      </c>
      <c r="Q1082" s="39" t="str">
        <f t="shared" si="289"/>
        <v/>
      </c>
      <c r="R1082" s="39" t="str">
        <f t="shared" si="290"/>
        <v/>
      </c>
      <c r="S1082" s="107" t="str">
        <f t="shared" si="291"/>
        <v/>
      </c>
      <c r="T1082" s="39" t="str">
        <f>IF($C1082="","",IF(COUNTIF($C$2:$C1082,$C1082)=1,1,0))</f>
        <v/>
      </c>
      <c r="U1082" s="39" t="str">
        <f>IF($T1082=1,COUNTIF($T$2:$T1082,1),"")</f>
        <v/>
      </c>
      <c r="V1082" s="39" t="str">
        <f>IF($B1082="","",IF(COUNTIF($B$2:$B1082,$B1082)=1,1,0))</f>
        <v/>
      </c>
      <c r="W1082" s="39" t="str">
        <f>IF($V1082=1,COUNTIF($V$2:$V1082,1),"")</f>
        <v/>
      </c>
      <c r="X1082" s="39" t="str">
        <f>IF($A1082="","",IF(COUNTIF($A$2:$A1082,$A1082)=1,1,0))</f>
        <v/>
      </c>
      <c r="Y1082" s="39" t="str">
        <f>IF($X1082=1,COUNTIF($X$2:$X1082,1),"")</f>
        <v/>
      </c>
      <c r="Z1082" s="39">
        <f>IF(AND($E1082="timed",$N1082&gt;Settings!$C$8),1,0)</f>
        <v>0</v>
      </c>
      <c r="AA1082" s="39">
        <f t="shared" si="292"/>
        <v>0</v>
      </c>
      <c r="AB1082" s="39">
        <f t="shared" si="293"/>
        <v>0</v>
      </c>
      <c r="AC1082" s="39" t="str">
        <f t="shared" si="294"/>
        <v/>
      </c>
      <c r="AD1082" s="39" t="str">
        <f t="shared" si="295"/>
        <v/>
      </c>
      <c r="AE1082" s="39" t="str">
        <f t="shared" si="296"/>
        <v/>
      </c>
      <c r="AF1082" s="106" t="str">
        <f t="shared" si="297"/>
        <v/>
      </c>
      <c r="AG1082" s="39">
        <f t="shared" si="298"/>
        <v>0</v>
      </c>
      <c r="AH1082" s="39" t="str">
        <f t="shared" si="299"/>
        <v/>
      </c>
      <c r="AI1082" s="39">
        <f>IF(AND($E1082="timed",$N1082&gt;=Settings!$C$9),1,0)</f>
        <v>0</v>
      </c>
      <c r="AJ1082" s="39" t="str">
        <f>IF(OR($S1082="",Settings!$C$16=""),"",IF($S1082&lt;=Settings!$C$16,1,2))</f>
        <v/>
      </c>
      <c r="AK1082" s="39" t="str">
        <f>IF($C1082="","",IFERROR(IF(INDEX(Settings!$C$20:$C$59,MATCH($C1082,Settings!$B$20:$B$59,0))="",Settings!$C$10,INDEX(Settings!$C$20:$C$59,MATCH($C1082,Settings!$B$20:$B$59,0))),Settings!$C$10))</f>
        <v/>
      </c>
      <c r="AL1082" s="108">
        <f t="shared" si="300"/>
        <v>0</v>
      </c>
      <c r="AM1082" s="39" t="str">
        <f t="shared" si="301"/>
        <v/>
      </c>
      <c r="AN1082" s="39" t="str">
        <f t="shared" si="302"/>
        <v/>
      </c>
      <c r="AO1082" s="39" t="str">
        <f t="shared" si="303"/>
        <v/>
      </c>
      <c r="AP1082" s="39">
        <f t="shared" si="304"/>
        <v>0</v>
      </c>
      <c r="AQ1082" s="39">
        <f t="shared" si="305"/>
        <v>0</v>
      </c>
    </row>
    <row r="1083" spans="14:43" x14ac:dyDescent="0.25">
      <c r="N1083" s="105">
        <f t="shared" si="288"/>
        <v>0</v>
      </c>
      <c r="O1083" s="106" t="str">
        <f>IF($F1083="","",IF(ISNUMBER($F1083),$F1083+Settings!$C$7/24,IFERROR(DATEVALUE(LEFT($F1083,10))+TIMEVALUE(MID($F1083,12,8))+Settings!$C$7/24,"")))</f>
        <v/>
      </c>
      <c r="P1083" s="106" t="str">
        <f>IF($G1083="","",IF(ISNUMBER($G1083),$G1083+Settings!$C$7/24,IFERROR(DATEVALUE(LEFT($G1083,10))+TIMEVALUE(MID($G1083,12,8))+Settings!$C$7/24,"")))</f>
        <v/>
      </c>
      <c r="Q1083" s="39" t="str">
        <f t="shared" si="289"/>
        <v/>
      </c>
      <c r="R1083" s="39" t="str">
        <f t="shared" si="290"/>
        <v/>
      </c>
      <c r="S1083" s="107" t="str">
        <f t="shared" si="291"/>
        <v/>
      </c>
      <c r="T1083" s="39" t="str">
        <f>IF($C1083="","",IF(COUNTIF($C$2:$C1083,$C1083)=1,1,0))</f>
        <v/>
      </c>
      <c r="U1083" s="39" t="str">
        <f>IF($T1083=1,COUNTIF($T$2:$T1083,1),"")</f>
        <v/>
      </c>
      <c r="V1083" s="39" t="str">
        <f>IF($B1083="","",IF(COUNTIF($B$2:$B1083,$B1083)=1,1,0))</f>
        <v/>
      </c>
      <c r="W1083" s="39" t="str">
        <f>IF($V1083=1,COUNTIF($V$2:$V1083,1),"")</f>
        <v/>
      </c>
      <c r="X1083" s="39" t="str">
        <f>IF($A1083="","",IF(COUNTIF($A$2:$A1083,$A1083)=1,1,0))</f>
        <v/>
      </c>
      <c r="Y1083" s="39" t="str">
        <f>IF($X1083=1,COUNTIF($X$2:$X1083,1),"")</f>
        <v/>
      </c>
      <c r="Z1083" s="39">
        <f>IF(AND($E1083="timed",$N1083&gt;Settings!$C$8),1,0)</f>
        <v>0</v>
      </c>
      <c r="AA1083" s="39">
        <f t="shared" si="292"/>
        <v>0</v>
      </c>
      <c r="AB1083" s="39">
        <f t="shared" si="293"/>
        <v>0</v>
      </c>
      <c r="AC1083" s="39" t="str">
        <f t="shared" si="294"/>
        <v/>
      </c>
      <c r="AD1083" s="39" t="str">
        <f t="shared" si="295"/>
        <v/>
      </c>
      <c r="AE1083" s="39" t="str">
        <f t="shared" si="296"/>
        <v/>
      </c>
      <c r="AF1083" s="106" t="str">
        <f t="shared" si="297"/>
        <v/>
      </c>
      <c r="AG1083" s="39">
        <f t="shared" si="298"/>
        <v>0</v>
      </c>
      <c r="AH1083" s="39" t="str">
        <f t="shared" si="299"/>
        <v/>
      </c>
      <c r="AI1083" s="39">
        <f>IF(AND($E1083="timed",$N1083&gt;=Settings!$C$9),1,0)</f>
        <v>0</v>
      </c>
      <c r="AJ1083" s="39" t="str">
        <f>IF(OR($S1083="",Settings!$C$16=""),"",IF($S1083&lt;=Settings!$C$16,1,2))</f>
        <v/>
      </c>
      <c r="AK1083" s="39" t="str">
        <f>IF($C1083="","",IFERROR(IF(INDEX(Settings!$C$20:$C$59,MATCH($C1083,Settings!$B$20:$B$59,0))="",Settings!$C$10,INDEX(Settings!$C$20:$C$59,MATCH($C1083,Settings!$B$20:$B$59,0))),Settings!$C$10))</f>
        <v/>
      </c>
      <c r="AL1083" s="108">
        <f t="shared" si="300"/>
        <v>0</v>
      </c>
      <c r="AM1083" s="39" t="str">
        <f t="shared" si="301"/>
        <v/>
      </c>
      <c r="AN1083" s="39" t="str">
        <f t="shared" si="302"/>
        <v/>
      </c>
      <c r="AO1083" s="39" t="str">
        <f t="shared" si="303"/>
        <v/>
      </c>
      <c r="AP1083" s="39">
        <f t="shared" si="304"/>
        <v>0</v>
      </c>
      <c r="AQ1083" s="39">
        <f t="shared" si="305"/>
        <v>0</v>
      </c>
    </row>
    <row r="1084" spans="14:43" x14ac:dyDescent="0.25">
      <c r="N1084" s="105">
        <f t="shared" si="288"/>
        <v>0</v>
      </c>
      <c r="O1084" s="106" t="str">
        <f>IF($F1084="","",IF(ISNUMBER($F1084),$F1084+Settings!$C$7/24,IFERROR(DATEVALUE(LEFT($F1084,10))+TIMEVALUE(MID($F1084,12,8))+Settings!$C$7/24,"")))</f>
        <v/>
      </c>
      <c r="P1084" s="106" t="str">
        <f>IF($G1084="","",IF(ISNUMBER($G1084),$G1084+Settings!$C$7/24,IFERROR(DATEVALUE(LEFT($G1084,10))+TIMEVALUE(MID($G1084,12,8))+Settings!$C$7/24,"")))</f>
        <v/>
      </c>
      <c r="Q1084" s="39" t="str">
        <f t="shared" si="289"/>
        <v/>
      </c>
      <c r="R1084" s="39" t="str">
        <f t="shared" si="290"/>
        <v/>
      </c>
      <c r="S1084" s="107" t="str">
        <f t="shared" si="291"/>
        <v/>
      </c>
      <c r="T1084" s="39" t="str">
        <f>IF($C1084="","",IF(COUNTIF($C$2:$C1084,$C1084)=1,1,0))</f>
        <v/>
      </c>
      <c r="U1084" s="39" t="str">
        <f>IF($T1084=1,COUNTIF($T$2:$T1084,1),"")</f>
        <v/>
      </c>
      <c r="V1084" s="39" t="str">
        <f>IF($B1084="","",IF(COUNTIF($B$2:$B1084,$B1084)=1,1,0))</f>
        <v/>
      </c>
      <c r="W1084" s="39" t="str">
        <f>IF($V1084=1,COUNTIF($V$2:$V1084,1),"")</f>
        <v/>
      </c>
      <c r="X1084" s="39" t="str">
        <f>IF($A1084="","",IF(COUNTIF($A$2:$A1084,$A1084)=1,1,0))</f>
        <v/>
      </c>
      <c r="Y1084" s="39" t="str">
        <f>IF($X1084=1,COUNTIF($X$2:$X1084,1),"")</f>
        <v/>
      </c>
      <c r="Z1084" s="39">
        <f>IF(AND($E1084="timed",$N1084&gt;Settings!$C$8),1,0)</f>
        <v>0</v>
      </c>
      <c r="AA1084" s="39">
        <f t="shared" si="292"/>
        <v>0</v>
      </c>
      <c r="AB1084" s="39">
        <f t="shared" si="293"/>
        <v>0</v>
      </c>
      <c r="AC1084" s="39" t="str">
        <f t="shared" si="294"/>
        <v/>
      </c>
      <c r="AD1084" s="39" t="str">
        <f t="shared" si="295"/>
        <v/>
      </c>
      <c r="AE1084" s="39" t="str">
        <f t="shared" si="296"/>
        <v/>
      </c>
      <c r="AF1084" s="106" t="str">
        <f t="shared" si="297"/>
        <v/>
      </c>
      <c r="AG1084" s="39">
        <f t="shared" si="298"/>
        <v>0</v>
      </c>
      <c r="AH1084" s="39" t="str">
        <f t="shared" si="299"/>
        <v/>
      </c>
      <c r="AI1084" s="39">
        <f>IF(AND($E1084="timed",$N1084&gt;=Settings!$C$9),1,0)</f>
        <v>0</v>
      </c>
      <c r="AJ1084" s="39" t="str">
        <f>IF(OR($S1084="",Settings!$C$16=""),"",IF($S1084&lt;=Settings!$C$16,1,2))</f>
        <v/>
      </c>
      <c r="AK1084" s="39" t="str">
        <f>IF($C1084="","",IFERROR(IF(INDEX(Settings!$C$20:$C$59,MATCH($C1084,Settings!$B$20:$B$59,0))="",Settings!$C$10,INDEX(Settings!$C$20:$C$59,MATCH($C1084,Settings!$B$20:$B$59,0))),Settings!$C$10))</f>
        <v/>
      </c>
      <c r="AL1084" s="108">
        <f t="shared" si="300"/>
        <v>0</v>
      </c>
      <c r="AM1084" s="39" t="str">
        <f t="shared" si="301"/>
        <v/>
      </c>
      <c r="AN1084" s="39" t="str">
        <f t="shared" si="302"/>
        <v/>
      </c>
      <c r="AO1084" s="39" t="str">
        <f t="shared" si="303"/>
        <v/>
      </c>
      <c r="AP1084" s="39">
        <f t="shared" si="304"/>
        <v>0</v>
      </c>
      <c r="AQ1084" s="39">
        <f t="shared" si="305"/>
        <v>0</v>
      </c>
    </row>
    <row r="1085" spans="14:43" x14ac:dyDescent="0.25">
      <c r="N1085" s="105">
        <f t="shared" si="288"/>
        <v>0</v>
      </c>
      <c r="O1085" s="106" t="str">
        <f>IF($F1085="","",IF(ISNUMBER($F1085),$F1085+Settings!$C$7/24,IFERROR(DATEVALUE(LEFT($F1085,10))+TIMEVALUE(MID($F1085,12,8))+Settings!$C$7/24,"")))</f>
        <v/>
      </c>
      <c r="P1085" s="106" t="str">
        <f>IF($G1085="","",IF(ISNUMBER($G1085),$G1085+Settings!$C$7/24,IFERROR(DATEVALUE(LEFT($G1085,10))+TIMEVALUE(MID($G1085,12,8))+Settings!$C$7/24,"")))</f>
        <v/>
      </c>
      <c r="Q1085" s="39" t="str">
        <f t="shared" si="289"/>
        <v/>
      </c>
      <c r="R1085" s="39" t="str">
        <f t="shared" si="290"/>
        <v/>
      </c>
      <c r="S1085" s="107" t="str">
        <f t="shared" si="291"/>
        <v/>
      </c>
      <c r="T1085" s="39" t="str">
        <f>IF($C1085="","",IF(COUNTIF($C$2:$C1085,$C1085)=1,1,0))</f>
        <v/>
      </c>
      <c r="U1085" s="39" t="str">
        <f>IF($T1085=1,COUNTIF($T$2:$T1085,1),"")</f>
        <v/>
      </c>
      <c r="V1085" s="39" t="str">
        <f>IF($B1085="","",IF(COUNTIF($B$2:$B1085,$B1085)=1,1,0))</f>
        <v/>
      </c>
      <c r="W1085" s="39" t="str">
        <f>IF($V1085=1,COUNTIF($V$2:$V1085,1),"")</f>
        <v/>
      </c>
      <c r="X1085" s="39" t="str">
        <f>IF($A1085="","",IF(COUNTIF($A$2:$A1085,$A1085)=1,1,0))</f>
        <v/>
      </c>
      <c r="Y1085" s="39" t="str">
        <f>IF($X1085=1,COUNTIF($X$2:$X1085,1),"")</f>
        <v/>
      </c>
      <c r="Z1085" s="39">
        <f>IF(AND($E1085="timed",$N1085&gt;Settings!$C$8),1,0)</f>
        <v>0</v>
      </c>
      <c r="AA1085" s="39">
        <f t="shared" si="292"/>
        <v>0</v>
      </c>
      <c r="AB1085" s="39">
        <f t="shared" si="293"/>
        <v>0</v>
      </c>
      <c r="AC1085" s="39" t="str">
        <f t="shared" si="294"/>
        <v/>
      </c>
      <c r="AD1085" s="39" t="str">
        <f t="shared" si="295"/>
        <v/>
      </c>
      <c r="AE1085" s="39" t="str">
        <f t="shared" si="296"/>
        <v/>
      </c>
      <c r="AF1085" s="106" t="str">
        <f t="shared" si="297"/>
        <v/>
      </c>
      <c r="AG1085" s="39">
        <f t="shared" si="298"/>
        <v>0</v>
      </c>
      <c r="AH1085" s="39" t="str">
        <f t="shared" si="299"/>
        <v/>
      </c>
      <c r="AI1085" s="39">
        <f>IF(AND($E1085="timed",$N1085&gt;=Settings!$C$9),1,0)</f>
        <v>0</v>
      </c>
      <c r="AJ1085" s="39" t="str">
        <f>IF(OR($S1085="",Settings!$C$16=""),"",IF($S1085&lt;=Settings!$C$16,1,2))</f>
        <v/>
      </c>
      <c r="AK1085" s="39" t="str">
        <f>IF($C1085="","",IFERROR(IF(INDEX(Settings!$C$20:$C$59,MATCH($C1085,Settings!$B$20:$B$59,0))="",Settings!$C$10,INDEX(Settings!$C$20:$C$59,MATCH($C1085,Settings!$B$20:$B$59,0))),Settings!$C$10))</f>
        <v/>
      </c>
      <c r="AL1085" s="108">
        <f t="shared" si="300"/>
        <v>0</v>
      </c>
      <c r="AM1085" s="39" t="str">
        <f t="shared" si="301"/>
        <v/>
      </c>
      <c r="AN1085" s="39" t="str">
        <f t="shared" si="302"/>
        <v/>
      </c>
      <c r="AO1085" s="39" t="str">
        <f t="shared" si="303"/>
        <v/>
      </c>
      <c r="AP1085" s="39">
        <f t="shared" si="304"/>
        <v>0</v>
      </c>
      <c r="AQ1085" s="39">
        <f t="shared" si="305"/>
        <v>0</v>
      </c>
    </row>
    <row r="1086" spans="14:43" x14ac:dyDescent="0.25">
      <c r="N1086" s="105">
        <f t="shared" si="288"/>
        <v>0</v>
      </c>
      <c r="O1086" s="106" t="str">
        <f>IF($F1086="","",IF(ISNUMBER($F1086),$F1086+Settings!$C$7/24,IFERROR(DATEVALUE(LEFT($F1086,10))+TIMEVALUE(MID($F1086,12,8))+Settings!$C$7/24,"")))</f>
        <v/>
      </c>
      <c r="P1086" s="106" t="str">
        <f>IF($G1086="","",IF(ISNUMBER($G1086),$G1086+Settings!$C$7/24,IFERROR(DATEVALUE(LEFT($G1086,10))+TIMEVALUE(MID($G1086,12,8))+Settings!$C$7/24,"")))</f>
        <v/>
      </c>
      <c r="Q1086" s="39" t="str">
        <f t="shared" si="289"/>
        <v/>
      </c>
      <c r="R1086" s="39" t="str">
        <f t="shared" si="290"/>
        <v/>
      </c>
      <c r="S1086" s="107" t="str">
        <f t="shared" si="291"/>
        <v/>
      </c>
      <c r="T1086" s="39" t="str">
        <f>IF($C1086="","",IF(COUNTIF($C$2:$C1086,$C1086)=1,1,0))</f>
        <v/>
      </c>
      <c r="U1086" s="39" t="str">
        <f>IF($T1086=1,COUNTIF($T$2:$T1086,1),"")</f>
        <v/>
      </c>
      <c r="V1086" s="39" t="str">
        <f>IF($B1086="","",IF(COUNTIF($B$2:$B1086,$B1086)=1,1,0))</f>
        <v/>
      </c>
      <c r="W1086" s="39" t="str">
        <f>IF($V1086=1,COUNTIF($V$2:$V1086,1),"")</f>
        <v/>
      </c>
      <c r="X1086" s="39" t="str">
        <f>IF($A1086="","",IF(COUNTIF($A$2:$A1086,$A1086)=1,1,0))</f>
        <v/>
      </c>
      <c r="Y1086" s="39" t="str">
        <f>IF($X1086=1,COUNTIF($X$2:$X1086,1),"")</f>
        <v/>
      </c>
      <c r="Z1086" s="39">
        <f>IF(AND($E1086="timed",$N1086&gt;Settings!$C$8),1,0)</f>
        <v>0</v>
      </c>
      <c r="AA1086" s="39">
        <f t="shared" si="292"/>
        <v>0</v>
      </c>
      <c r="AB1086" s="39">
        <f t="shared" si="293"/>
        <v>0</v>
      </c>
      <c r="AC1086" s="39" t="str">
        <f t="shared" si="294"/>
        <v/>
      </c>
      <c r="AD1086" s="39" t="str">
        <f t="shared" si="295"/>
        <v/>
      </c>
      <c r="AE1086" s="39" t="str">
        <f t="shared" si="296"/>
        <v/>
      </c>
      <c r="AF1086" s="106" t="str">
        <f t="shared" si="297"/>
        <v/>
      </c>
      <c r="AG1086" s="39">
        <f t="shared" si="298"/>
        <v>0</v>
      </c>
      <c r="AH1086" s="39" t="str">
        <f t="shared" si="299"/>
        <v/>
      </c>
      <c r="AI1086" s="39">
        <f>IF(AND($E1086="timed",$N1086&gt;=Settings!$C$9),1,0)</f>
        <v>0</v>
      </c>
      <c r="AJ1086" s="39" t="str">
        <f>IF(OR($S1086="",Settings!$C$16=""),"",IF($S1086&lt;=Settings!$C$16,1,2))</f>
        <v/>
      </c>
      <c r="AK1086" s="39" t="str">
        <f>IF($C1086="","",IFERROR(IF(INDEX(Settings!$C$20:$C$59,MATCH($C1086,Settings!$B$20:$B$59,0))="",Settings!$C$10,INDEX(Settings!$C$20:$C$59,MATCH($C1086,Settings!$B$20:$B$59,0))),Settings!$C$10))</f>
        <v/>
      </c>
      <c r="AL1086" s="108">
        <f t="shared" si="300"/>
        <v>0</v>
      </c>
      <c r="AM1086" s="39" t="str">
        <f t="shared" si="301"/>
        <v/>
      </c>
      <c r="AN1086" s="39" t="str">
        <f t="shared" si="302"/>
        <v/>
      </c>
      <c r="AO1086" s="39" t="str">
        <f t="shared" si="303"/>
        <v/>
      </c>
      <c r="AP1086" s="39">
        <f t="shared" si="304"/>
        <v>0</v>
      </c>
      <c r="AQ1086" s="39">
        <f t="shared" si="305"/>
        <v>0</v>
      </c>
    </row>
    <row r="1087" spans="14:43" x14ac:dyDescent="0.25">
      <c r="N1087" s="105">
        <f t="shared" si="288"/>
        <v>0</v>
      </c>
      <c r="O1087" s="106" t="str">
        <f>IF($F1087="","",IF(ISNUMBER($F1087),$F1087+Settings!$C$7/24,IFERROR(DATEVALUE(LEFT($F1087,10))+TIMEVALUE(MID($F1087,12,8))+Settings!$C$7/24,"")))</f>
        <v/>
      </c>
      <c r="P1087" s="106" t="str">
        <f>IF($G1087="","",IF(ISNUMBER($G1087),$G1087+Settings!$C$7/24,IFERROR(DATEVALUE(LEFT($G1087,10))+TIMEVALUE(MID($G1087,12,8))+Settings!$C$7/24,"")))</f>
        <v/>
      </c>
      <c r="Q1087" s="39" t="str">
        <f t="shared" si="289"/>
        <v/>
      </c>
      <c r="R1087" s="39" t="str">
        <f t="shared" si="290"/>
        <v/>
      </c>
      <c r="S1087" s="107" t="str">
        <f t="shared" si="291"/>
        <v/>
      </c>
      <c r="T1087" s="39" t="str">
        <f>IF($C1087="","",IF(COUNTIF($C$2:$C1087,$C1087)=1,1,0))</f>
        <v/>
      </c>
      <c r="U1087" s="39" t="str">
        <f>IF($T1087=1,COUNTIF($T$2:$T1087,1),"")</f>
        <v/>
      </c>
      <c r="V1087" s="39" t="str">
        <f>IF($B1087="","",IF(COUNTIF($B$2:$B1087,$B1087)=1,1,0))</f>
        <v/>
      </c>
      <c r="W1087" s="39" t="str">
        <f>IF($V1087=1,COUNTIF($V$2:$V1087,1),"")</f>
        <v/>
      </c>
      <c r="X1087" s="39" t="str">
        <f>IF($A1087="","",IF(COUNTIF($A$2:$A1087,$A1087)=1,1,0))</f>
        <v/>
      </c>
      <c r="Y1087" s="39" t="str">
        <f>IF($X1087=1,COUNTIF($X$2:$X1087,1),"")</f>
        <v/>
      </c>
      <c r="Z1087" s="39">
        <f>IF(AND($E1087="timed",$N1087&gt;Settings!$C$8),1,0)</f>
        <v>0</v>
      </c>
      <c r="AA1087" s="39">
        <f t="shared" si="292"/>
        <v>0</v>
      </c>
      <c r="AB1087" s="39">
        <f t="shared" si="293"/>
        <v>0</v>
      </c>
      <c r="AC1087" s="39" t="str">
        <f t="shared" si="294"/>
        <v/>
      </c>
      <c r="AD1087" s="39" t="str">
        <f t="shared" si="295"/>
        <v/>
      </c>
      <c r="AE1087" s="39" t="str">
        <f t="shared" si="296"/>
        <v/>
      </c>
      <c r="AF1087" s="106" t="str">
        <f t="shared" si="297"/>
        <v/>
      </c>
      <c r="AG1087" s="39">
        <f t="shared" si="298"/>
        <v>0</v>
      </c>
      <c r="AH1087" s="39" t="str">
        <f t="shared" si="299"/>
        <v/>
      </c>
      <c r="AI1087" s="39">
        <f>IF(AND($E1087="timed",$N1087&gt;=Settings!$C$9),1,0)</f>
        <v>0</v>
      </c>
      <c r="AJ1087" s="39" t="str">
        <f>IF(OR($S1087="",Settings!$C$16=""),"",IF($S1087&lt;=Settings!$C$16,1,2))</f>
        <v/>
      </c>
      <c r="AK1087" s="39" t="str">
        <f>IF($C1087="","",IFERROR(IF(INDEX(Settings!$C$20:$C$59,MATCH($C1087,Settings!$B$20:$B$59,0))="",Settings!$C$10,INDEX(Settings!$C$20:$C$59,MATCH($C1087,Settings!$B$20:$B$59,0))),Settings!$C$10))</f>
        <v/>
      </c>
      <c r="AL1087" s="108">
        <f t="shared" si="300"/>
        <v>0</v>
      </c>
      <c r="AM1087" s="39" t="str">
        <f t="shared" si="301"/>
        <v/>
      </c>
      <c r="AN1087" s="39" t="str">
        <f t="shared" si="302"/>
        <v/>
      </c>
      <c r="AO1087" s="39" t="str">
        <f t="shared" si="303"/>
        <v/>
      </c>
      <c r="AP1087" s="39">
        <f t="shared" si="304"/>
        <v>0</v>
      </c>
      <c r="AQ1087" s="39">
        <f t="shared" si="305"/>
        <v>0</v>
      </c>
    </row>
    <row r="1088" spans="14:43" x14ac:dyDescent="0.25">
      <c r="N1088" s="105">
        <f t="shared" si="288"/>
        <v>0</v>
      </c>
      <c r="O1088" s="106" t="str">
        <f>IF($F1088="","",IF(ISNUMBER($F1088),$F1088+Settings!$C$7/24,IFERROR(DATEVALUE(LEFT($F1088,10))+TIMEVALUE(MID($F1088,12,8))+Settings!$C$7/24,"")))</f>
        <v/>
      </c>
      <c r="P1088" s="106" t="str">
        <f>IF($G1088="","",IF(ISNUMBER($G1088),$G1088+Settings!$C$7/24,IFERROR(DATEVALUE(LEFT($G1088,10))+TIMEVALUE(MID($G1088,12,8))+Settings!$C$7/24,"")))</f>
        <v/>
      </c>
      <c r="Q1088" s="39" t="str">
        <f t="shared" si="289"/>
        <v/>
      </c>
      <c r="R1088" s="39" t="str">
        <f t="shared" si="290"/>
        <v/>
      </c>
      <c r="S1088" s="107" t="str">
        <f t="shared" si="291"/>
        <v/>
      </c>
      <c r="T1088" s="39" t="str">
        <f>IF($C1088="","",IF(COUNTIF($C$2:$C1088,$C1088)=1,1,0))</f>
        <v/>
      </c>
      <c r="U1088" s="39" t="str">
        <f>IF($T1088=1,COUNTIF($T$2:$T1088,1),"")</f>
        <v/>
      </c>
      <c r="V1088" s="39" t="str">
        <f>IF($B1088="","",IF(COUNTIF($B$2:$B1088,$B1088)=1,1,0))</f>
        <v/>
      </c>
      <c r="W1088" s="39" t="str">
        <f>IF($V1088=1,COUNTIF($V$2:$V1088,1),"")</f>
        <v/>
      </c>
      <c r="X1088" s="39" t="str">
        <f>IF($A1088="","",IF(COUNTIF($A$2:$A1088,$A1088)=1,1,0))</f>
        <v/>
      </c>
      <c r="Y1088" s="39" t="str">
        <f>IF($X1088=1,COUNTIF($X$2:$X1088,1),"")</f>
        <v/>
      </c>
      <c r="Z1088" s="39">
        <f>IF(AND($E1088="timed",$N1088&gt;Settings!$C$8),1,0)</f>
        <v>0</v>
      </c>
      <c r="AA1088" s="39">
        <f t="shared" si="292"/>
        <v>0</v>
      </c>
      <c r="AB1088" s="39">
        <f t="shared" si="293"/>
        <v>0</v>
      </c>
      <c r="AC1088" s="39" t="str">
        <f t="shared" si="294"/>
        <v/>
      </c>
      <c r="AD1088" s="39" t="str">
        <f t="shared" si="295"/>
        <v/>
      </c>
      <c r="AE1088" s="39" t="str">
        <f t="shared" si="296"/>
        <v/>
      </c>
      <c r="AF1088" s="106" t="str">
        <f t="shared" si="297"/>
        <v/>
      </c>
      <c r="AG1088" s="39">
        <f t="shared" si="298"/>
        <v>0</v>
      </c>
      <c r="AH1088" s="39" t="str">
        <f t="shared" si="299"/>
        <v/>
      </c>
      <c r="AI1088" s="39">
        <f>IF(AND($E1088="timed",$N1088&gt;=Settings!$C$9),1,0)</f>
        <v>0</v>
      </c>
      <c r="AJ1088" s="39" t="str">
        <f>IF(OR($S1088="",Settings!$C$16=""),"",IF($S1088&lt;=Settings!$C$16,1,2))</f>
        <v/>
      </c>
      <c r="AK1088" s="39" t="str">
        <f>IF($C1088="","",IFERROR(IF(INDEX(Settings!$C$20:$C$59,MATCH($C1088,Settings!$B$20:$B$59,0))="",Settings!$C$10,INDEX(Settings!$C$20:$C$59,MATCH($C1088,Settings!$B$20:$B$59,0))),Settings!$C$10))</f>
        <v/>
      </c>
      <c r="AL1088" s="108">
        <f t="shared" si="300"/>
        <v>0</v>
      </c>
      <c r="AM1088" s="39" t="str">
        <f t="shared" si="301"/>
        <v/>
      </c>
      <c r="AN1088" s="39" t="str">
        <f t="shared" si="302"/>
        <v/>
      </c>
      <c r="AO1088" s="39" t="str">
        <f t="shared" si="303"/>
        <v/>
      </c>
      <c r="AP1088" s="39">
        <f t="shared" si="304"/>
        <v>0</v>
      </c>
      <c r="AQ1088" s="39">
        <f t="shared" si="305"/>
        <v>0</v>
      </c>
    </row>
    <row r="1089" spans="14:43" x14ac:dyDescent="0.25">
      <c r="N1089" s="105">
        <f t="shared" si="288"/>
        <v>0</v>
      </c>
      <c r="O1089" s="106" t="str">
        <f>IF($F1089="","",IF(ISNUMBER($F1089),$F1089+Settings!$C$7/24,IFERROR(DATEVALUE(LEFT($F1089,10))+TIMEVALUE(MID($F1089,12,8))+Settings!$C$7/24,"")))</f>
        <v/>
      </c>
      <c r="P1089" s="106" t="str">
        <f>IF($G1089="","",IF(ISNUMBER($G1089),$G1089+Settings!$C$7/24,IFERROR(DATEVALUE(LEFT($G1089,10))+TIMEVALUE(MID($G1089,12,8))+Settings!$C$7/24,"")))</f>
        <v/>
      </c>
      <c r="Q1089" s="39" t="str">
        <f t="shared" si="289"/>
        <v/>
      </c>
      <c r="R1089" s="39" t="str">
        <f t="shared" si="290"/>
        <v/>
      </c>
      <c r="S1089" s="107" t="str">
        <f t="shared" si="291"/>
        <v/>
      </c>
      <c r="T1089" s="39" t="str">
        <f>IF($C1089="","",IF(COUNTIF($C$2:$C1089,$C1089)=1,1,0))</f>
        <v/>
      </c>
      <c r="U1089" s="39" t="str">
        <f>IF($T1089=1,COUNTIF($T$2:$T1089,1),"")</f>
        <v/>
      </c>
      <c r="V1089" s="39" t="str">
        <f>IF($B1089="","",IF(COUNTIF($B$2:$B1089,$B1089)=1,1,0))</f>
        <v/>
      </c>
      <c r="W1089" s="39" t="str">
        <f>IF($V1089=1,COUNTIF($V$2:$V1089,1),"")</f>
        <v/>
      </c>
      <c r="X1089" s="39" t="str">
        <f>IF($A1089="","",IF(COUNTIF($A$2:$A1089,$A1089)=1,1,0))</f>
        <v/>
      </c>
      <c r="Y1089" s="39" t="str">
        <f>IF($X1089=1,COUNTIF($X$2:$X1089,1),"")</f>
        <v/>
      </c>
      <c r="Z1089" s="39">
        <f>IF(AND($E1089="timed",$N1089&gt;Settings!$C$8),1,0)</f>
        <v>0</v>
      </c>
      <c r="AA1089" s="39">
        <f t="shared" si="292"/>
        <v>0</v>
      </c>
      <c r="AB1089" s="39">
        <f t="shared" si="293"/>
        <v>0</v>
      </c>
      <c r="AC1089" s="39" t="str">
        <f t="shared" si="294"/>
        <v/>
      </c>
      <c r="AD1089" s="39" t="str">
        <f t="shared" si="295"/>
        <v/>
      </c>
      <c r="AE1089" s="39" t="str">
        <f t="shared" si="296"/>
        <v/>
      </c>
      <c r="AF1089" s="106" t="str">
        <f t="shared" si="297"/>
        <v/>
      </c>
      <c r="AG1089" s="39">
        <f t="shared" si="298"/>
        <v>0</v>
      </c>
      <c r="AH1089" s="39" t="str">
        <f t="shared" si="299"/>
        <v/>
      </c>
      <c r="AI1089" s="39">
        <f>IF(AND($E1089="timed",$N1089&gt;=Settings!$C$9),1,0)</f>
        <v>0</v>
      </c>
      <c r="AJ1089" s="39" t="str">
        <f>IF(OR($S1089="",Settings!$C$16=""),"",IF($S1089&lt;=Settings!$C$16,1,2))</f>
        <v/>
      </c>
      <c r="AK1089" s="39" t="str">
        <f>IF($C1089="","",IFERROR(IF(INDEX(Settings!$C$20:$C$59,MATCH($C1089,Settings!$B$20:$B$59,0))="",Settings!$C$10,INDEX(Settings!$C$20:$C$59,MATCH($C1089,Settings!$B$20:$B$59,0))),Settings!$C$10))</f>
        <v/>
      </c>
      <c r="AL1089" s="108">
        <f t="shared" si="300"/>
        <v>0</v>
      </c>
      <c r="AM1089" s="39" t="str">
        <f t="shared" si="301"/>
        <v/>
      </c>
      <c r="AN1089" s="39" t="str">
        <f t="shared" si="302"/>
        <v/>
      </c>
      <c r="AO1089" s="39" t="str">
        <f t="shared" si="303"/>
        <v/>
      </c>
      <c r="AP1089" s="39">
        <f t="shared" si="304"/>
        <v>0</v>
      </c>
      <c r="AQ1089" s="39">
        <f t="shared" si="305"/>
        <v>0</v>
      </c>
    </row>
    <row r="1090" spans="14:43" x14ac:dyDescent="0.25">
      <c r="N1090" s="105">
        <f t="shared" ref="N1090:N1153" si="306">IF($E1090&lt;&gt;"timed",0,IF(ISNUMBER($H1090),$H1090,IFERROR(VALUE($H1090),0)))</f>
        <v>0</v>
      </c>
      <c r="O1090" s="106" t="str">
        <f>IF($F1090="","",IF(ISNUMBER($F1090),$F1090+Settings!$C$7/24,IFERROR(DATEVALUE(LEFT($F1090,10))+TIMEVALUE(MID($F1090,12,8))+Settings!$C$7/24,"")))</f>
        <v/>
      </c>
      <c r="P1090" s="106" t="str">
        <f>IF($G1090="","",IF(ISNUMBER($G1090),$G1090+Settings!$C$7/24,IFERROR(DATEVALUE(LEFT($G1090,10))+TIMEVALUE(MID($G1090,12,8))+Settings!$C$7/24,"")))</f>
        <v/>
      </c>
      <c r="Q1090" s="39" t="str">
        <f t="shared" ref="Q1090:Q1153" si="307">IF($O1090="","",HOUR($O1090))</f>
        <v/>
      </c>
      <c r="R1090" s="39" t="str">
        <f t="shared" ref="R1090:R1153" si="308">IF($O1090="","",WEEKDAY($O1090,2))</f>
        <v/>
      </c>
      <c r="S1090" s="107" t="str">
        <f t="shared" ref="S1090:S1153" si="309">IF($A1090="","",IF(ISNUMBER($A1090),INT($A1090),IFERROR(DATEVALUE($A1090),"")))</f>
        <v/>
      </c>
      <c r="T1090" s="39" t="str">
        <f>IF($C1090="","",IF(COUNTIF($C$2:$C1090,$C1090)=1,1,0))</f>
        <v/>
      </c>
      <c r="U1090" s="39" t="str">
        <f>IF($T1090=1,COUNTIF($T$2:$T1090,1),"")</f>
        <v/>
      </c>
      <c r="V1090" s="39" t="str">
        <f>IF($B1090="","",IF(COUNTIF($B$2:$B1090,$B1090)=1,1,0))</f>
        <v/>
      </c>
      <c r="W1090" s="39" t="str">
        <f>IF($V1090=1,COUNTIF($V$2:$V1090,1),"")</f>
        <v/>
      </c>
      <c r="X1090" s="39" t="str">
        <f>IF($A1090="","",IF(COUNTIF($A$2:$A1090,$A1090)=1,1,0))</f>
        <v/>
      </c>
      <c r="Y1090" s="39" t="str">
        <f>IF($X1090=1,COUNTIF($X$2:$X1090,1),"")</f>
        <v/>
      </c>
      <c r="Z1090" s="39">
        <f>IF(AND($E1090="timed",$N1090&gt;Settings!$C$8),1,0)</f>
        <v>0</v>
      </c>
      <c r="AA1090" s="39">
        <f t="shared" ref="AA1090:AA1153" si="310">IF(AND($E1090="timed",$G1090=""),1,0)</f>
        <v>0</v>
      </c>
      <c r="AB1090" s="39">
        <f t="shared" ref="AB1090:AB1153" si="311">IF($E1090&lt;&gt;"timed",0,IF(ISNUMBER($I1090),$I1090,IFERROR(VALUE($I1090),0)))</f>
        <v>0</v>
      </c>
      <c r="AC1090" s="39" t="str">
        <f t="shared" ref="AC1090:AC1153" si="312">IF(OR($E1090&lt;&gt;"timed",$O1090=""),"",ROUND($O1090*86400,0)*10000+ROW())</f>
        <v/>
      </c>
      <c r="AD1090" s="39" t="str">
        <f t="shared" ref="AD1090:AD1153" si="313">IF($AC1090="","",COUNTIF($AC$2:$AC$1201,"&lt;"&amp;$AC1090)+1)</f>
        <v/>
      </c>
      <c r="AE1090" s="39" t="str">
        <f t="shared" ref="AE1090:AE1153" si="314">IF($AD1090="","",IFERROR(IF(INDEX($S$2:$S$1201,MATCH($AD1090-1,$AD$2:$AD$1201,0))=$S1090,INDEX($C$2:$C$1201,MATCH($AD1090-1,$AD$2:$AD$1201,0)),""),""))</f>
        <v/>
      </c>
      <c r="AF1090" s="106" t="str">
        <f t="shared" ref="AF1090:AF1153" si="315">IF($AD1090="","",IFERROR(IF(INDEX($S$2:$S$1201,MATCH($AD1090-1,$AD$2:$AD$1201,0))=$S1090,INDEX($P$2:$P$1201,MATCH($AD1090-1,$AD$2:$AD$1201,0)),""),""))</f>
        <v/>
      </c>
      <c r="AG1090" s="39">
        <f t="shared" ref="AG1090:AG1153" si="316">IF(OR($E1090&lt;&gt;"timed",$AE1090=""),0,IF($AE1090=$C1090,0,1))</f>
        <v>0</v>
      </c>
      <c r="AH1090" s="39" t="str">
        <f t="shared" ref="AH1090:AH1153" si="317">IF(OR($AF1090="",$O1090=""),"",MAX(0,ROUND(($O1090-$AF1090)*1440,0)))</f>
        <v/>
      </c>
      <c r="AI1090" s="39">
        <f>IF(AND($E1090="timed",$N1090&gt;=Settings!$C$9),1,0)</f>
        <v>0</v>
      </c>
      <c r="AJ1090" s="39" t="str">
        <f>IF(OR($S1090="",Settings!$C$16=""),"",IF($S1090&lt;=Settings!$C$16,1,2))</f>
        <v/>
      </c>
      <c r="AK1090" s="39" t="str">
        <f>IF($C1090="","",IFERROR(IF(INDEX(Settings!$C$20:$C$59,MATCH($C1090,Settings!$B$20:$B$59,0))="",Settings!$C$10,INDEX(Settings!$C$20:$C$59,MATCH($C1090,Settings!$B$20:$B$59,0))),Settings!$C$10))</f>
        <v/>
      </c>
      <c r="AL1090" s="108">
        <f t="shared" ref="AL1090:AL1153" si="318">IF(OR($N1090=0,$AK1090=""),0,ROUND($N1090/60*$AK1090,2))</f>
        <v>0</v>
      </c>
      <c r="AM1090" s="39" t="str">
        <f t="shared" ref="AM1090:AM1153" si="319">IF($AD1090="","",IFERROR(INDEX($S$2:$S$1201,MATCH($AD1090-1,$AD$2:$AD$1201,0)),""))</f>
        <v/>
      </c>
      <c r="AN1090" s="39" t="str">
        <f t="shared" ref="AN1090:AN1153" si="320">IF($Z1090=1,$N1090+ROW()/1000000,"")</f>
        <v/>
      </c>
      <c r="AO1090" s="39" t="str">
        <f t="shared" ref="AO1090:AO1153" si="321">IF(OR($E1090&lt;&gt;"timed",$P1090=""),"",ROUND($P1090*86400,0)*10000+ROW())</f>
        <v/>
      </c>
      <c r="AP1090" s="39">
        <f t="shared" ref="AP1090:AP1153" si="322">IF($AC1090="",0,IF(COUNTIFS($S$2:$S$1201,$S1090,$AC$2:$AC$1201,"&lt;"&amp;$AC1090)=0,1,0))</f>
        <v>0</v>
      </c>
      <c r="AQ1090" s="39">
        <f t="shared" ref="AQ1090:AQ1153" si="323">IF($AO1090="",0,IF(COUNTIFS($S$2:$S$1201,$S1090,$AO$2:$AO$1201,"&gt;"&amp;$AO1090)=0,1,0))</f>
        <v>0</v>
      </c>
    </row>
    <row r="1091" spans="14:43" x14ac:dyDescent="0.25">
      <c r="N1091" s="105">
        <f t="shared" si="306"/>
        <v>0</v>
      </c>
      <c r="O1091" s="106" t="str">
        <f>IF($F1091="","",IF(ISNUMBER($F1091),$F1091+Settings!$C$7/24,IFERROR(DATEVALUE(LEFT($F1091,10))+TIMEVALUE(MID($F1091,12,8))+Settings!$C$7/24,"")))</f>
        <v/>
      </c>
      <c r="P1091" s="106" t="str">
        <f>IF($G1091="","",IF(ISNUMBER($G1091),$G1091+Settings!$C$7/24,IFERROR(DATEVALUE(LEFT($G1091,10))+TIMEVALUE(MID($G1091,12,8))+Settings!$C$7/24,"")))</f>
        <v/>
      </c>
      <c r="Q1091" s="39" t="str">
        <f t="shared" si="307"/>
        <v/>
      </c>
      <c r="R1091" s="39" t="str">
        <f t="shared" si="308"/>
        <v/>
      </c>
      <c r="S1091" s="107" t="str">
        <f t="shared" si="309"/>
        <v/>
      </c>
      <c r="T1091" s="39" t="str">
        <f>IF($C1091="","",IF(COUNTIF($C$2:$C1091,$C1091)=1,1,0))</f>
        <v/>
      </c>
      <c r="U1091" s="39" t="str">
        <f>IF($T1091=1,COUNTIF($T$2:$T1091,1),"")</f>
        <v/>
      </c>
      <c r="V1091" s="39" t="str">
        <f>IF($B1091="","",IF(COUNTIF($B$2:$B1091,$B1091)=1,1,0))</f>
        <v/>
      </c>
      <c r="W1091" s="39" t="str">
        <f>IF($V1091=1,COUNTIF($V$2:$V1091,1),"")</f>
        <v/>
      </c>
      <c r="X1091" s="39" t="str">
        <f>IF($A1091="","",IF(COUNTIF($A$2:$A1091,$A1091)=1,1,0))</f>
        <v/>
      </c>
      <c r="Y1091" s="39" t="str">
        <f>IF($X1091=1,COUNTIF($X$2:$X1091,1),"")</f>
        <v/>
      </c>
      <c r="Z1091" s="39">
        <f>IF(AND($E1091="timed",$N1091&gt;Settings!$C$8),1,0)</f>
        <v>0</v>
      </c>
      <c r="AA1091" s="39">
        <f t="shared" si="310"/>
        <v>0</v>
      </c>
      <c r="AB1091" s="39">
        <f t="shared" si="311"/>
        <v>0</v>
      </c>
      <c r="AC1091" s="39" t="str">
        <f t="shared" si="312"/>
        <v/>
      </c>
      <c r="AD1091" s="39" t="str">
        <f t="shared" si="313"/>
        <v/>
      </c>
      <c r="AE1091" s="39" t="str">
        <f t="shared" si="314"/>
        <v/>
      </c>
      <c r="AF1091" s="106" t="str">
        <f t="shared" si="315"/>
        <v/>
      </c>
      <c r="AG1091" s="39">
        <f t="shared" si="316"/>
        <v>0</v>
      </c>
      <c r="AH1091" s="39" t="str">
        <f t="shared" si="317"/>
        <v/>
      </c>
      <c r="AI1091" s="39">
        <f>IF(AND($E1091="timed",$N1091&gt;=Settings!$C$9),1,0)</f>
        <v>0</v>
      </c>
      <c r="AJ1091" s="39" t="str">
        <f>IF(OR($S1091="",Settings!$C$16=""),"",IF($S1091&lt;=Settings!$C$16,1,2))</f>
        <v/>
      </c>
      <c r="AK1091" s="39" t="str">
        <f>IF($C1091="","",IFERROR(IF(INDEX(Settings!$C$20:$C$59,MATCH($C1091,Settings!$B$20:$B$59,0))="",Settings!$C$10,INDEX(Settings!$C$20:$C$59,MATCH($C1091,Settings!$B$20:$B$59,0))),Settings!$C$10))</f>
        <v/>
      </c>
      <c r="AL1091" s="108">
        <f t="shared" si="318"/>
        <v>0</v>
      </c>
      <c r="AM1091" s="39" t="str">
        <f t="shared" si="319"/>
        <v/>
      </c>
      <c r="AN1091" s="39" t="str">
        <f t="shared" si="320"/>
        <v/>
      </c>
      <c r="AO1091" s="39" t="str">
        <f t="shared" si="321"/>
        <v/>
      </c>
      <c r="AP1091" s="39">
        <f t="shared" si="322"/>
        <v>0</v>
      </c>
      <c r="AQ1091" s="39">
        <f t="shared" si="323"/>
        <v>0</v>
      </c>
    </row>
    <row r="1092" spans="14:43" x14ac:dyDescent="0.25">
      <c r="N1092" s="105">
        <f t="shared" si="306"/>
        <v>0</v>
      </c>
      <c r="O1092" s="106" t="str">
        <f>IF($F1092="","",IF(ISNUMBER($F1092),$F1092+Settings!$C$7/24,IFERROR(DATEVALUE(LEFT($F1092,10))+TIMEVALUE(MID($F1092,12,8))+Settings!$C$7/24,"")))</f>
        <v/>
      </c>
      <c r="P1092" s="106" t="str">
        <f>IF($G1092="","",IF(ISNUMBER($G1092),$G1092+Settings!$C$7/24,IFERROR(DATEVALUE(LEFT($G1092,10))+TIMEVALUE(MID($G1092,12,8))+Settings!$C$7/24,"")))</f>
        <v/>
      </c>
      <c r="Q1092" s="39" t="str">
        <f t="shared" si="307"/>
        <v/>
      </c>
      <c r="R1092" s="39" t="str">
        <f t="shared" si="308"/>
        <v/>
      </c>
      <c r="S1092" s="107" t="str">
        <f t="shared" si="309"/>
        <v/>
      </c>
      <c r="T1092" s="39" t="str">
        <f>IF($C1092="","",IF(COUNTIF($C$2:$C1092,$C1092)=1,1,0))</f>
        <v/>
      </c>
      <c r="U1092" s="39" t="str">
        <f>IF($T1092=1,COUNTIF($T$2:$T1092,1),"")</f>
        <v/>
      </c>
      <c r="V1092" s="39" t="str">
        <f>IF($B1092="","",IF(COUNTIF($B$2:$B1092,$B1092)=1,1,0))</f>
        <v/>
      </c>
      <c r="W1092" s="39" t="str">
        <f>IF($V1092=1,COUNTIF($V$2:$V1092,1),"")</f>
        <v/>
      </c>
      <c r="X1092" s="39" t="str">
        <f>IF($A1092="","",IF(COUNTIF($A$2:$A1092,$A1092)=1,1,0))</f>
        <v/>
      </c>
      <c r="Y1092" s="39" t="str">
        <f>IF($X1092=1,COUNTIF($X$2:$X1092,1),"")</f>
        <v/>
      </c>
      <c r="Z1092" s="39">
        <f>IF(AND($E1092="timed",$N1092&gt;Settings!$C$8),1,0)</f>
        <v>0</v>
      </c>
      <c r="AA1092" s="39">
        <f t="shared" si="310"/>
        <v>0</v>
      </c>
      <c r="AB1092" s="39">
        <f t="shared" si="311"/>
        <v>0</v>
      </c>
      <c r="AC1092" s="39" t="str">
        <f t="shared" si="312"/>
        <v/>
      </c>
      <c r="AD1092" s="39" t="str">
        <f t="shared" si="313"/>
        <v/>
      </c>
      <c r="AE1092" s="39" t="str">
        <f t="shared" si="314"/>
        <v/>
      </c>
      <c r="AF1092" s="106" t="str">
        <f t="shared" si="315"/>
        <v/>
      </c>
      <c r="AG1092" s="39">
        <f t="shared" si="316"/>
        <v>0</v>
      </c>
      <c r="AH1092" s="39" t="str">
        <f t="shared" si="317"/>
        <v/>
      </c>
      <c r="AI1092" s="39">
        <f>IF(AND($E1092="timed",$N1092&gt;=Settings!$C$9),1,0)</f>
        <v>0</v>
      </c>
      <c r="AJ1092" s="39" t="str">
        <f>IF(OR($S1092="",Settings!$C$16=""),"",IF($S1092&lt;=Settings!$C$16,1,2))</f>
        <v/>
      </c>
      <c r="AK1092" s="39" t="str">
        <f>IF($C1092="","",IFERROR(IF(INDEX(Settings!$C$20:$C$59,MATCH($C1092,Settings!$B$20:$B$59,0))="",Settings!$C$10,INDEX(Settings!$C$20:$C$59,MATCH($C1092,Settings!$B$20:$B$59,0))),Settings!$C$10))</f>
        <v/>
      </c>
      <c r="AL1092" s="108">
        <f t="shared" si="318"/>
        <v>0</v>
      </c>
      <c r="AM1092" s="39" t="str">
        <f t="shared" si="319"/>
        <v/>
      </c>
      <c r="AN1092" s="39" t="str">
        <f t="shared" si="320"/>
        <v/>
      </c>
      <c r="AO1092" s="39" t="str">
        <f t="shared" si="321"/>
        <v/>
      </c>
      <c r="AP1092" s="39">
        <f t="shared" si="322"/>
        <v>0</v>
      </c>
      <c r="AQ1092" s="39">
        <f t="shared" si="323"/>
        <v>0</v>
      </c>
    </row>
    <row r="1093" spans="14:43" x14ac:dyDescent="0.25">
      <c r="N1093" s="105">
        <f t="shared" si="306"/>
        <v>0</v>
      </c>
      <c r="O1093" s="106" t="str">
        <f>IF($F1093="","",IF(ISNUMBER($F1093),$F1093+Settings!$C$7/24,IFERROR(DATEVALUE(LEFT($F1093,10))+TIMEVALUE(MID($F1093,12,8))+Settings!$C$7/24,"")))</f>
        <v/>
      </c>
      <c r="P1093" s="106" t="str">
        <f>IF($G1093="","",IF(ISNUMBER($G1093),$G1093+Settings!$C$7/24,IFERROR(DATEVALUE(LEFT($G1093,10))+TIMEVALUE(MID($G1093,12,8))+Settings!$C$7/24,"")))</f>
        <v/>
      </c>
      <c r="Q1093" s="39" t="str">
        <f t="shared" si="307"/>
        <v/>
      </c>
      <c r="R1093" s="39" t="str">
        <f t="shared" si="308"/>
        <v/>
      </c>
      <c r="S1093" s="107" t="str">
        <f t="shared" si="309"/>
        <v/>
      </c>
      <c r="T1093" s="39" t="str">
        <f>IF($C1093="","",IF(COUNTIF($C$2:$C1093,$C1093)=1,1,0))</f>
        <v/>
      </c>
      <c r="U1093" s="39" t="str">
        <f>IF($T1093=1,COUNTIF($T$2:$T1093,1),"")</f>
        <v/>
      </c>
      <c r="V1093" s="39" t="str">
        <f>IF($B1093="","",IF(COUNTIF($B$2:$B1093,$B1093)=1,1,0))</f>
        <v/>
      </c>
      <c r="W1093" s="39" t="str">
        <f>IF($V1093=1,COUNTIF($V$2:$V1093,1),"")</f>
        <v/>
      </c>
      <c r="X1093" s="39" t="str">
        <f>IF($A1093="","",IF(COUNTIF($A$2:$A1093,$A1093)=1,1,0))</f>
        <v/>
      </c>
      <c r="Y1093" s="39" t="str">
        <f>IF($X1093=1,COUNTIF($X$2:$X1093,1),"")</f>
        <v/>
      </c>
      <c r="Z1093" s="39">
        <f>IF(AND($E1093="timed",$N1093&gt;Settings!$C$8),1,0)</f>
        <v>0</v>
      </c>
      <c r="AA1093" s="39">
        <f t="shared" si="310"/>
        <v>0</v>
      </c>
      <c r="AB1093" s="39">
        <f t="shared" si="311"/>
        <v>0</v>
      </c>
      <c r="AC1093" s="39" t="str">
        <f t="shared" si="312"/>
        <v/>
      </c>
      <c r="AD1093" s="39" t="str">
        <f t="shared" si="313"/>
        <v/>
      </c>
      <c r="AE1093" s="39" t="str">
        <f t="shared" si="314"/>
        <v/>
      </c>
      <c r="AF1093" s="106" t="str">
        <f t="shared" si="315"/>
        <v/>
      </c>
      <c r="AG1093" s="39">
        <f t="shared" si="316"/>
        <v>0</v>
      </c>
      <c r="AH1093" s="39" t="str">
        <f t="shared" si="317"/>
        <v/>
      </c>
      <c r="AI1093" s="39">
        <f>IF(AND($E1093="timed",$N1093&gt;=Settings!$C$9),1,0)</f>
        <v>0</v>
      </c>
      <c r="AJ1093" s="39" t="str">
        <f>IF(OR($S1093="",Settings!$C$16=""),"",IF($S1093&lt;=Settings!$C$16,1,2))</f>
        <v/>
      </c>
      <c r="AK1093" s="39" t="str">
        <f>IF($C1093="","",IFERROR(IF(INDEX(Settings!$C$20:$C$59,MATCH($C1093,Settings!$B$20:$B$59,0))="",Settings!$C$10,INDEX(Settings!$C$20:$C$59,MATCH($C1093,Settings!$B$20:$B$59,0))),Settings!$C$10))</f>
        <v/>
      </c>
      <c r="AL1093" s="108">
        <f t="shared" si="318"/>
        <v>0</v>
      </c>
      <c r="AM1093" s="39" t="str">
        <f t="shared" si="319"/>
        <v/>
      </c>
      <c r="AN1093" s="39" t="str">
        <f t="shared" si="320"/>
        <v/>
      </c>
      <c r="AO1093" s="39" t="str">
        <f t="shared" si="321"/>
        <v/>
      </c>
      <c r="AP1093" s="39">
        <f t="shared" si="322"/>
        <v>0</v>
      </c>
      <c r="AQ1093" s="39">
        <f t="shared" si="323"/>
        <v>0</v>
      </c>
    </row>
    <row r="1094" spans="14:43" x14ac:dyDescent="0.25">
      <c r="N1094" s="105">
        <f t="shared" si="306"/>
        <v>0</v>
      </c>
      <c r="O1094" s="106" t="str">
        <f>IF($F1094="","",IF(ISNUMBER($F1094),$F1094+Settings!$C$7/24,IFERROR(DATEVALUE(LEFT($F1094,10))+TIMEVALUE(MID($F1094,12,8))+Settings!$C$7/24,"")))</f>
        <v/>
      </c>
      <c r="P1094" s="106" t="str">
        <f>IF($G1094="","",IF(ISNUMBER($G1094),$G1094+Settings!$C$7/24,IFERROR(DATEVALUE(LEFT($G1094,10))+TIMEVALUE(MID($G1094,12,8))+Settings!$C$7/24,"")))</f>
        <v/>
      </c>
      <c r="Q1094" s="39" t="str">
        <f t="shared" si="307"/>
        <v/>
      </c>
      <c r="R1094" s="39" t="str">
        <f t="shared" si="308"/>
        <v/>
      </c>
      <c r="S1094" s="107" t="str">
        <f t="shared" si="309"/>
        <v/>
      </c>
      <c r="T1094" s="39" t="str">
        <f>IF($C1094="","",IF(COUNTIF($C$2:$C1094,$C1094)=1,1,0))</f>
        <v/>
      </c>
      <c r="U1094" s="39" t="str">
        <f>IF($T1094=1,COUNTIF($T$2:$T1094,1),"")</f>
        <v/>
      </c>
      <c r="V1094" s="39" t="str">
        <f>IF($B1094="","",IF(COUNTIF($B$2:$B1094,$B1094)=1,1,0))</f>
        <v/>
      </c>
      <c r="W1094" s="39" t="str">
        <f>IF($V1094=1,COUNTIF($V$2:$V1094,1),"")</f>
        <v/>
      </c>
      <c r="X1094" s="39" t="str">
        <f>IF($A1094="","",IF(COUNTIF($A$2:$A1094,$A1094)=1,1,0))</f>
        <v/>
      </c>
      <c r="Y1094" s="39" t="str">
        <f>IF($X1094=1,COUNTIF($X$2:$X1094,1),"")</f>
        <v/>
      </c>
      <c r="Z1094" s="39">
        <f>IF(AND($E1094="timed",$N1094&gt;Settings!$C$8),1,0)</f>
        <v>0</v>
      </c>
      <c r="AA1094" s="39">
        <f t="shared" si="310"/>
        <v>0</v>
      </c>
      <c r="AB1094" s="39">
        <f t="shared" si="311"/>
        <v>0</v>
      </c>
      <c r="AC1094" s="39" t="str">
        <f t="shared" si="312"/>
        <v/>
      </c>
      <c r="AD1094" s="39" t="str">
        <f t="shared" si="313"/>
        <v/>
      </c>
      <c r="AE1094" s="39" t="str">
        <f t="shared" si="314"/>
        <v/>
      </c>
      <c r="AF1094" s="106" t="str">
        <f t="shared" si="315"/>
        <v/>
      </c>
      <c r="AG1094" s="39">
        <f t="shared" si="316"/>
        <v>0</v>
      </c>
      <c r="AH1094" s="39" t="str">
        <f t="shared" si="317"/>
        <v/>
      </c>
      <c r="AI1094" s="39">
        <f>IF(AND($E1094="timed",$N1094&gt;=Settings!$C$9),1,0)</f>
        <v>0</v>
      </c>
      <c r="AJ1094" s="39" t="str">
        <f>IF(OR($S1094="",Settings!$C$16=""),"",IF($S1094&lt;=Settings!$C$16,1,2))</f>
        <v/>
      </c>
      <c r="AK1094" s="39" t="str">
        <f>IF($C1094="","",IFERROR(IF(INDEX(Settings!$C$20:$C$59,MATCH($C1094,Settings!$B$20:$B$59,0))="",Settings!$C$10,INDEX(Settings!$C$20:$C$59,MATCH($C1094,Settings!$B$20:$B$59,0))),Settings!$C$10))</f>
        <v/>
      </c>
      <c r="AL1094" s="108">
        <f t="shared" si="318"/>
        <v>0</v>
      </c>
      <c r="AM1094" s="39" t="str">
        <f t="shared" si="319"/>
        <v/>
      </c>
      <c r="AN1094" s="39" t="str">
        <f t="shared" si="320"/>
        <v/>
      </c>
      <c r="AO1094" s="39" t="str">
        <f t="shared" si="321"/>
        <v/>
      </c>
      <c r="AP1094" s="39">
        <f t="shared" si="322"/>
        <v>0</v>
      </c>
      <c r="AQ1094" s="39">
        <f t="shared" si="323"/>
        <v>0</v>
      </c>
    </row>
    <row r="1095" spans="14:43" x14ac:dyDescent="0.25">
      <c r="N1095" s="105">
        <f t="shared" si="306"/>
        <v>0</v>
      </c>
      <c r="O1095" s="106" t="str">
        <f>IF($F1095="","",IF(ISNUMBER($F1095),$F1095+Settings!$C$7/24,IFERROR(DATEVALUE(LEFT($F1095,10))+TIMEVALUE(MID($F1095,12,8))+Settings!$C$7/24,"")))</f>
        <v/>
      </c>
      <c r="P1095" s="106" t="str">
        <f>IF($G1095="","",IF(ISNUMBER($G1095),$G1095+Settings!$C$7/24,IFERROR(DATEVALUE(LEFT($G1095,10))+TIMEVALUE(MID($G1095,12,8))+Settings!$C$7/24,"")))</f>
        <v/>
      </c>
      <c r="Q1095" s="39" t="str">
        <f t="shared" si="307"/>
        <v/>
      </c>
      <c r="R1095" s="39" t="str">
        <f t="shared" si="308"/>
        <v/>
      </c>
      <c r="S1095" s="107" t="str">
        <f t="shared" si="309"/>
        <v/>
      </c>
      <c r="T1095" s="39" t="str">
        <f>IF($C1095="","",IF(COUNTIF($C$2:$C1095,$C1095)=1,1,0))</f>
        <v/>
      </c>
      <c r="U1095" s="39" t="str">
        <f>IF($T1095=1,COUNTIF($T$2:$T1095,1),"")</f>
        <v/>
      </c>
      <c r="V1095" s="39" t="str">
        <f>IF($B1095="","",IF(COUNTIF($B$2:$B1095,$B1095)=1,1,0))</f>
        <v/>
      </c>
      <c r="W1095" s="39" t="str">
        <f>IF($V1095=1,COUNTIF($V$2:$V1095,1),"")</f>
        <v/>
      </c>
      <c r="X1095" s="39" t="str">
        <f>IF($A1095="","",IF(COUNTIF($A$2:$A1095,$A1095)=1,1,0))</f>
        <v/>
      </c>
      <c r="Y1095" s="39" t="str">
        <f>IF($X1095=1,COUNTIF($X$2:$X1095,1),"")</f>
        <v/>
      </c>
      <c r="Z1095" s="39">
        <f>IF(AND($E1095="timed",$N1095&gt;Settings!$C$8),1,0)</f>
        <v>0</v>
      </c>
      <c r="AA1095" s="39">
        <f t="shared" si="310"/>
        <v>0</v>
      </c>
      <c r="AB1095" s="39">
        <f t="shared" si="311"/>
        <v>0</v>
      </c>
      <c r="AC1095" s="39" t="str">
        <f t="shared" si="312"/>
        <v/>
      </c>
      <c r="AD1095" s="39" t="str">
        <f t="shared" si="313"/>
        <v/>
      </c>
      <c r="AE1095" s="39" t="str">
        <f t="shared" si="314"/>
        <v/>
      </c>
      <c r="AF1095" s="106" t="str">
        <f t="shared" si="315"/>
        <v/>
      </c>
      <c r="AG1095" s="39">
        <f t="shared" si="316"/>
        <v>0</v>
      </c>
      <c r="AH1095" s="39" t="str">
        <f t="shared" si="317"/>
        <v/>
      </c>
      <c r="AI1095" s="39">
        <f>IF(AND($E1095="timed",$N1095&gt;=Settings!$C$9),1,0)</f>
        <v>0</v>
      </c>
      <c r="AJ1095" s="39" t="str">
        <f>IF(OR($S1095="",Settings!$C$16=""),"",IF($S1095&lt;=Settings!$C$16,1,2))</f>
        <v/>
      </c>
      <c r="AK1095" s="39" t="str">
        <f>IF($C1095="","",IFERROR(IF(INDEX(Settings!$C$20:$C$59,MATCH($C1095,Settings!$B$20:$B$59,0))="",Settings!$C$10,INDEX(Settings!$C$20:$C$59,MATCH($C1095,Settings!$B$20:$B$59,0))),Settings!$C$10))</f>
        <v/>
      </c>
      <c r="AL1095" s="108">
        <f t="shared" si="318"/>
        <v>0</v>
      </c>
      <c r="AM1095" s="39" t="str">
        <f t="shared" si="319"/>
        <v/>
      </c>
      <c r="AN1095" s="39" t="str">
        <f t="shared" si="320"/>
        <v/>
      </c>
      <c r="AO1095" s="39" t="str">
        <f t="shared" si="321"/>
        <v/>
      </c>
      <c r="AP1095" s="39">
        <f t="shared" si="322"/>
        <v>0</v>
      </c>
      <c r="AQ1095" s="39">
        <f t="shared" si="323"/>
        <v>0</v>
      </c>
    </row>
    <row r="1096" spans="14:43" x14ac:dyDescent="0.25">
      <c r="N1096" s="105">
        <f t="shared" si="306"/>
        <v>0</v>
      </c>
      <c r="O1096" s="106" t="str">
        <f>IF($F1096="","",IF(ISNUMBER($F1096),$F1096+Settings!$C$7/24,IFERROR(DATEVALUE(LEFT($F1096,10))+TIMEVALUE(MID($F1096,12,8))+Settings!$C$7/24,"")))</f>
        <v/>
      </c>
      <c r="P1096" s="106" t="str">
        <f>IF($G1096="","",IF(ISNUMBER($G1096),$G1096+Settings!$C$7/24,IFERROR(DATEVALUE(LEFT($G1096,10))+TIMEVALUE(MID($G1096,12,8))+Settings!$C$7/24,"")))</f>
        <v/>
      </c>
      <c r="Q1096" s="39" t="str">
        <f t="shared" si="307"/>
        <v/>
      </c>
      <c r="R1096" s="39" t="str">
        <f t="shared" si="308"/>
        <v/>
      </c>
      <c r="S1096" s="107" t="str">
        <f t="shared" si="309"/>
        <v/>
      </c>
      <c r="T1096" s="39" t="str">
        <f>IF($C1096="","",IF(COUNTIF($C$2:$C1096,$C1096)=1,1,0))</f>
        <v/>
      </c>
      <c r="U1096" s="39" t="str">
        <f>IF($T1096=1,COUNTIF($T$2:$T1096,1),"")</f>
        <v/>
      </c>
      <c r="V1096" s="39" t="str">
        <f>IF($B1096="","",IF(COUNTIF($B$2:$B1096,$B1096)=1,1,0))</f>
        <v/>
      </c>
      <c r="W1096" s="39" t="str">
        <f>IF($V1096=1,COUNTIF($V$2:$V1096,1),"")</f>
        <v/>
      </c>
      <c r="X1096" s="39" t="str">
        <f>IF($A1096="","",IF(COUNTIF($A$2:$A1096,$A1096)=1,1,0))</f>
        <v/>
      </c>
      <c r="Y1096" s="39" t="str">
        <f>IF($X1096=1,COUNTIF($X$2:$X1096,1),"")</f>
        <v/>
      </c>
      <c r="Z1096" s="39">
        <f>IF(AND($E1096="timed",$N1096&gt;Settings!$C$8),1,0)</f>
        <v>0</v>
      </c>
      <c r="AA1096" s="39">
        <f t="shared" si="310"/>
        <v>0</v>
      </c>
      <c r="AB1096" s="39">
        <f t="shared" si="311"/>
        <v>0</v>
      </c>
      <c r="AC1096" s="39" t="str">
        <f t="shared" si="312"/>
        <v/>
      </c>
      <c r="AD1096" s="39" t="str">
        <f t="shared" si="313"/>
        <v/>
      </c>
      <c r="AE1096" s="39" t="str">
        <f t="shared" si="314"/>
        <v/>
      </c>
      <c r="AF1096" s="106" t="str">
        <f t="shared" si="315"/>
        <v/>
      </c>
      <c r="AG1096" s="39">
        <f t="shared" si="316"/>
        <v>0</v>
      </c>
      <c r="AH1096" s="39" t="str">
        <f t="shared" si="317"/>
        <v/>
      </c>
      <c r="AI1096" s="39">
        <f>IF(AND($E1096="timed",$N1096&gt;=Settings!$C$9),1,0)</f>
        <v>0</v>
      </c>
      <c r="AJ1096" s="39" t="str">
        <f>IF(OR($S1096="",Settings!$C$16=""),"",IF($S1096&lt;=Settings!$C$16,1,2))</f>
        <v/>
      </c>
      <c r="AK1096" s="39" t="str">
        <f>IF($C1096="","",IFERROR(IF(INDEX(Settings!$C$20:$C$59,MATCH($C1096,Settings!$B$20:$B$59,0))="",Settings!$C$10,INDEX(Settings!$C$20:$C$59,MATCH($C1096,Settings!$B$20:$B$59,0))),Settings!$C$10))</f>
        <v/>
      </c>
      <c r="AL1096" s="108">
        <f t="shared" si="318"/>
        <v>0</v>
      </c>
      <c r="AM1096" s="39" t="str">
        <f t="shared" si="319"/>
        <v/>
      </c>
      <c r="AN1096" s="39" t="str">
        <f t="shared" si="320"/>
        <v/>
      </c>
      <c r="AO1096" s="39" t="str">
        <f t="shared" si="321"/>
        <v/>
      </c>
      <c r="AP1096" s="39">
        <f t="shared" si="322"/>
        <v>0</v>
      </c>
      <c r="AQ1096" s="39">
        <f t="shared" si="323"/>
        <v>0</v>
      </c>
    </row>
    <row r="1097" spans="14:43" x14ac:dyDescent="0.25">
      <c r="N1097" s="105">
        <f t="shared" si="306"/>
        <v>0</v>
      </c>
      <c r="O1097" s="106" t="str">
        <f>IF($F1097="","",IF(ISNUMBER($F1097),$F1097+Settings!$C$7/24,IFERROR(DATEVALUE(LEFT($F1097,10))+TIMEVALUE(MID($F1097,12,8))+Settings!$C$7/24,"")))</f>
        <v/>
      </c>
      <c r="P1097" s="106" t="str">
        <f>IF($G1097="","",IF(ISNUMBER($G1097),$G1097+Settings!$C$7/24,IFERROR(DATEVALUE(LEFT($G1097,10))+TIMEVALUE(MID($G1097,12,8))+Settings!$C$7/24,"")))</f>
        <v/>
      </c>
      <c r="Q1097" s="39" t="str">
        <f t="shared" si="307"/>
        <v/>
      </c>
      <c r="R1097" s="39" t="str">
        <f t="shared" si="308"/>
        <v/>
      </c>
      <c r="S1097" s="107" t="str">
        <f t="shared" si="309"/>
        <v/>
      </c>
      <c r="T1097" s="39" t="str">
        <f>IF($C1097="","",IF(COUNTIF($C$2:$C1097,$C1097)=1,1,0))</f>
        <v/>
      </c>
      <c r="U1097" s="39" t="str">
        <f>IF($T1097=1,COUNTIF($T$2:$T1097,1),"")</f>
        <v/>
      </c>
      <c r="V1097" s="39" t="str">
        <f>IF($B1097="","",IF(COUNTIF($B$2:$B1097,$B1097)=1,1,0))</f>
        <v/>
      </c>
      <c r="W1097" s="39" t="str">
        <f>IF($V1097=1,COUNTIF($V$2:$V1097,1),"")</f>
        <v/>
      </c>
      <c r="X1097" s="39" t="str">
        <f>IF($A1097="","",IF(COUNTIF($A$2:$A1097,$A1097)=1,1,0))</f>
        <v/>
      </c>
      <c r="Y1097" s="39" t="str">
        <f>IF($X1097=1,COUNTIF($X$2:$X1097,1),"")</f>
        <v/>
      </c>
      <c r="Z1097" s="39">
        <f>IF(AND($E1097="timed",$N1097&gt;Settings!$C$8),1,0)</f>
        <v>0</v>
      </c>
      <c r="AA1097" s="39">
        <f t="shared" si="310"/>
        <v>0</v>
      </c>
      <c r="AB1097" s="39">
        <f t="shared" si="311"/>
        <v>0</v>
      </c>
      <c r="AC1097" s="39" t="str">
        <f t="shared" si="312"/>
        <v/>
      </c>
      <c r="AD1097" s="39" t="str">
        <f t="shared" si="313"/>
        <v/>
      </c>
      <c r="AE1097" s="39" t="str">
        <f t="shared" si="314"/>
        <v/>
      </c>
      <c r="AF1097" s="106" t="str">
        <f t="shared" si="315"/>
        <v/>
      </c>
      <c r="AG1097" s="39">
        <f t="shared" si="316"/>
        <v>0</v>
      </c>
      <c r="AH1097" s="39" t="str">
        <f t="shared" si="317"/>
        <v/>
      </c>
      <c r="AI1097" s="39">
        <f>IF(AND($E1097="timed",$N1097&gt;=Settings!$C$9),1,0)</f>
        <v>0</v>
      </c>
      <c r="AJ1097" s="39" t="str">
        <f>IF(OR($S1097="",Settings!$C$16=""),"",IF($S1097&lt;=Settings!$C$16,1,2))</f>
        <v/>
      </c>
      <c r="AK1097" s="39" t="str">
        <f>IF($C1097="","",IFERROR(IF(INDEX(Settings!$C$20:$C$59,MATCH($C1097,Settings!$B$20:$B$59,0))="",Settings!$C$10,INDEX(Settings!$C$20:$C$59,MATCH($C1097,Settings!$B$20:$B$59,0))),Settings!$C$10))</f>
        <v/>
      </c>
      <c r="AL1097" s="108">
        <f t="shared" si="318"/>
        <v>0</v>
      </c>
      <c r="AM1097" s="39" t="str">
        <f t="shared" si="319"/>
        <v/>
      </c>
      <c r="AN1097" s="39" t="str">
        <f t="shared" si="320"/>
        <v/>
      </c>
      <c r="AO1097" s="39" t="str">
        <f t="shared" si="321"/>
        <v/>
      </c>
      <c r="AP1097" s="39">
        <f t="shared" si="322"/>
        <v>0</v>
      </c>
      <c r="AQ1097" s="39">
        <f t="shared" si="323"/>
        <v>0</v>
      </c>
    </row>
    <row r="1098" spans="14:43" x14ac:dyDescent="0.25">
      <c r="N1098" s="105">
        <f t="shared" si="306"/>
        <v>0</v>
      </c>
      <c r="O1098" s="106" t="str">
        <f>IF($F1098="","",IF(ISNUMBER($F1098),$F1098+Settings!$C$7/24,IFERROR(DATEVALUE(LEFT($F1098,10))+TIMEVALUE(MID($F1098,12,8))+Settings!$C$7/24,"")))</f>
        <v/>
      </c>
      <c r="P1098" s="106" t="str">
        <f>IF($G1098="","",IF(ISNUMBER($G1098),$G1098+Settings!$C$7/24,IFERROR(DATEVALUE(LEFT($G1098,10))+TIMEVALUE(MID($G1098,12,8))+Settings!$C$7/24,"")))</f>
        <v/>
      </c>
      <c r="Q1098" s="39" t="str">
        <f t="shared" si="307"/>
        <v/>
      </c>
      <c r="R1098" s="39" t="str">
        <f t="shared" si="308"/>
        <v/>
      </c>
      <c r="S1098" s="107" t="str">
        <f t="shared" si="309"/>
        <v/>
      </c>
      <c r="T1098" s="39" t="str">
        <f>IF($C1098="","",IF(COUNTIF($C$2:$C1098,$C1098)=1,1,0))</f>
        <v/>
      </c>
      <c r="U1098" s="39" t="str">
        <f>IF($T1098=1,COUNTIF($T$2:$T1098,1),"")</f>
        <v/>
      </c>
      <c r="V1098" s="39" t="str">
        <f>IF($B1098="","",IF(COUNTIF($B$2:$B1098,$B1098)=1,1,0))</f>
        <v/>
      </c>
      <c r="W1098" s="39" t="str">
        <f>IF($V1098=1,COUNTIF($V$2:$V1098,1),"")</f>
        <v/>
      </c>
      <c r="X1098" s="39" t="str">
        <f>IF($A1098="","",IF(COUNTIF($A$2:$A1098,$A1098)=1,1,0))</f>
        <v/>
      </c>
      <c r="Y1098" s="39" t="str">
        <f>IF($X1098=1,COUNTIF($X$2:$X1098,1),"")</f>
        <v/>
      </c>
      <c r="Z1098" s="39">
        <f>IF(AND($E1098="timed",$N1098&gt;Settings!$C$8),1,0)</f>
        <v>0</v>
      </c>
      <c r="AA1098" s="39">
        <f t="shared" si="310"/>
        <v>0</v>
      </c>
      <c r="AB1098" s="39">
        <f t="shared" si="311"/>
        <v>0</v>
      </c>
      <c r="AC1098" s="39" t="str">
        <f t="shared" si="312"/>
        <v/>
      </c>
      <c r="AD1098" s="39" t="str">
        <f t="shared" si="313"/>
        <v/>
      </c>
      <c r="AE1098" s="39" t="str">
        <f t="shared" si="314"/>
        <v/>
      </c>
      <c r="AF1098" s="106" t="str">
        <f t="shared" si="315"/>
        <v/>
      </c>
      <c r="AG1098" s="39">
        <f t="shared" si="316"/>
        <v>0</v>
      </c>
      <c r="AH1098" s="39" t="str">
        <f t="shared" si="317"/>
        <v/>
      </c>
      <c r="AI1098" s="39">
        <f>IF(AND($E1098="timed",$N1098&gt;=Settings!$C$9),1,0)</f>
        <v>0</v>
      </c>
      <c r="AJ1098" s="39" t="str">
        <f>IF(OR($S1098="",Settings!$C$16=""),"",IF($S1098&lt;=Settings!$C$16,1,2))</f>
        <v/>
      </c>
      <c r="AK1098" s="39" t="str">
        <f>IF($C1098="","",IFERROR(IF(INDEX(Settings!$C$20:$C$59,MATCH($C1098,Settings!$B$20:$B$59,0))="",Settings!$C$10,INDEX(Settings!$C$20:$C$59,MATCH($C1098,Settings!$B$20:$B$59,0))),Settings!$C$10))</f>
        <v/>
      </c>
      <c r="AL1098" s="108">
        <f t="shared" si="318"/>
        <v>0</v>
      </c>
      <c r="AM1098" s="39" t="str">
        <f t="shared" si="319"/>
        <v/>
      </c>
      <c r="AN1098" s="39" t="str">
        <f t="shared" si="320"/>
        <v/>
      </c>
      <c r="AO1098" s="39" t="str">
        <f t="shared" si="321"/>
        <v/>
      </c>
      <c r="AP1098" s="39">
        <f t="shared" si="322"/>
        <v>0</v>
      </c>
      <c r="AQ1098" s="39">
        <f t="shared" si="323"/>
        <v>0</v>
      </c>
    </row>
    <row r="1099" spans="14:43" x14ac:dyDescent="0.25">
      <c r="N1099" s="105">
        <f t="shared" si="306"/>
        <v>0</v>
      </c>
      <c r="O1099" s="106" t="str">
        <f>IF($F1099="","",IF(ISNUMBER($F1099),$F1099+Settings!$C$7/24,IFERROR(DATEVALUE(LEFT($F1099,10))+TIMEVALUE(MID($F1099,12,8))+Settings!$C$7/24,"")))</f>
        <v/>
      </c>
      <c r="P1099" s="106" t="str">
        <f>IF($G1099="","",IF(ISNUMBER($G1099),$G1099+Settings!$C$7/24,IFERROR(DATEVALUE(LEFT($G1099,10))+TIMEVALUE(MID($G1099,12,8))+Settings!$C$7/24,"")))</f>
        <v/>
      </c>
      <c r="Q1099" s="39" t="str">
        <f t="shared" si="307"/>
        <v/>
      </c>
      <c r="R1099" s="39" t="str">
        <f t="shared" si="308"/>
        <v/>
      </c>
      <c r="S1099" s="107" t="str">
        <f t="shared" si="309"/>
        <v/>
      </c>
      <c r="T1099" s="39" t="str">
        <f>IF($C1099="","",IF(COUNTIF($C$2:$C1099,$C1099)=1,1,0))</f>
        <v/>
      </c>
      <c r="U1099" s="39" t="str">
        <f>IF($T1099=1,COUNTIF($T$2:$T1099,1),"")</f>
        <v/>
      </c>
      <c r="V1099" s="39" t="str">
        <f>IF($B1099="","",IF(COUNTIF($B$2:$B1099,$B1099)=1,1,0))</f>
        <v/>
      </c>
      <c r="W1099" s="39" t="str">
        <f>IF($V1099=1,COUNTIF($V$2:$V1099,1),"")</f>
        <v/>
      </c>
      <c r="X1099" s="39" t="str">
        <f>IF($A1099="","",IF(COUNTIF($A$2:$A1099,$A1099)=1,1,0))</f>
        <v/>
      </c>
      <c r="Y1099" s="39" t="str">
        <f>IF($X1099=1,COUNTIF($X$2:$X1099,1),"")</f>
        <v/>
      </c>
      <c r="Z1099" s="39">
        <f>IF(AND($E1099="timed",$N1099&gt;Settings!$C$8),1,0)</f>
        <v>0</v>
      </c>
      <c r="AA1099" s="39">
        <f t="shared" si="310"/>
        <v>0</v>
      </c>
      <c r="AB1099" s="39">
        <f t="shared" si="311"/>
        <v>0</v>
      </c>
      <c r="AC1099" s="39" t="str">
        <f t="shared" si="312"/>
        <v/>
      </c>
      <c r="AD1099" s="39" t="str">
        <f t="shared" si="313"/>
        <v/>
      </c>
      <c r="AE1099" s="39" t="str">
        <f t="shared" si="314"/>
        <v/>
      </c>
      <c r="AF1099" s="106" t="str">
        <f t="shared" si="315"/>
        <v/>
      </c>
      <c r="AG1099" s="39">
        <f t="shared" si="316"/>
        <v>0</v>
      </c>
      <c r="AH1099" s="39" t="str">
        <f t="shared" si="317"/>
        <v/>
      </c>
      <c r="AI1099" s="39">
        <f>IF(AND($E1099="timed",$N1099&gt;=Settings!$C$9),1,0)</f>
        <v>0</v>
      </c>
      <c r="AJ1099" s="39" t="str">
        <f>IF(OR($S1099="",Settings!$C$16=""),"",IF($S1099&lt;=Settings!$C$16,1,2))</f>
        <v/>
      </c>
      <c r="AK1099" s="39" t="str">
        <f>IF($C1099="","",IFERROR(IF(INDEX(Settings!$C$20:$C$59,MATCH($C1099,Settings!$B$20:$B$59,0))="",Settings!$C$10,INDEX(Settings!$C$20:$C$59,MATCH($C1099,Settings!$B$20:$B$59,0))),Settings!$C$10))</f>
        <v/>
      </c>
      <c r="AL1099" s="108">
        <f t="shared" si="318"/>
        <v>0</v>
      </c>
      <c r="AM1099" s="39" t="str">
        <f t="shared" si="319"/>
        <v/>
      </c>
      <c r="AN1099" s="39" t="str">
        <f t="shared" si="320"/>
        <v/>
      </c>
      <c r="AO1099" s="39" t="str">
        <f t="shared" si="321"/>
        <v/>
      </c>
      <c r="AP1099" s="39">
        <f t="shared" si="322"/>
        <v>0</v>
      </c>
      <c r="AQ1099" s="39">
        <f t="shared" si="323"/>
        <v>0</v>
      </c>
    </row>
    <row r="1100" spans="14:43" x14ac:dyDescent="0.25">
      <c r="N1100" s="105">
        <f t="shared" si="306"/>
        <v>0</v>
      </c>
      <c r="O1100" s="106" t="str">
        <f>IF($F1100="","",IF(ISNUMBER($F1100),$F1100+Settings!$C$7/24,IFERROR(DATEVALUE(LEFT($F1100,10))+TIMEVALUE(MID($F1100,12,8))+Settings!$C$7/24,"")))</f>
        <v/>
      </c>
      <c r="P1100" s="106" t="str">
        <f>IF($G1100="","",IF(ISNUMBER($G1100),$G1100+Settings!$C$7/24,IFERROR(DATEVALUE(LEFT($G1100,10))+TIMEVALUE(MID($G1100,12,8))+Settings!$C$7/24,"")))</f>
        <v/>
      </c>
      <c r="Q1100" s="39" t="str">
        <f t="shared" si="307"/>
        <v/>
      </c>
      <c r="R1100" s="39" t="str">
        <f t="shared" si="308"/>
        <v/>
      </c>
      <c r="S1100" s="107" t="str">
        <f t="shared" si="309"/>
        <v/>
      </c>
      <c r="T1100" s="39" t="str">
        <f>IF($C1100="","",IF(COUNTIF($C$2:$C1100,$C1100)=1,1,0))</f>
        <v/>
      </c>
      <c r="U1100" s="39" t="str">
        <f>IF($T1100=1,COUNTIF($T$2:$T1100,1),"")</f>
        <v/>
      </c>
      <c r="V1100" s="39" t="str">
        <f>IF($B1100="","",IF(COUNTIF($B$2:$B1100,$B1100)=1,1,0))</f>
        <v/>
      </c>
      <c r="W1100" s="39" t="str">
        <f>IF($V1100=1,COUNTIF($V$2:$V1100,1),"")</f>
        <v/>
      </c>
      <c r="X1100" s="39" t="str">
        <f>IF($A1100="","",IF(COUNTIF($A$2:$A1100,$A1100)=1,1,0))</f>
        <v/>
      </c>
      <c r="Y1100" s="39" t="str">
        <f>IF($X1100=1,COUNTIF($X$2:$X1100,1),"")</f>
        <v/>
      </c>
      <c r="Z1100" s="39">
        <f>IF(AND($E1100="timed",$N1100&gt;Settings!$C$8),1,0)</f>
        <v>0</v>
      </c>
      <c r="AA1100" s="39">
        <f t="shared" si="310"/>
        <v>0</v>
      </c>
      <c r="AB1100" s="39">
        <f t="shared" si="311"/>
        <v>0</v>
      </c>
      <c r="AC1100" s="39" t="str">
        <f t="shared" si="312"/>
        <v/>
      </c>
      <c r="AD1100" s="39" t="str">
        <f t="shared" si="313"/>
        <v/>
      </c>
      <c r="AE1100" s="39" t="str">
        <f t="shared" si="314"/>
        <v/>
      </c>
      <c r="AF1100" s="106" t="str">
        <f t="shared" si="315"/>
        <v/>
      </c>
      <c r="AG1100" s="39">
        <f t="shared" si="316"/>
        <v>0</v>
      </c>
      <c r="AH1100" s="39" t="str">
        <f t="shared" si="317"/>
        <v/>
      </c>
      <c r="AI1100" s="39">
        <f>IF(AND($E1100="timed",$N1100&gt;=Settings!$C$9),1,0)</f>
        <v>0</v>
      </c>
      <c r="AJ1100" s="39" t="str">
        <f>IF(OR($S1100="",Settings!$C$16=""),"",IF($S1100&lt;=Settings!$C$16,1,2))</f>
        <v/>
      </c>
      <c r="AK1100" s="39" t="str">
        <f>IF($C1100="","",IFERROR(IF(INDEX(Settings!$C$20:$C$59,MATCH($C1100,Settings!$B$20:$B$59,0))="",Settings!$C$10,INDEX(Settings!$C$20:$C$59,MATCH($C1100,Settings!$B$20:$B$59,0))),Settings!$C$10))</f>
        <v/>
      </c>
      <c r="AL1100" s="108">
        <f t="shared" si="318"/>
        <v>0</v>
      </c>
      <c r="AM1100" s="39" t="str">
        <f t="shared" si="319"/>
        <v/>
      </c>
      <c r="AN1100" s="39" t="str">
        <f t="shared" si="320"/>
        <v/>
      </c>
      <c r="AO1100" s="39" t="str">
        <f t="shared" si="321"/>
        <v/>
      </c>
      <c r="AP1100" s="39">
        <f t="shared" si="322"/>
        <v>0</v>
      </c>
      <c r="AQ1100" s="39">
        <f t="shared" si="323"/>
        <v>0</v>
      </c>
    </row>
    <row r="1101" spans="14:43" x14ac:dyDescent="0.25">
      <c r="N1101" s="105">
        <f t="shared" si="306"/>
        <v>0</v>
      </c>
      <c r="O1101" s="106" t="str">
        <f>IF($F1101="","",IF(ISNUMBER($F1101),$F1101+Settings!$C$7/24,IFERROR(DATEVALUE(LEFT($F1101,10))+TIMEVALUE(MID($F1101,12,8))+Settings!$C$7/24,"")))</f>
        <v/>
      </c>
      <c r="P1101" s="106" t="str">
        <f>IF($G1101="","",IF(ISNUMBER($G1101),$G1101+Settings!$C$7/24,IFERROR(DATEVALUE(LEFT($G1101,10))+TIMEVALUE(MID($G1101,12,8))+Settings!$C$7/24,"")))</f>
        <v/>
      </c>
      <c r="Q1101" s="39" t="str">
        <f t="shared" si="307"/>
        <v/>
      </c>
      <c r="R1101" s="39" t="str">
        <f t="shared" si="308"/>
        <v/>
      </c>
      <c r="S1101" s="107" t="str">
        <f t="shared" si="309"/>
        <v/>
      </c>
      <c r="T1101" s="39" t="str">
        <f>IF($C1101="","",IF(COUNTIF($C$2:$C1101,$C1101)=1,1,0))</f>
        <v/>
      </c>
      <c r="U1101" s="39" t="str">
        <f>IF($T1101=1,COUNTIF($T$2:$T1101,1),"")</f>
        <v/>
      </c>
      <c r="V1101" s="39" t="str">
        <f>IF($B1101="","",IF(COUNTIF($B$2:$B1101,$B1101)=1,1,0))</f>
        <v/>
      </c>
      <c r="W1101" s="39" t="str">
        <f>IF($V1101=1,COUNTIF($V$2:$V1101,1),"")</f>
        <v/>
      </c>
      <c r="X1101" s="39" t="str">
        <f>IF($A1101="","",IF(COUNTIF($A$2:$A1101,$A1101)=1,1,0))</f>
        <v/>
      </c>
      <c r="Y1101" s="39" t="str">
        <f>IF($X1101=1,COUNTIF($X$2:$X1101,1),"")</f>
        <v/>
      </c>
      <c r="Z1101" s="39">
        <f>IF(AND($E1101="timed",$N1101&gt;Settings!$C$8),1,0)</f>
        <v>0</v>
      </c>
      <c r="AA1101" s="39">
        <f t="shared" si="310"/>
        <v>0</v>
      </c>
      <c r="AB1101" s="39">
        <f t="shared" si="311"/>
        <v>0</v>
      </c>
      <c r="AC1101" s="39" t="str">
        <f t="shared" si="312"/>
        <v/>
      </c>
      <c r="AD1101" s="39" t="str">
        <f t="shared" si="313"/>
        <v/>
      </c>
      <c r="AE1101" s="39" t="str">
        <f t="shared" si="314"/>
        <v/>
      </c>
      <c r="AF1101" s="106" t="str">
        <f t="shared" si="315"/>
        <v/>
      </c>
      <c r="AG1101" s="39">
        <f t="shared" si="316"/>
        <v>0</v>
      </c>
      <c r="AH1101" s="39" t="str">
        <f t="shared" si="317"/>
        <v/>
      </c>
      <c r="AI1101" s="39">
        <f>IF(AND($E1101="timed",$N1101&gt;=Settings!$C$9),1,0)</f>
        <v>0</v>
      </c>
      <c r="AJ1101" s="39" t="str">
        <f>IF(OR($S1101="",Settings!$C$16=""),"",IF($S1101&lt;=Settings!$C$16,1,2))</f>
        <v/>
      </c>
      <c r="AK1101" s="39" t="str">
        <f>IF($C1101="","",IFERROR(IF(INDEX(Settings!$C$20:$C$59,MATCH($C1101,Settings!$B$20:$B$59,0))="",Settings!$C$10,INDEX(Settings!$C$20:$C$59,MATCH($C1101,Settings!$B$20:$B$59,0))),Settings!$C$10))</f>
        <v/>
      </c>
      <c r="AL1101" s="108">
        <f t="shared" si="318"/>
        <v>0</v>
      </c>
      <c r="AM1101" s="39" t="str">
        <f t="shared" si="319"/>
        <v/>
      </c>
      <c r="AN1101" s="39" t="str">
        <f t="shared" si="320"/>
        <v/>
      </c>
      <c r="AO1101" s="39" t="str">
        <f t="shared" si="321"/>
        <v/>
      </c>
      <c r="AP1101" s="39">
        <f t="shared" si="322"/>
        <v>0</v>
      </c>
      <c r="AQ1101" s="39">
        <f t="shared" si="323"/>
        <v>0</v>
      </c>
    </row>
    <row r="1102" spans="14:43" x14ac:dyDescent="0.25">
      <c r="N1102" s="105">
        <f t="shared" si="306"/>
        <v>0</v>
      </c>
      <c r="O1102" s="106" t="str">
        <f>IF($F1102="","",IF(ISNUMBER($F1102),$F1102+Settings!$C$7/24,IFERROR(DATEVALUE(LEFT($F1102,10))+TIMEVALUE(MID($F1102,12,8))+Settings!$C$7/24,"")))</f>
        <v/>
      </c>
      <c r="P1102" s="106" t="str">
        <f>IF($G1102="","",IF(ISNUMBER($G1102),$G1102+Settings!$C$7/24,IFERROR(DATEVALUE(LEFT($G1102,10))+TIMEVALUE(MID($G1102,12,8))+Settings!$C$7/24,"")))</f>
        <v/>
      </c>
      <c r="Q1102" s="39" t="str">
        <f t="shared" si="307"/>
        <v/>
      </c>
      <c r="R1102" s="39" t="str">
        <f t="shared" si="308"/>
        <v/>
      </c>
      <c r="S1102" s="107" t="str">
        <f t="shared" si="309"/>
        <v/>
      </c>
      <c r="T1102" s="39" t="str">
        <f>IF($C1102="","",IF(COUNTIF($C$2:$C1102,$C1102)=1,1,0))</f>
        <v/>
      </c>
      <c r="U1102" s="39" t="str">
        <f>IF($T1102=1,COUNTIF($T$2:$T1102,1),"")</f>
        <v/>
      </c>
      <c r="V1102" s="39" t="str">
        <f>IF($B1102="","",IF(COUNTIF($B$2:$B1102,$B1102)=1,1,0))</f>
        <v/>
      </c>
      <c r="W1102" s="39" t="str">
        <f>IF($V1102=1,COUNTIF($V$2:$V1102,1),"")</f>
        <v/>
      </c>
      <c r="X1102" s="39" t="str">
        <f>IF($A1102="","",IF(COUNTIF($A$2:$A1102,$A1102)=1,1,0))</f>
        <v/>
      </c>
      <c r="Y1102" s="39" t="str">
        <f>IF($X1102=1,COUNTIF($X$2:$X1102,1),"")</f>
        <v/>
      </c>
      <c r="Z1102" s="39">
        <f>IF(AND($E1102="timed",$N1102&gt;Settings!$C$8),1,0)</f>
        <v>0</v>
      </c>
      <c r="AA1102" s="39">
        <f t="shared" si="310"/>
        <v>0</v>
      </c>
      <c r="AB1102" s="39">
        <f t="shared" si="311"/>
        <v>0</v>
      </c>
      <c r="AC1102" s="39" t="str">
        <f t="shared" si="312"/>
        <v/>
      </c>
      <c r="AD1102" s="39" t="str">
        <f t="shared" si="313"/>
        <v/>
      </c>
      <c r="AE1102" s="39" t="str">
        <f t="shared" si="314"/>
        <v/>
      </c>
      <c r="AF1102" s="106" t="str">
        <f t="shared" si="315"/>
        <v/>
      </c>
      <c r="AG1102" s="39">
        <f t="shared" si="316"/>
        <v>0</v>
      </c>
      <c r="AH1102" s="39" t="str">
        <f t="shared" si="317"/>
        <v/>
      </c>
      <c r="AI1102" s="39">
        <f>IF(AND($E1102="timed",$N1102&gt;=Settings!$C$9),1,0)</f>
        <v>0</v>
      </c>
      <c r="AJ1102" s="39" t="str">
        <f>IF(OR($S1102="",Settings!$C$16=""),"",IF($S1102&lt;=Settings!$C$16,1,2))</f>
        <v/>
      </c>
      <c r="AK1102" s="39" t="str">
        <f>IF($C1102="","",IFERROR(IF(INDEX(Settings!$C$20:$C$59,MATCH($C1102,Settings!$B$20:$B$59,0))="",Settings!$C$10,INDEX(Settings!$C$20:$C$59,MATCH($C1102,Settings!$B$20:$B$59,0))),Settings!$C$10))</f>
        <v/>
      </c>
      <c r="AL1102" s="108">
        <f t="shared" si="318"/>
        <v>0</v>
      </c>
      <c r="AM1102" s="39" t="str">
        <f t="shared" si="319"/>
        <v/>
      </c>
      <c r="AN1102" s="39" t="str">
        <f t="shared" si="320"/>
        <v/>
      </c>
      <c r="AO1102" s="39" t="str">
        <f t="shared" si="321"/>
        <v/>
      </c>
      <c r="AP1102" s="39">
        <f t="shared" si="322"/>
        <v>0</v>
      </c>
      <c r="AQ1102" s="39">
        <f t="shared" si="323"/>
        <v>0</v>
      </c>
    </row>
    <row r="1103" spans="14:43" x14ac:dyDescent="0.25">
      <c r="N1103" s="105">
        <f t="shared" si="306"/>
        <v>0</v>
      </c>
      <c r="O1103" s="106" t="str">
        <f>IF($F1103="","",IF(ISNUMBER($F1103),$F1103+Settings!$C$7/24,IFERROR(DATEVALUE(LEFT($F1103,10))+TIMEVALUE(MID($F1103,12,8))+Settings!$C$7/24,"")))</f>
        <v/>
      </c>
      <c r="P1103" s="106" t="str">
        <f>IF($G1103="","",IF(ISNUMBER($G1103),$G1103+Settings!$C$7/24,IFERROR(DATEVALUE(LEFT($G1103,10))+TIMEVALUE(MID($G1103,12,8))+Settings!$C$7/24,"")))</f>
        <v/>
      </c>
      <c r="Q1103" s="39" t="str">
        <f t="shared" si="307"/>
        <v/>
      </c>
      <c r="R1103" s="39" t="str">
        <f t="shared" si="308"/>
        <v/>
      </c>
      <c r="S1103" s="107" t="str">
        <f t="shared" si="309"/>
        <v/>
      </c>
      <c r="T1103" s="39" t="str">
        <f>IF($C1103="","",IF(COUNTIF($C$2:$C1103,$C1103)=1,1,0))</f>
        <v/>
      </c>
      <c r="U1103" s="39" t="str">
        <f>IF($T1103=1,COUNTIF($T$2:$T1103,1),"")</f>
        <v/>
      </c>
      <c r="V1103" s="39" t="str">
        <f>IF($B1103="","",IF(COUNTIF($B$2:$B1103,$B1103)=1,1,0))</f>
        <v/>
      </c>
      <c r="W1103" s="39" t="str">
        <f>IF($V1103=1,COUNTIF($V$2:$V1103,1),"")</f>
        <v/>
      </c>
      <c r="X1103" s="39" t="str">
        <f>IF($A1103="","",IF(COUNTIF($A$2:$A1103,$A1103)=1,1,0))</f>
        <v/>
      </c>
      <c r="Y1103" s="39" t="str">
        <f>IF($X1103=1,COUNTIF($X$2:$X1103,1),"")</f>
        <v/>
      </c>
      <c r="Z1103" s="39">
        <f>IF(AND($E1103="timed",$N1103&gt;Settings!$C$8),1,0)</f>
        <v>0</v>
      </c>
      <c r="AA1103" s="39">
        <f t="shared" si="310"/>
        <v>0</v>
      </c>
      <c r="AB1103" s="39">
        <f t="shared" si="311"/>
        <v>0</v>
      </c>
      <c r="AC1103" s="39" t="str">
        <f t="shared" si="312"/>
        <v/>
      </c>
      <c r="AD1103" s="39" t="str">
        <f t="shared" si="313"/>
        <v/>
      </c>
      <c r="AE1103" s="39" t="str">
        <f t="shared" si="314"/>
        <v/>
      </c>
      <c r="AF1103" s="106" t="str">
        <f t="shared" si="315"/>
        <v/>
      </c>
      <c r="AG1103" s="39">
        <f t="shared" si="316"/>
        <v>0</v>
      </c>
      <c r="AH1103" s="39" t="str">
        <f t="shared" si="317"/>
        <v/>
      </c>
      <c r="AI1103" s="39">
        <f>IF(AND($E1103="timed",$N1103&gt;=Settings!$C$9),1,0)</f>
        <v>0</v>
      </c>
      <c r="AJ1103" s="39" t="str">
        <f>IF(OR($S1103="",Settings!$C$16=""),"",IF($S1103&lt;=Settings!$C$16,1,2))</f>
        <v/>
      </c>
      <c r="AK1103" s="39" t="str">
        <f>IF($C1103="","",IFERROR(IF(INDEX(Settings!$C$20:$C$59,MATCH($C1103,Settings!$B$20:$B$59,0))="",Settings!$C$10,INDEX(Settings!$C$20:$C$59,MATCH($C1103,Settings!$B$20:$B$59,0))),Settings!$C$10))</f>
        <v/>
      </c>
      <c r="AL1103" s="108">
        <f t="shared" si="318"/>
        <v>0</v>
      </c>
      <c r="AM1103" s="39" t="str">
        <f t="shared" si="319"/>
        <v/>
      </c>
      <c r="AN1103" s="39" t="str">
        <f t="shared" si="320"/>
        <v/>
      </c>
      <c r="AO1103" s="39" t="str">
        <f t="shared" si="321"/>
        <v/>
      </c>
      <c r="AP1103" s="39">
        <f t="shared" si="322"/>
        <v>0</v>
      </c>
      <c r="AQ1103" s="39">
        <f t="shared" si="323"/>
        <v>0</v>
      </c>
    </row>
    <row r="1104" spans="14:43" x14ac:dyDescent="0.25">
      <c r="N1104" s="105">
        <f t="shared" si="306"/>
        <v>0</v>
      </c>
      <c r="O1104" s="106" t="str">
        <f>IF($F1104="","",IF(ISNUMBER($F1104),$F1104+Settings!$C$7/24,IFERROR(DATEVALUE(LEFT($F1104,10))+TIMEVALUE(MID($F1104,12,8))+Settings!$C$7/24,"")))</f>
        <v/>
      </c>
      <c r="P1104" s="106" t="str">
        <f>IF($G1104="","",IF(ISNUMBER($G1104),$G1104+Settings!$C$7/24,IFERROR(DATEVALUE(LEFT($G1104,10))+TIMEVALUE(MID($G1104,12,8))+Settings!$C$7/24,"")))</f>
        <v/>
      </c>
      <c r="Q1104" s="39" t="str">
        <f t="shared" si="307"/>
        <v/>
      </c>
      <c r="R1104" s="39" t="str">
        <f t="shared" si="308"/>
        <v/>
      </c>
      <c r="S1104" s="107" t="str">
        <f t="shared" si="309"/>
        <v/>
      </c>
      <c r="T1104" s="39" t="str">
        <f>IF($C1104="","",IF(COUNTIF($C$2:$C1104,$C1104)=1,1,0))</f>
        <v/>
      </c>
      <c r="U1104" s="39" t="str">
        <f>IF($T1104=1,COUNTIF($T$2:$T1104,1),"")</f>
        <v/>
      </c>
      <c r="V1104" s="39" t="str">
        <f>IF($B1104="","",IF(COUNTIF($B$2:$B1104,$B1104)=1,1,0))</f>
        <v/>
      </c>
      <c r="W1104" s="39" t="str">
        <f>IF($V1104=1,COUNTIF($V$2:$V1104,1),"")</f>
        <v/>
      </c>
      <c r="X1104" s="39" t="str">
        <f>IF($A1104="","",IF(COUNTIF($A$2:$A1104,$A1104)=1,1,0))</f>
        <v/>
      </c>
      <c r="Y1104" s="39" t="str">
        <f>IF($X1104=1,COUNTIF($X$2:$X1104,1),"")</f>
        <v/>
      </c>
      <c r="Z1104" s="39">
        <f>IF(AND($E1104="timed",$N1104&gt;Settings!$C$8),1,0)</f>
        <v>0</v>
      </c>
      <c r="AA1104" s="39">
        <f t="shared" si="310"/>
        <v>0</v>
      </c>
      <c r="AB1104" s="39">
        <f t="shared" si="311"/>
        <v>0</v>
      </c>
      <c r="AC1104" s="39" t="str">
        <f t="shared" si="312"/>
        <v/>
      </c>
      <c r="AD1104" s="39" t="str">
        <f t="shared" si="313"/>
        <v/>
      </c>
      <c r="AE1104" s="39" t="str">
        <f t="shared" si="314"/>
        <v/>
      </c>
      <c r="AF1104" s="106" t="str">
        <f t="shared" si="315"/>
        <v/>
      </c>
      <c r="AG1104" s="39">
        <f t="shared" si="316"/>
        <v>0</v>
      </c>
      <c r="AH1104" s="39" t="str">
        <f t="shared" si="317"/>
        <v/>
      </c>
      <c r="AI1104" s="39">
        <f>IF(AND($E1104="timed",$N1104&gt;=Settings!$C$9),1,0)</f>
        <v>0</v>
      </c>
      <c r="AJ1104" s="39" t="str">
        <f>IF(OR($S1104="",Settings!$C$16=""),"",IF($S1104&lt;=Settings!$C$16,1,2))</f>
        <v/>
      </c>
      <c r="AK1104" s="39" t="str">
        <f>IF($C1104="","",IFERROR(IF(INDEX(Settings!$C$20:$C$59,MATCH($C1104,Settings!$B$20:$B$59,0))="",Settings!$C$10,INDEX(Settings!$C$20:$C$59,MATCH($C1104,Settings!$B$20:$B$59,0))),Settings!$C$10))</f>
        <v/>
      </c>
      <c r="AL1104" s="108">
        <f t="shared" si="318"/>
        <v>0</v>
      </c>
      <c r="AM1104" s="39" t="str">
        <f t="shared" si="319"/>
        <v/>
      </c>
      <c r="AN1104" s="39" t="str">
        <f t="shared" si="320"/>
        <v/>
      </c>
      <c r="AO1104" s="39" t="str">
        <f t="shared" si="321"/>
        <v/>
      </c>
      <c r="AP1104" s="39">
        <f t="shared" si="322"/>
        <v>0</v>
      </c>
      <c r="AQ1104" s="39">
        <f t="shared" si="323"/>
        <v>0</v>
      </c>
    </row>
    <row r="1105" spans="14:43" x14ac:dyDescent="0.25">
      <c r="N1105" s="105">
        <f t="shared" si="306"/>
        <v>0</v>
      </c>
      <c r="O1105" s="106" t="str">
        <f>IF($F1105="","",IF(ISNUMBER($F1105),$F1105+Settings!$C$7/24,IFERROR(DATEVALUE(LEFT($F1105,10))+TIMEVALUE(MID($F1105,12,8))+Settings!$C$7/24,"")))</f>
        <v/>
      </c>
      <c r="P1105" s="106" t="str">
        <f>IF($G1105="","",IF(ISNUMBER($G1105),$G1105+Settings!$C$7/24,IFERROR(DATEVALUE(LEFT($G1105,10))+TIMEVALUE(MID($G1105,12,8))+Settings!$C$7/24,"")))</f>
        <v/>
      </c>
      <c r="Q1105" s="39" t="str">
        <f t="shared" si="307"/>
        <v/>
      </c>
      <c r="R1105" s="39" t="str">
        <f t="shared" si="308"/>
        <v/>
      </c>
      <c r="S1105" s="107" t="str">
        <f t="shared" si="309"/>
        <v/>
      </c>
      <c r="T1105" s="39" t="str">
        <f>IF($C1105="","",IF(COUNTIF($C$2:$C1105,$C1105)=1,1,0))</f>
        <v/>
      </c>
      <c r="U1105" s="39" t="str">
        <f>IF($T1105=1,COUNTIF($T$2:$T1105,1),"")</f>
        <v/>
      </c>
      <c r="V1105" s="39" t="str">
        <f>IF($B1105="","",IF(COUNTIF($B$2:$B1105,$B1105)=1,1,0))</f>
        <v/>
      </c>
      <c r="W1105" s="39" t="str">
        <f>IF($V1105=1,COUNTIF($V$2:$V1105,1),"")</f>
        <v/>
      </c>
      <c r="X1105" s="39" t="str">
        <f>IF($A1105="","",IF(COUNTIF($A$2:$A1105,$A1105)=1,1,0))</f>
        <v/>
      </c>
      <c r="Y1105" s="39" t="str">
        <f>IF($X1105=1,COUNTIF($X$2:$X1105,1),"")</f>
        <v/>
      </c>
      <c r="Z1105" s="39">
        <f>IF(AND($E1105="timed",$N1105&gt;Settings!$C$8),1,0)</f>
        <v>0</v>
      </c>
      <c r="AA1105" s="39">
        <f t="shared" si="310"/>
        <v>0</v>
      </c>
      <c r="AB1105" s="39">
        <f t="shared" si="311"/>
        <v>0</v>
      </c>
      <c r="AC1105" s="39" t="str">
        <f t="shared" si="312"/>
        <v/>
      </c>
      <c r="AD1105" s="39" t="str">
        <f t="shared" si="313"/>
        <v/>
      </c>
      <c r="AE1105" s="39" t="str">
        <f t="shared" si="314"/>
        <v/>
      </c>
      <c r="AF1105" s="106" t="str">
        <f t="shared" si="315"/>
        <v/>
      </c>
      <c r="AG1105" s="39">
        <f t="shared" si="316"/>
        <v>0</v>
      </c>
      <c r="AH1105" s="39" t="str">
        <f t="shared" si="317"/>
        <v/>
      </c>
      <c r="AI1105" s="39">
        <f>IF(AND($E1105="timed",$N1105&gt;=Settings!$C$9),1,0)</f>
        <v>0</v>
      </c>
      <c r="AJ1105" s="39" t="str">
        <f>IF(OR($S1105="",Settings!$C$16=""),"",IF($S1105&lt;=Settings!$C$16,1,2))</f>
        <v/>
      </c>
      <c r="AK1105" s="39" t="str">
        <f>IF($C1105="","",IFERROR(IF(INDEX(Settings!$C$20:$C$59,MATCH($C1105,Settings!$B$20:$B$59,0))="",Settings!$C$10,INDEX(Settings!$C$20:$C$59,MATCH($C1105,Settings!$B$20:$B$59,0))),Settings!$C$10))</f>
        <v/>
      </c>
      <c r="AL1105" s="108">
        <f t="shared" si="318"/>
        <v>0</v>
      </c>
      <c r="AM1105" s="39" t="str">
        <f t="shared" si="319"/>
        <v/>
      </c>
      <c r="AN1105" s="39" t="str">
        <f t="shared" si="320"/>
        <v/>
      </c>
      <c r="AO1105" s="39" t="str">
        <f t="shared" si="321"/>
        <v/>
      </c>
      <c r="AP1105" s="39">
        <f t="shared" si="322"/>
        <v>0</v>
      </c>
      <c r="AQ1105" s="39">
        <f t="shared" si="323"/>
        <v>0</v>
      </c>
    </row>
    <row r="1106" spans="14:43" x14ac:dyDescent="0.25">
      <c r="N1106" s="105">
        <f t="shared" si="306"/>
        <v>0</v>
      </c>
      <c r="O1106" s="106" t="str">
        <f>IF($F1106="","",IF(ISNUMBER($F1106),$F1106+Settings!$C$7/24,IFERROR(DATEVALUE(LEFT($F1106,10))+TIMEVALUE(MID($F1106,12,8))+Settings!$C$7/24,"")))</f>
        <v/>
      </c>
      <c r="P1106" s="106" t="str">
        <f>IF($G1106="","",IF(ISNUMBER($G1106),$G1106+Settings!$C$7/24,IFERROR(DATEVALUE(LEFT($G1106,10))+TIMEVALUE(MID($G1106,12,8))+Settings!$C$7/24,"")))</f>
        <v/>
      </c>
      <c r="Q1106" s="39" t="str">
        <f t="shared" si="307"/>
        <v/>
      </c>
      <c r="R1106" s="39" t="str">
        <f t="shared" si="308"/>
        <v/>
      </c>
      <c r="S1106" s="107" t="str">
        <f t="shared" si="309"/>
        <v/>
      </c>
      <c r="T1106" s="39" t="str">
        <f>IF($C1106="","",IF(COUNTIF($C$2:$C1106,$C1106)=1,1,0))</f>
        <v/>
      </c>
      <c r="U1106" s="39" t="str">
        <f>IF($T1106=1,COUNTIF($T$2:$T1106,1),"")</f>
        <v/>
      </c>
      <c r="V1106" s="39" t="str">
        <f>IF($B1106="","",IF(COUNTIF($B$2:$B1106,$B1106)=1,1,0))</f>
        <v/>
      </c>
      <c r="W1106" s="39" t="str">
        <f>IF($V1106=1,COUNTIF($V$2:$V1106,1),"")</f>
        <v/>
      </c>
      <c r="X1106" s="39" t="str">
        <f>IF($A1106="","",IF(COUNTIF($A$2:$A1106,$A1106)=1,1,0))</f>
        <v/>
      </c>
      <c r="Y1106" s="39" t="str">
        <f>IF($X1106=1,COUNTIF($X$2:$X1106,1),"")</f>
        <v/>
      </c>
      <c r="Z1106" s="39">
        <f>IF(AND($E1106="timed",$N1106&gt;Settings!$C$8),1,0)</f>
        <v>0</v>
      </c>
      <c r="AA1106" s="39">
        <f t="shared" si="310"/>
        <v>0</v>
      </c>
      <c r="AB1106" s="39">
        <f t="shared" si="311"/>
        <v>0</v>
      </c>
      <c r="AC1106" s="39" t="str">
        <f t="shared" si="312"/>
        <v/>
      </c>
      <c r="AD1106" s="39" t="str">
        <f t="shared" si="313"/>
        <v/>
      </c>
      <c r="AE1106" s="39" t="str">
        <f t="shared" si="314"/>
        <v/>
      </c>
      <c r="AF1106" s="106" t="str">
        <f t="shared" si="315"/>
        <v/>
      </c>
      <c r="AG1106" s="39">
        <f t="shared" si="316"/>
        <v>0</v>
      </c>
      <c r="AH1106" s="39" t="str">
        <f t="shared" si="317"/>
        <v/>
      </c>
      <c r="AI1106" s="39">
        <f>IF(AND($E1106="timed",$N1106&gt;=Settings!$C$9),1,0)</f>
        <v>0</v>
      </c>
      <c r="AJ1106" s="39" t="str">
        <f>IF(OR($S1106="",Settings!$C$16=""),"",IF($S1106&lt;=Settings!$C$16,1,2))</f>
        <v/>
      </c>
      <c r="AK1106" s="39" t="str">
        <f>IF($C1106="","",IFERROR(IF(INDEX(Settings!$C$20:$C$59,MATCH($C1106,Settings!$B$20:$B$59,0))="",Settings!$C$10,INDEX(Settings!$C$20:$C$59,MATCH($C1106,Settings!$B$20:$B$59,0))),Settings!$C$10))</f>
        <v/>
      </c>
      <c r="AL1106" s="108">
        <f t="shared" si="318"/>
        <v>0</v>
      </c>
      <c r="AM1106" s="39" t="str">
        <f t="shared" si="319"/>
        <v/>
      </c>
      <c r="AN1106" s="39" t="str">
        <f t="shared" si="320"/>
        <v/>
      </c>
      <c r="AO1106" s="39" t="str">
        <f t="shared" si="321"/>
        <v/>
      </c>
      <c r="AP1106" s="39">
        <f t="shared" si="322"/>
        <v>0</v>
      </c>
      <c r="AQ1106" s="39">
        <f t="shared" si="323"/>
        <v>0</v>
      </c>
    </row>
    <row r="1107" spans="14:43" x14ac:dyDescent="0.25">
      <c r="N1107" s="105">
        <f t="shared" si="306"/>
        <v>0</v>
      </c>
      <c r="O1107" s="106" t="str">
        <f>IF($F1107="","",IF(ISNUMBER($F1107),$F1107+Settings!$C$7/24,IFERROR(DATEVALUE(LEFT($F1107,10))+TIMEVALUE(MID($F1107,12,8))+Settings!$C$7/24,"")))</f>
        <v/>
      </c>
      <c r="P1107" s="106" t="str">
        <f>IF($G1107="","",IF(ISNUMBER($G1107),$G1107+Settings!$C$7/24,IFERROR(DATEVALUE(LEFT($G1107,10))+TIMEVALUE(MID($G1107,12,8))+Settings!$C$7/24,"")))</f>
        <v/>
      </c>
      <c r="Q1107" s="39" t="str">
        <f t="shared" si="307"/>
        <v/>
      </c>
      <c r="R1107" s="39" t="str">
        <f t="shared" si="308"/>
        <v/>
      </c>
      <c r="S1107" s="107" t="str">
        <f t="shared" si="309"/>
        <v/>
      </c>
      <c r="T1107" s="39" t="str">
        <f>IF($C1107="","",IF(COUNTIF($C$2:$C1107,$C1107)=1,1,0))</f>
        <v/>
      </c>
      <c r="U1107" s="39" t="str">
        <f>IF($T1107=1,COUNTIF($T$2:$T1107,1),"")</f>
        <v/>
      </c>
      <c r="V1107" s="39" t="str">
        <f>IF($B1107="","",IF(COUNTIF($B$2:$B1107,$B1107)=1,1,0))</f>
        <v/>
      </c>
      <c r="W1107" s="39" t="str">
        <f>IF($V1107=1,COUNTIF($V$2:$V1107,1),"")</f>
        <v/>
      </c>
      <c r="X1107" s="39" t="str">
        <f>IF($A1107="","",IF(COUNTIF($A$2:$A1107,$A1107)=1,1,0))</f>
        <v/>
      </c>
      <c r="Y1107" s="39" t="str">
        <f>IF($X1107=1,COUNTIF($X$2:$X1107,1),"")</f>
        <v/>
      </c>
      <c r="Z1107" s="39">
        <f>IF(AND($E1107="timed",$N1107&gt;Settings!$C$8),1,0)</f>
        <v>0</v>
      </c>
      <c r="AA1107" s="39">
        <f t="shared" si="310"/>
        <v>0</v>
      </c>
      <c r="AB1107" s="39">
        <f t="shared" si="311"/>
        <v>0</v>
      </c>
      <c r="AC1107" s="39" t="str">
        <f t="shared" si="312"/>
        <v/>
      </c>
      <c r="AD1107" s="39" t="str">
        <f t="shared" si="313"/>
        <v/>
      </c>
      <c r="AE1107" s="39" t="str">
        <f t="shared" si="314"/>
        <v/>
      </c>
      <c r="AF1107" s="106" t="str">
        <f t="shared" si="315"/>
        <v/>
      </c>
      <c r="AG1107" s="39">
        <f t="shared" si="316"/>
        <v>0</v>
      </c>
      <c r="AH1107" s="39" t="str">
        <f t="shared" si="317"/>
        <v/>
      </c>
      <c r="AI1107" s="39">
        <f>IF(AND($E1107="timed",$N1107&gt;=Settings!$C$9),1,0)</f>
        <v>0</v>
      </c>
      <c r="AJ1107" s="39" t="str">
        <f>IF(OR($S1107="",Settings!$C$16=""),"",IF($S1107&lt;=Settings!$C$16,1,2))</f>
        <v/>
      </c>
      <c r="AK1107" s="39" t="str">
        <f>IF($C1107="","",IFERROR(IF(INDEX(Settings!$C$20:$C$59,MATCH($C1107,Settings!$B$20:$B$59,0))="",Settings!$C$10,INDEX(Settings!$C$20:$C$59,MATCH($C1107,Settings!$B$20:$B$59,0))),Settings!$C$10))</f>
        <v/>
      </c>
      <c r="AL1107" s="108">
        <f t="shared" si="318"/>
        <v>0</v>
      </c>
      <c r="AM1107" s="39" t="str">
        <f t="shared" si="319"/>
        <v/>
      </c>
      <c r="AN1107" s="39" t="str">
        <f t="shared" si="320"/>
        <v/>
      </c>
      <c r="AO1107" s="39" t="str">
        <f t="shared" si="321"/>
        <v/>
      </c>
      <c r="AP1107" s="39">
        <f t="shared" si="322"/>
        <v>0</v>
      </c>
      <c r="AQ1107" s="39">
        <f t="shared" si="323"/>
        <v>0</v>
      </c>
    </row>
    <row r="1108" spans="14:43" x14ac:dyDescent="0.25">
      <c r="N1108" s="105">
        <f t="shared" si="306"/>
        <v>0</v>
      </c>
      <c r="O1108" s="106" t="str">
        <f>IF($F1108="","",IF(ISNUMBER($F1108),$F1108+Settings!$C$7/24,IFERROR(DATEVALUE(LEFT($F1108,10))+TIMEVALUE(MID($F1108,12,8))+Settings!$C$7/24,"")))</f>
        <v/>
      </c>
      <c r="P1108" s="106" t="str">
        <f>IF($G1108="","",IF(ISNUMBER($G1108),$G1108+Settings!$C$7/24,IFERROR(DATEVALUE(LEFT($G1108,10))+TIMEVALUE(MID($G1108,12,8))+Settings!$C$7/24,"")))</f>
        <v/>
      </c>
      <c r="Q1108" s="39" t="str">
        <f t="shared" si="307"/>
        <v/>
      </c>
      <c r="R1108" s="39" t="str">
        <f t="shared" si="308"/>
        <v/>
      </c>
      <c r="S1108" s="107" t="str">
        <f t="shared" si="309"/>
        <v/>
      </c>
      <c r="T1108" s="39" t="str">
        <f>IF($C1108="","",IF(COUNTIF($C$2:$C1108,$C1108)=1,1,0))</f>
        <v/>
      </c>
      <c r="U1108" s="39" t="str">
        <f>IF($T1108=1,COUNTIF($T$2:$T1108,1),"")</f>
        <v/>
      </c>
      <c r="V1108" s="39" t="str">
        <f>IF($B1108="","",IF(COUNTIF($B$2:$B1108,$B1108)=1,1,0))</f>
        <v/>
      </c>
      <c r="W1108" s="39" t="str">
        <f>IF($V1108=1,COUNTIF($V$2:$V1108,1),"")</f>
        <v/>
      </c>
      <c r="X1108" s="39" t="str">
        <f>IF($A1108="","",IF(COUNTIF($A$2:$A1108,$A1108)=1,1,0))</f>
        <v/>
      </c>
      <c r="Y1108" s="39" t="str">
        <f>IF($X1108=1,COUNTIF($X$2:$X1108,1),"")</f>
        <v/>
      </c>
      <c r="Z1108" s="39">
        <f>IF(AND($E1108="timed",$N1108&gt;Settings!$C$8),1,0)</f>
        <v>0</v>
      </c>
      <c r="AA1108" s="39">
        <f t="shared" si="310"/>
        <v>0</v>
      </c>
      <c r="AB1108" s="39">
        <f t="shared" si="311"/>
        <v>0</v>
      </c>
      <c r="AC1108" s="39" t="str">
        <f t="shared" si="312"/>
        <v/>
      </c>
      <c r="AD1108" s="39" t="str">
        <f t="shared" si="313"/>
        <v/>
      </c>
      <c r="AE1108" s="39" t="str">
        <f t="shared" si="314"/>
        <v/>
      </c>
      <c r="AF1108" s="106" t="str">
        <f t="shared" si="315"/>
        <v/>
      </c>
      <c r="AG1108" s="39">
        <f t="shared" si="316"/>
        <v>0</v>
      </c>
      <c r="AH1108" s="39" t="str">
        <f t="shared" si="317"/>
        <v/>
      </c>
      <c r="AI1108" s="39">
        <f>IF(AND($E1108="timed",$N1108&gt;=Settings!$C$9),1,0)</f>
        <v>0</v>
      </c>
      <c r="AJ1108" s="39" t="str">
        <f>IF(OR($S1108="",Settings!$C$16=""),"",IF($S1108&lt;=Settings!$C$16,1,2))</f>
        <v/>
      </c>
      <c r="AK1108" s="39" t="str">
        <f>IF($C1108="","",IFERROR(IF(INDEX(Settings!$C$20:$C$59,MATCH($C1108,Settings!$B$20:$B$59,0))="",Settings!$C$10,INDEX(Settings!$C$20:$C$59,MATCH($C1108,Settings!$B$20:$B$59,0))),Settings!$C$10))</f>
        <v/>
      </c>
      <c r="AL1108" s="108">
        <f t="shared" si="318"/>
        <v>0</v>
      </c>
      <c r="AM1108" s="39" t="str">
        <f t="shared" si="319"/>
        <v/>
      </c>
      <c r="AN1108" s="39" t="str">
        <f t="shared" si="320"/>
        <v/>
      </c>
      <c r="AO1108" s="39" t="str">
        <f t="shared" si="321"/>
        <v/>
      </c>
      <c r="AP1108" s="39">
        <f t="shared" si="322"/>
        <v>0</v>
      </c>
      <c r="AQ1108" s="39">
        <f t="shared" si="323"/>
        <v>0</v>
      </c>
    </row>
    <row r="1109" spans="14:43" x14ac:dyDescent="0.25">
      <c r="N1109" s="105">
        <f t="shared" si="306"/>
        <v>0</v>
      </c>
      <c r="O1109" s="106" t="str">
        <f>IF($F1109="","",IF(ISNUMBER($F1109),$F1109+Settings!$C$7/24,IFERROR(DATEVALUE(LEFT($F1109,10))+TIMEVALUE(MID($F1109,12,8))+Settings!$C$7/24,"")))</f>
        <v/>
      </c>
      <c r="P1109" s="106" t="str">
        <f>IF($G1109="","",IF(ISNUMBER($G1109),$G1109+Settings!$C$7/24,IFERROR(DATEVALUE(LEFT($G1109,10))+TIMEVALUE(MID($G1109,12,8))+Settings!$C$7/24,"")))</f>
        <v/>
      </c>
      <c r="Q1109" s="39" t="str">
        <f t="shared" si="307"/>
        <v/>
      </c>
      <c r="R1109" s="39" t="str">
        <f t="shared" si="308"/>
        <v/>
      </c>
      <c r="S1109" s="107" t="str">
        <f t="shared" si="309"/>
        <v/>
      </c>
      <c r="T1109" s="39" t="str">
        <f>IF($C1109="","",IF(COUNTIF($C$2:$C1109,$C1109)=1,1,0))</f>
        <v/>
      </c>
      <c r="U1109" s="39" t="str">
        <f>IF($T1109=1,COUNTIF($T$2:$T1109,1),"")</f>
        <v/>
      </c>
      <c r="V1109" s="39" t="str">
        <f>IF($B1109="","",IF(COUNTIF($B$2:$B1109,$B1109)=1,1,0))</f>
        <v/>
      </c>
      <c r="W1109" s="39" t="str">
        <f>IF($V1109=1,COUNTIF($V$2:$V1109,1),"")</f>
        <v/>
      </c>
      <c r="X1109" s="39" t="str">
        <f>IF($A1109="","",IF(COUNTIF($A$2:$A1109,$A1109)=1,1,0))</f>
        <v/>
      </c>
      <c r="Y1109" s="39" t="str">
        <f>IF($X1109=1,COUNTIF($X$2:$X1109,1),"")</f>
        <v/>
      </c>
      <c r="Z1109" s="39">
        <f>IF(AND($E1109="timed",$N1109&gt;Settings!$C$8),1,0)</f>
        <v>0</v>
      </c>
      <c r="AA1109" s="39">
        <f t="shared" si="310"/>
        <v>0</v>
      </c>
      <c r="AB1109" s="39">
        <f t="shared" si="311"/>
        <v>0</v>
      </c>
      <c r="AC1109" s="39" t="str">
        <f t="shared" si="312"/>
        <v/>
      </c>
      <c r="AD1109" s="39" t="str">
        <f t="shared" si="313"/>
        <v/>
      </c>
      <c r="AE1109" s="39" t="str">
        <f t="shared" si="314"/>
        <v/>
      </c>
      <c r="AF1109" s="106" t="str">
        <f t="shared" si="315"/>
        <v/>
      </c>
      <c r="AG1109" s="39">
        <f t="shared" si="316"/>
        <v>0</v>
      </c>
      <c r="AH1109" s="39" t="str">
        <f t="shared" si="317"/>
        <v/>
      </c>
      <c r="AI1109" s="39">
        <f>IF(AND($E1109="timed",$N1109&gt;=Settings!$C$9),1,0)</f>
        <v>0</v>
      </c>
      <c r="AJ1109" s="39" t="str">
        <f>IF(OR($S1109="",Settings!$C$16=""),"",IF($S1109&lt;=Settings!$C$16,1,2))</f>
        <v/>
      </c>
      <c r="AK1109" s="39" t="str">
        <f>IF($C1109="","",IFERROR(IF(INDEX(Settings!$C$20:$C$59,MATCH($C1109,Settings!$B$20:$B$59,0))="",Settings!$C$10,INDEX(Settings!$C$20:$C$59,MATCH($C1109,Settings!$B$20:$B$59,0))),Settings!$C$10))</f>
        <v/>
      </c>
      <c r="AL1109" s="108">
        <f t="shared" si="318"/>
        <v>0</v>
      </c>
      <c r="AM1109" s="39" t="str">
        <f t="shared" si="319"/>
        <v/>
      </c>
      <c r="AN1109" s="39" t="str">
        <f t="shared" si="320"/>
        <v/>
      </c>
      <c r="AO1109" s="39" t="str">
        <f t="shared" si="321"/>
        <v/>
      </c>
      <c r="AP1109" s="39">
        <f t="shared" si="322"/>
        <v>0</v>
      </c>
      <c r="AQ1109" s="39">
        <f t="shared" si="323"/>
        <v>0</v>
      </c>
    </row>
    <row r="1110" spans="14:43" x14ac:dyDescent="0.25">
      <c r="N1110" s="105">
        <f t="shared" si="306"/>
        <v>0</v>
      </c>
      <c r="O1110" s="106" t="str">
        <f>IF($F1110="","",IF(ISNUMBER($F1110),$F1110+Settings!$C$7/24,IFERROR(DATEVALUE(LEFT($F1110,10))+TIMEVALUE(MID($F1110,12,8))+Settings!$C$7/24,"")))</f>
        <v/>
      </c>
      <c r="P1110" s="106" t="str">
        <f>IF($G1110="","",IF(ISNUMBER($G1110),$G1110+Settings!$C$7/24,IFERROR(DATEVALUE(LEFT($G1110,10))+TIMEVALUE(MID($G1110,12,8))+Settings!$C$7/24,"")))</f>
        <v/>
      </c>
      <c r="Q1110" s="39" t="str">
        <f t="shared" si="307"/>
        <v/>
      </c>
      <c r="R1110" s="39" t="str">
        <f t="shared" si="308"/>
        <v/>
      </c>
      <c r="S1110" s="107" t="str">
        <f t="shared" si="309"/>
        <v/>
      </c>
      <c r="T1110" s="39" t="str">
        <f>IF($C1110="","",IF(COUNTIF($C$2:$C1110,$C1110)=1,1,0))</f>
        <v/>
      </c>
      <c r="U1110" s="39" t="str">
        <f>IF($T1110=1,COUNTIF($T$2:$T1110,1),"")</f>
        <v/>
      </c>
      <c r="V1110" s="39" t="str">
        <f>IF($B1110="","",IF(COUNTIF($B$2:$B1110,$B1110)=1,1,0))</f>
        <v/>
      </c>
      <c r="W1110" s="39" t="str">
        <f>IF($V1110=1,COUNTIF($V$2:$V1110,1),"")</f>
        <v/>
      </c>
      <c r="X1110" s="39" t="str">
        <f>IF($A1110="","",IF(COUNTIF($A$2:$A1110,$A1110)=1,1,0))</f>
        <v/>
      </c>
      <c r="Y1110" s="39" t="str">
        <f>IF($X1110=1,COUNTIF($X$2:$X1110,1),"")</f>
        <v/>
      </c>
      <c r="Z1110" s="39">
        <f>IF(AND($E1110="timed",$N1110&gt;Settings!$C$8),1,0)</f>
        <v>0</v>
      </c>
      <c r="AA1110" s="39">
        <f t="shared" si="310"/>
        <v>0</v>
      </c>
      <c r="AB1110" s="39">
        <f t="shared" si="311"/>
        <v>0</v>
      </c>
      <c r="AC1110" s="39" t="str">
        <f t="shared" si="312"/>
        <v/>
      </c>
      <c r="AD1110" s="39" t="str">
        <f t="shared" si="313"/>
        <v/>
      </c>
      <c r="AE1110" s="39" t="str">
        <f t="shared" si="314"/>
        <v/>
      </c>
      <c r="AF1110" s="106" t="str">
        <f t="shared" si="315"/>
        <v/>
      </c>
      <c r="AG1110" s="39">
        <f t="shared" si="316"/>
        <v>0</v>
      </c>
      <c r="AH1110" s="39" t="str">
        <f t="shared" si="317"/>
        <v/>
      </c>
      <c r="AI1110" s="39">
        <f>IF(AND($E1110="timed",$N1110&gt;=Settings!$C$9),1,0)</f>
        <v>0</v>
      </c>
      <c r="AJ1110" s="39" t="str">
        <f>IF(OR($S1110="",Settings!$C$16=""),"",IF($S1110&lt;=Settings!$C$16,1,2))</f>
        <v/>
      </c>
      <c r="AK1110" s="39" t="str">
        <f>IF($C1110="","",IFERROR(IF(INDEX(Settings!$C$20:$C$59,MATCH($C1110,Settings!$B$20:$B$59,0))="",Settings!$C$10,INDEX(Settings!$C$20:$C$59,MATCH($C1110,Settings!$B$20:$B$59,0))),Settings!$C$10))</f>
        <v/>
      </c>
      <c r="AL1110" s="108">
        <f t="shared" si="318"/>
        <v>0</v>
      </c>
      <c r="AM1110" s="39" t="str">
        <f t="shared" si="319"/>
        <v/>
      </c>
      <c r="AN1110" s="39" t="str">
        <f t="shared" si="320"/>
        <v/>
      </c>
      <c r="AO1110" s="39" t="str">
        <f t="shared" si="321"/>
        <v/>
      </c>
      <c r="AP1110" s="39">
        <f t="shared" si="322"/>
        <v>0</v>
      </c>
      <c r="AQ1110" s="39">
        <f t="shared" si="323"/>
        <v>0</v>
      </c>
    </row>
    <row r="1111" spans="14:43" x14ac:dyDescent="0.25">
      <c r="N1111" s="105">
        <f t="shared" si="306"/>
        <v>0</v>
      </c>
      <c r="O1111" s="106" t="str">
        <f>IF($F1111="","",IF(ISNUMBER($F1111),$F1111+Settings!$C$7/24,IFERROR(DATEVALUE(LEFT($F1111,10))+TIMEVALUE(MID($F1111,12,8))+Settings!$C$7/24,"")))</f>
        <v/>
      </c>
      <c r="P1111" s="106" t="str">
        <f>IF($G1111="","",IF(ISNUMBER($G1111),$G1111+Settings!$C$7/24,IFERROR(DATEVALUE(LEFT($G1111,10))+TIMEVALUE(MID($G1111,12,8))+Settings!$C$7/24,"")))</f>
        <v/>
      </c>
      <c r="Q1111" s="39" t="str">
        <f t="shared" si="307"/>
        <v/>
      </c>
      <c r="R1111" s="39" t="str">
        <f t="shared" si="308"/>
        <v/>
      </c>
      <c r="S1111" s="107" t="str">
        <f t="shared" si="309"/>
        <v/>
      </c>
      <c r="T1111" s="39" t="str">
        <f>IF($C1111="","",IF(COUNTIF($C$2:$C1111,$C1111)=1,1,0))</f>
        <v/>
      </c>
      <c r="U1111" s="39" t="str">
        <f>IF($T1111=1,COUNTIF($T$2:$T1111,1),"")</f>
        <v/>
      </c>
      <c r="V1111" s="39" t="str">
        <f>IF($B1111="","",IF(COUNTIF($B$2:$B1111,$B1111)=1,1,0))</f>
        <v/>
      </c>
      <c r="W1111" s="39" t="str">
        <f>IF($V1111=1,COUNTIF($V$2:$V1111,1),"")</f>
        <v/>
      </c>
      <c r="X1111" s="39" t="str">
        <f>IF($A1111="","",IF(COUNTIF($A$2:$A1111,$A1111)=1,1,0))</f>
        <v/>
      </c>
      <c r="Y1111" s="39" t="str">
        <f>IF($X1111=1,COUNTIF($X$2:$X1111,1),"")</f>
        <v/>
      </c>
      <c r="Z1111" s="39">
        <f>IF(AND($E1111="timed",$N1111&gt;Settings!$C$8),1,0)</f>
        <v>0</v>
      </c>
      <c r="AA1111" s="39">
        <f t="shared" si="310"/>
        <v>0</v>
      </c>
      <c r="AB1111" s="39">
        <f t="shared" si="311"/>
        <v>0</v>
      </c>
      <c r="AC1111" s="39" t="str">
        <f t="shared" si="312"/>
        <v/>
      </c>
      <c r="AD1111" s="39" t="str">
        <f t="shared" si="313"/>
        <v/>
      </c>
      <c r="AE1111" s="39" t="str">
        <f t="shared" si="314"/>
        <v/>
      </c>
      <c r="AF1111" s="106" t="str">
        <f t="shared" si="315"/>
        <v/>
      </c>
      <c r="AG1111" s="39">
        <f t="shared" si="316"/>
        <v>0</v>
      </c>
      <c r="AH1111" s="39" t="str">
        <f t="shared" si="317"/>
        <v/>
      </c>
      <c r="AI1111" s="39">
        <f>IF(AND($E1111="timed",$N1111&gt;=Settings!$C$9),1,0)</f>
        <v>0</v>
      </c>
      <c r="AJ1111" s="39" t="str">
        <f>IF(OR($S1111="",Settings!$C$16=""),"",IF($S1111&lt;=Settings!$C$16,1,2))</f>
        <v/>
      </c>
      <c r="AK1111" s="39" t="str">
        <f>IF($C1111="","",IFERROR(IF(INDEX(Settings!$C$20:$C$59,MATCH($C1111,Settings!$B$20:$B$59,0))="",Settings!$C$10,INDEX(Settings!$C$20:$C$59,MATCH($C1111,Settings!$B$20:$B$59,0))),Settings!$C$10))</f>
        <v/>
      </c>
      <c r="AL1111" s="108">
        <f t="shared" si="318"/>
        <v>0</v>
      </c>
      <c r="AM1111" s="39" t="str">
        <f t="shared" si="319"/>
        <v/>
      </c>
      <c r="AN1111" s="39" t="str">
        <f t="shared" si="320"/>
        <v/>
      </c>
      <c r="AO1111" s="39" t="str">
        <f t="shared" si="321"/>
        <v/>
      </c>
      <c r="AP1111" s="39">
        <f t="shared" si="322"/>
        <v>0</v>
      </c>
      <c r="AQ1111" s="39">
        <f t="shared" si="323"/>
        <v>0</v>
      </c>
    </row>
    <row r="1112" spans="14:43" x14ac:dyDescent="0.25">
      <c r="N1112" s="105">
        <f t="shared" si="306"/>
        <v>0</v>
      </c>
      <c r="O1112" s="106" t="str">
        <f>IF($F1112="","",IF(ISNUMBER($F1112),$F1112+Settings!$C$7/24,IFERROR(DATEVALUE(LEFT($F1112,10))+TIMEVALUE(MID($F1112,12,8))+Settings!$C$7/24,"")))</f>
        <v/>
      </c>
      <c r="P1112" s="106" t="str">
        <f>IF($G1112="","",IF(ISNUMBER($G1112),$G1112+Settings!$C$7/24,IFERROR(DATEVALUE(LEFT($G1112,10))+TIMEVALUE(MID($G1112,12,8))+Settings!$C$7/24,"")))</f>
        <v/>
      </c>
      <c r="Q1112" s="39" t="str">
        <f t="shared" si="307"/>
        <v/>
      </c>
      <c r="R1112" s="39" t="str">
        <f t="shared" si="308"/>
        <v/>
      </c>
      <c r="S1112" s="107" t="str">
        <f t="shared" si="309"/>
        <v/>
      </c>
      <c r="T1112" s="39" t="str">
        <f>IF($C1112="","",IF(COUNTIF($C$2:$C1112,$C1112)=1,1,0))</f>
        <v/>
      </c>
      <c r="U1112" s="39" t="str">
        <f>IF($T1112=1,COUNTIF($T$2:$T1112,1),"")</f>
        <v/>
      </c>
      <c r="V1112" s="39" t="str">
        <f>IF($B1112="","",IF(COUNTIF($B$2:$B1112,$B1112)=1,1,0))</f>
        <v/>
      </c>
      <c r="W1112" s="39" t="str">
        <f>IF($V1112=1,COUNTIF($V$2:$V1112,1),"")</f>
        <v/>
      </c>
      <c r="X1112" s="39" t="str">
        <f>IF($A1112="","",IF(COUNTIF($A$2:$A1112,$A1112)=1,1,0))</f>
        <v/>
      </c>
      <c r="Y1112" s="39" t="str">
        <f>IF($X1112=1,COUNTIF($X$2:$X1112,1),"")</f>
        <v/>
      </c>
      <c r="Z1112" s="39">
        <f>IF(AND($E1112="timed",$N1112&gt;Settings!$C$8),1,0)</f>
        <v>0</v>
      </c>
      <c r="AA1112" s="39">
        <f t="shared" si="310"/>
        <v>0</v>
      </c>
      <c r="AB1112" s="39">
        <f t="shared" si="311"/>
        <v>0</v>
      </c>
      <c r="AC1112" s="39" t="str">
        <f t="shared" si="312"/>
        <v/>
      </c>
      <c r="AD1112" s="39" t="str">
        <f t="shared" si="313"/>
        <v/>
      </c>
      <c r="AE1112" s="39" t="str">
        <f t="shared" si="314"/>
        <v/>
      </c>
      <c r="AF1112" s="106" t="str">
        <f t="shared" si="315"/>
        <v/>
      </c>
      <c r="AG1112" s="39">
        <f t="shared" si="316"/>
        <v>0</v>
      </c>
      <c r="AH1112" s="39" t="str">
        <f t="shared" si="317"/>
        <v/>
      </c>
      <c r="AI1112" s="39">
        <f>IF(AND($E1112="timed",$N1112&gt;=Settings!$C$9),1,0)</f>
        <v>0</v>
      </c>
      <c r="AJ1112" s="39" t="str">
        <f>IF(OR($S1112="",Settings!$C$16=""),"",IF($S1112&lt;=Settings!$C$16,1,2))</f>
        <v/>
      </c>
      <c r="AK1112" s="39" t="str">
        <f>IF($C1112="","",IFERROR(IF(INDEX(Settings!$C$20:$C$59,MATCH($C1112,Settings!$B$20:$B$59,0))="",Settings!$C$10,INDEX(Settings!$C$20:$C$59,MATCH($C1112,Settings!$B$20:$B$59,0))),Settings!$C$10))</f>
        <v/>
      </c>
      <c r="AL1112" s="108">
        <f t="shared" si="318"/>
        <v>0</v>
      </c>
      <c r="AM1112" s="39" t="str">
        <f t="shared" si="319"/>
        <v/>
      </c>
      <c r="AN1112" s="39" t="str">
        <f t="shared" si="320"/>
        <v/>
      </c>
      <c r="AO1112" s="39" t="str">
        <f t="shared" si="321"/>
        <v/>
      </c>
      <c r="AP1112" s="39">
        <f t="shared" si="322"/>
        <v>0</v>
      </c>
      <c r="AQ1112" s="39">
        <f t="shared" si="323"/>
        <v>0</v>
      </c>
    </row>
    <row r="1113" spans="14:43" x14ac:dyDescent="0.25">
      <c r="N1113" s="105">
        <f t="shared" si="306"/>
        <v>0</v>
      </c>
      <c r="O1113" s="106" t="str">
        <f>IF($F1113="","",IF(ISNUMBER($F1113),$F1113+Settings!$C$7/24,IFERROR(DATEVALUE(LEFT($F1113,10))+TIMEVALUE(MID($F1113,12,8))+Settings!$C$7/24,"")))</f>
        <v/>
      </c>
      <c r="P1113" s="106" t="str">
        <f>IF($G1113="","",IF(ISNUMBER($G1113),$G1113+Settings!$C$7/24,IFERROR(DATEVALUE(LEFT($G1113,10))+TIMEVALUE(MID($G1113,12,8))+Settings!$C$7/24,"")))</f>
        <v/>
      </c>
      <c r="Q1113" s="39" t="str">
        <f t="shared" si="307"/>
        <v/>
      </c>
      <c r="R1113" s="39" t="str">
        <f t="shared" si="308"/>
        <v/>
      </c>
      <c r="S1113" s="107" t="str">
        <f t="shared" si="309"/>
        <v/>
      </c>
      <c r="T1113" s="39" t="str">
        <f>IF($C1113="","",IF(COUNTIF($C$2:$C1113,$C1113)=1,1,0))</f>
        <v/>
      </c>
      <c r="U1113" s="39" t="str">
        <f>IF($T1113=1,COUNTIF($T$2:$T1113,1),"")</f>
        <v/>
      </c>
      <c r="V1113" s="39" t="str">
        <f>IF($B1113="","",IF(COUNTIF($B$2:$B1113,$B1113)=1,1,0))</f>
        <v/>
      </c>
      <c r="W1113" s="39" t="str">
        <f>IF($V1113=1,COUNTIF($V$2:$V1113,1),"")</f>
        <v/>
      </c>
      <c r="X1113" s="39" t="str">
        <f>IF($A1113="","",IF(COUNTIF($A$2:$A1113,$A1113)=1,1,0))</f>
        <v/>
      </c>
      <c r="Y1113" s="39" t="str">
        <f>IF($X1113=1,COUNTIF($X$2:$X1113,1),"")</f>
        <v/>
      </c>
      <c r="Z1113" s="39">
        <f>IF(AND($E1113="timed",$N1113&gt;Settings!$C$8),1,0)</f>
        <v>0</v>
      </c>
      <c r="AA1113" s="39">
        <f t="shared" si="310"/>
        <v>0</v>
      </c>
      <c r="AB1113" s="39">
        <f t="shared" si="311"/>
        <v>0</v>
      </c>
      <c r="AC1113" s="39" t="str">
        <f t="shared" si="312"/>
        <v/>
      </c>
      <c r="AD1113" s="39" t="str">
        <f t="shared" si="313"/>
        <v/>
      </c>
      <c r="AE1113" s="39" t="str">
        <f t="shared" si="314"/>
        <v/>
      </c>
      <c r="AF1113" s="106" t="str">
        <f t="shared" si="315"/>
        <v/>
      </c>
      <c r="AG1113" s="39">
        <f t="shared" si="316"/>
        <v>0</v>
      </c>
      <c r="AH1113" s="39" t="str">
        <f t="shared" si="317"/>
        <v/>
      </c>
      <c r="AI1113" s="39">
        <f>IF(AND($E1113="timed",$N1113&gt;=Settings!$C$9),1,0)</f>
        <v>0</v>
      </c>
      <c r="AJ1113" s="39" t="str">
        <f>IF(OR($S1113="",Settings!$C$16=""),"",IF($S1113&lt;=Settings!$C$16,1,2))</f>
        <v/>
      </c>
      <c r="AK1113" s="39" t="str">
        <f>IF($C1113="","",IFERROR(IF(INDEX(Settings!$C$20:$C$59,MATCH($C1113,Settings!$B$20:$B$59,0))="",Settings!$C$10,INDEX(Settings!$C$20:$C$59,MATCH($C1113,Settings!$B$20:$B$59,0))),Settings!$C$10))</f>
        <v/>
      </c>
      <c r="AL1113" s="108">
        <f t="shared" si="318"/>
        <v>0</v>
      </c>
      <c r="AM1113" s="39" t="str">
        <f t="shared" si="319"/>
        <v/>
      </c>
      <c r="AN1113" s="39" t="str">
        <f t="shared" si="320"/>
        <v/>
      </c>
      <c r="AO1113" s="39" t="str">
        <f t="shared" si="321"/>
        <v/>
      </c>
      <c r="AP1113" s="39">
        <f t="shared" si="322"/>
        <v>0</v>
      </c>
      <c r="AQ1113" s="39">
        <f t="shared" si="323"/>
        <v>0</v>
      </c>
    </row>
    <row r="1114" spans="14:43" x14ac:dyDescent="0.25">
      <c r="N1114" s="105">
        <f t="shared" si="306"/>
        <v>0</v>
      </c>
      <c r="O1114" s="106" t="str">
        <f>IF($F1114="","",IF(ISNUMBER($F1114),$F1114+Settings!$C$7/24,IFERROR(DATEVALUE(LEFT($F1114,10))+TIMEVALUE(MID($F1114,12,8))+Settings!$C$7/24,"")))</f>
        <v/>
      </c>
      <c r="P1114" s="106" t="str">
        <f>IF($G1114="","",IF(ISNUMBER($G1114),$G1114+Settings!$C$7/24,IFERROR(DATEVALUE(LEFT($G1114,10))+TIMEVALUE(MID($G1114,12,8))+Settings!$C$7/24,"")))</f>
        <v/>
      </c>
      <c r="Q1114" s="39" t="str">
        <f t="shared" si="307"/>
        <v/>
      </c>
      <c r="R1114" s="39" t="str">
        <f t="shared" si="308"/>
        <v/>
      </c>
      <c r="S1114" s="107" t="str">
        <f t="shared" si="309"/>
        <v/>
      </c>
      <c r="T1114" s="39" t="str">
        <f>IF($C1114="","",IF(COUNTIF($C$2:$C1114,$C1114)=1,1,0))</f>
        <v/>
      </c>
      <c r="U1114" s="39" t="str">
        <f>IF($T1114=1,COUNTIF($T$2:$T1114,1),"")</f>
        <v/>
      </c>
      <c r="V1114" s="39" t="str">
        <f>IF($B1114="","",IF(COUNTIF($B$2:$B1114,$B1114)=1,1,0))</f>
        <v/>
      </c>
      <c r="W1114" s="39" t="str">
        <f>IF($V1114=1,COUNTIF($V$2:$V1114,1),"")</f>
        <v/>
      </c>
      <c r="X1114" s="39" t="str">
        <f>IF($A1114="","",IF(COUNTIF($A$2:$A1114,$A1114)=1,1,0))</f>
        <v/>
      </c>
      <c r="Y1114" s="39" t="str">
        <f>IF($X1114=1,COUNTIF($X$2:$X1114,1),"")</f>
        <v/>
      </c>
      <c r="Z1114" s="39">
        <f>IF(AND($E1114="timed",$N1114&gt;Settings!$C$8),1,0)</f>
        <v>0</v>
      </c>
      <c r="AA1114" s="39">
        <f t="shared" si="310"/>
        <v>0</v>
      </c>
      <c r="AB1114" s="39">
        <f t="shared" si="311"/>
        <v>0</v>
      </c>
      <c r="AC1114" s="39" t="str">
        <f t="shared" si="312"/>
        <v/>
      </c>
      <c r="AD1114" s="39" t="str">
        <f t="shared" si="313"/>
        <v/>
      </c>
      <c r="AE1114" s="39" t="str">
        <f t="shared" si="314"/>
        <v/>
      </c>
      <c r="AF1114" s="106" t="str">
        <f t="shared" si="315"/>
        <v/>
      </c>
      <c r="AG1114" s="39">
        <f t="shared" si="316"/>
        <v>0</v>
      </c>
      <c r="AH1114" s="39" t="str">
        <f t="shared" si="317"/>
        <v/>
      </c>
      <c r="AI1114" s="39">
        <f>IF(AND($E1114="timed",$N1114&gt;=Settings!$C$9),1,0)</f>
        <v>0</v>
      </c>
      <c r="AJ1114" s="39" t="str">
        <f>IF(OR($S1114="",Settings!$C$16=""),"",IF($S1114&lt;=Settings!$C$16,1,2))</f>
        <v/>
      </c>
      <c r="AK1114" s="39" t="str">
        <f>IF($C1114="","",IFERROR(IF(INDEX(Settings!$C$20:$C$59,MATCH($C1114,Settings!$B$20:$B$59,0))="",Settings!$C$10,INDEX(Settings!$C$20:$C$59,MATCH($C1114,Settings!$B$20:$B$59,0))),Settings!$C$10))</f>
        <v/>
      </c>
      <c r="AL1114" s="108">
        <f t="shared" si="318"/>
        <v>0</v>
      </c>
      <c r="AM1114" s="39" t="str">
        <f t="shared" si="319"/>
        <v/>
      </c>
      <c r="AN1114" s="39" t="str">
        <f t="shared" si="320"/>
        <v/>
      </c>
      <c r="AO1114" s="39" t="str">
        <f t="shared" si="321"/>
        <v/>
      </c>
      <c r="AP1114" s="39">
        <f t="shared" si="322"/>
        <v>0</v>
      </c>
      <c r="AQ1114" s="39">
        <f t="shared" si="323"/>
        <v>0</v>
      </c>
    </row>
    <row r="1115" spans="14:43" x14ac:dyDescent="0.25">
      <c r="N1115" s="105">
        <f t="shared" si="306"/>
        <v>0</v>
      </c>
      <c r="O1115" s="106" t="str">
        <f>IF($F1115="","",IF(ISNUMBER($F1115),$F1115+Settings!$C$7/24,IFERROR(DATEVALUE(LEFT($F1115,10))+TIMEVALUE(MID($F1115,12,8))+Settings!$C$7/24,"")))</f>
        <v/>
      </c>
      <c r="P1115" s="106" t="str">
        <f>IF($G1115="","",IF(ISNUMBER($G1115),$G1115+Settings!$C$7/24,IFERROR(DATEVALUE(LEFT($G1115,10))+TIMEVALUE(MID($G1115,12,8))+Settings!$C$7/24,"")))</f>
        <v/>
      </c>
      <c r="Q1115" s="39" t="str">
        <f t="shared" si="307"/>
        <v/>
      </c>
      <c r="R1115" s="39" t="str">
        <f t="shared" si="308"/>
        <v/>
      </c>
      <c r="S1115" s="107" t="str">
        <f t="shared" si="309"/>
        <v/>
      </c>
      <c r="T1115" s="39" t="str">
        <f>IF($C1115="","",IF(COUNTIF($C$2:$C1115,$C1115)=1,1,0))</f>
        <v/>
      </c>
      <c r="U1115" s="39" t="str">
        <f>IF($T1115=1,COUNTIF($T$2:$T1115,1),"")</f>
        <v/>
      </c>
      <c r="V1115" s="39" t="str">
        <f>IF($B1115="","",IF(COUNTIF($B$2:$B1115,$B1115)=1,1,0))</f>
        <v/>
      </c>
      <c r="W1115" s="39" t="str">
        <f>IF($V1115=1,COUNTIF($V$2:$V1115,1),"")</f>
        <v/>
      </c>
      <c r="X1115" s="39" t="str">
        <f>IF($A1115="","",IF(COUNTIF($A$2:$A1115,$A1115)=1,1,0))</f>
        <v/>
      </c>
      <c r="Y1115" s="39" t="str">
        <f>IF($X1115=1,COUNTIF($X$2:$X1115,1),"")</f>
        <v/>
      </c>
      <c r="Z1115" s="39">
        <f>IF(AND($E1115="timed",$N1115&gt;Settings!$C$8),1,0)</f>
        <v>0</v>
      </c>
      <c r="AA1115" s="39">
        <f t="shared" si="310"/>
        <v>0</v>
      </c>
      <c r="AB1115" s="39">
        <f t="shared" si="311"/>
        <v>0</v>
      </c>
      <c r="AC1115" s="39" t="str">
        <f t="shared" si="312"/>
        <v/>
      </c>
      <c r="AD1115" s="39" t="str">
        <f t="shared" si="313"/>
        <v/>
      </c>
      <c r="AE1115" s="39" t="str">
        <f t="shared" si="314"/>
        <v/>
      </c>
      <c r="AF1115" s="106" t="str">
        <f t="shared" si="315"/>
        <v/>
      </c>
      <c r="AG1115" s="39">
        <f t="shared" si="316"/>
        <v>0</v>
      </c>
      <c r="AH1115" s="39" t="str">
        <f t="shared" si="317"/>
        <v/>
      </c>
      <c r="AI1115" s="39">
        <f>IF(AND($E1115="timed",$N1115&gt;=Settings!$C$9),1,0)</f>
        <v>0</v>
      </c>
      <c r="AJ1115" s="39" t="str">
        <f>IF(OR($S1115="",Settings!$C$16=""),"",IF($S1115&lt;=Settings!$C$16,1,2))</f>
        <v/>
      </c>
      <c r="AK1115" s="39" t="str">
        <f>IF($C1115="","",IFERROR(IF(INDEX(Settings!$C$20:$C$59,MATCH($C1115,Settings!$B$20:$B$59,0))="",Settings!$C$10,INDEX(Settings!$C$20:$C$59,MATCH($C1115,Settings!$B$20:$B$59,0))),Settings!$C$10))</f>
        <v/>
      </c>
      <c r="AL1115" s="108">
        <f t="shared" si="318"/>
        <v>0</v>
      </c>
      <c r="AM1115" s="39" t="str">
        <f t="shared" si="319"/>
        <v/>
      </c>
      <c r="AN1115" s="39" t="str">
        <f t="shared" si="320"/>
        <v/>
      </c>
      <c r="AO1115" s="39" t="str">
        <f t="shared" si="321"/>
        <v/>
      </c>
      <c r="AP1115" s="39">
        <f t="shared" si="322"/>
        <v>0</v>
      </c>
      <c r="AQ1115" s="39">
        <f t="shared" si="323"/>
        <v>0</v>
      </c>
    </row>
    <row r="1116" spans="14:43" x14ac:dyDescent="0.25">
      <c r="N1116" s="105">
        <f t="shared" si="306"/>
        <v>0</v>
      </c>
      <c r="O1116" s="106" t="str">
        <f>IF($F1116="","",IF(ISNUMBER($F1116),$F1116+Settings!$C$7/24,IFERROR(DATEVALUE(LEFT($F1116,10))+TIMEVALUE(MID($F1116,12,8))+Settings!$C$7/24,"")))</f>
        <v/>
      </c>
      <c r="P1116" s="106" t="str">
        <f>IF($G1116="","",IF(ISNUMBER($G1116),$G1116+Settings!$C$7/24,IFERROR(DATEVALUE(LEFT($G1116,10))+TIMEVALUE(MID($G1116,12,8))+Settings!$C$7/24,"")))</f>
        <v/>
      </c>
      <c r="Q1116" s="39" t="str">
        <f t="shared" si="307"/>
        <v/>
      </c>
      <c r="R1116" s="39" t="str">
        <f t="shared" si="308"/>
        <v/>
      </c>
      <c r="S1116" s="107" t="str">
        <f t="shared" si="309"/>
        <v/>
      </c>
      <c r="T1116" s="39" t="str">
        <f>IF($C1116="","",IF(COUNTIF($C$2:$C1116,$C1116)=1,1,0))</f>
        <v/>
      </c>
      <c r="U1116" s="39" t="str">
        <f>IF($T1116=1,COUNTIF($T$2:$T1116,1),"")</f>
        <v/>
      </c>
      <c r="V1116" s="39" t="str">
        <f>IF($B1116="","",IF(COUNTIF($B$2:$B1116,$B1116)=1,1,0))</f>
        <v/>
      </c>
      <c r="W1116" s="39" t="str">
        <f>IF($V1116=1,COUNTIF($V$2:$V1116,1),"")</f>
        <v/>
      </c>
      <c r="X1116" s="39" t="str">
        <f>IF($A1116="","",IF(COUNTIF($A$2:$A1116,$A1116)=1,1,0))</f>
        <v/>
      </c>
      <c r="Y1116" s="39" t="str">
        <f>IF($X1116=1,COUNTIF($X$2:$X1116,1),"")</f>
        <v/>
      </c>
      <c r="Z1116" s="39">
        <f>IF(AND($E1116="timed",$N1116&gt;Settings!$C$8),1,0)</f>
        <v>0</v>
      </c>
      <c r="AA1116" s="39">
        <f t="shared" si="310"/>
        <v>0</v>
      </c>
      <c r="AB1116" s="39">
        <f t="shared" si="311"/>
        <v>0</v>
      </c>
      <c r="AC1116" s="39" t="str">
        <f t="shared" si="312"/>
        <v/>
      </c>
      <c r="AD1116" s="39" t="str">
        <f t="shared" si="313"/>
        <v/>
      </c>
      <c r="AE1116" s="39" t="str">
        <f t="shared" si="314"/>
        <v/>
      </c>
      <c r="AF1116" s="106" t="str">
        <f t="shared" si="315"/>
        <v/>
      </c>
      <c r="AG1116" s="39">
        <f t="shared" si="316"/>
        <v>0</v>
      </c>
      <c r="AH1116" s="39" t="str">
        <f t="shared" si="317"/>
        <v/>
      </c>
      <c r="AI1116" s="39">
        <f>IF(AND($E1116="timed",$N1116&gt;=Settings!$C$9),1,0)</f>
        <v>0</v>
      </c>
      <c r="AJ1116" s="39" t="str">
        <f>IF(OR($S1116="",Settings!$C$16=""),"",IF($S1116&lt;=Settings!$C$16,1,2))</f>
        <v/>
      </c>
      <c r="AK1116" s="39" t="str">
        <f>IF($C1116="","",IFERROR(IF(INDEX(Settings!$C$20:$C$59,MATCH($C1116,Settings!$B$20:$B$59,0))="",Settings!$C$10,INDEX(Settings!$C$20:$C$59,MATCH($C1116,Settings!$B$20:$B$59,0))),Settings!$C$10))</f>
        <v/>
      </c>
      <c r="AL1116" s="108">
        <f t="shared" si="318"/>
        <v>0</v>
      </c>
      <c r="AM1116" s="39" t="str">
        <f t="shared" si="319"/>
        <v/>
      </c>
      <c r="AN1116" s="39" t="str">
        <f t="shared" si="320"/>
        <v/>
      </c>
      <c r="AO1116" s="39" t="str">
        <f t="shared" si="321"/>
        <v/>
      </c>
      <c r="AP1116" s="39">
        <f t="shared" si="322"/>
        <v>0</v>
      </c>
      <c r="AQ1116" s="39">
        <f t="shared" si="323"/>
        <v>0</v>
      </c>
    </row>
    <row r="1117" spans="14:43" x14ac:dyDescent="0.25">
      <c r="N1117" s="105">
        <f t="shared" si="306"/>
        <v>0</v>
      </c>
      <c r="O1117" s="106" t="str">
        <f>IF($F1117="","",IF(ISNUMBER($F1117),$F1117+Settings!$C$7/24,IFERROR(DATEVALUE(LEFT($F1117,10))+TIMEVALUE(MID($F1117,12,8))+Settings!$C$7/24,"")))</f>
        <v/>
      </c>
      <c r="P1117" s="106" t="str">
        <f>IF($G1117="","",IF(ISNUMBER($G1117),$G1117+Settings!$C$7/24,IFERROR(DATEVALUE(LEFT($G1117,10))+TIMEVALUE(MID($G1117,12,8))+Settings!$C$7/24,"")))</f>
        <v/>
      </c>
      <c r="Q1117" s="39" t="str">
        <f t="shared" si="307"/>
        <v/>
      </c>
      <c r="R1117" s="39" t="str">
        <f t="shared" si="308"/>
        <v/>
      </c>
      <c r="S1117" s="107" t="str">
        <f t="shared" si="309"/>
        <v/>
      </c>
      <c r="T1117" s="39" t="str">
        <f>IF($C1117="","",IF(COUNTIF($C$2:$C1117,$C1117)=1,1,0))</f>
        <v/>
      </c>
      <c r="U1117" s="39" t="str">
        <f>IF($T1117=1,COUNTIF($T$2:$T1117,1),"")</f>
        <v/>
      </c>
      <c r="V1117" s="39" t="str">
        <f>IF($B1117="","",IF(COUNTIF($B$2:$B1117,$B1117)=1,1,0))</f>
        <v/>
      </c>
      <c r="W1117" s="39" t="str">
        <f>IF($V1117=1,COUNTIF($V$2:$V1117,1),"")</f>
        <v/>
      </c>
      <c r="X1117" s="39" t="str">
        <f>IF($A1117="","",IF(COUNTIF($A$2:$A1117,$A1117)=1,1,0))</f>
        <v/>
      </c>
      <c r="Y1117" s="39" t="str">
        <f>IF($X1117=1,COUNTIF($X$2:$X1117,1),"")</f>
        <v/>
      </c>
      <c r="Z1117" s="39">
        <f>IF(AND($E1117="timed",$N1117&gt;Settings!$C$8),1,0)</f>
        <v>0</v>
      </c>
      <c r="AA1117" s="39">
        <f t="shared" si="310"/>
        <v>0</v>
      </c>
      <c r="AB1117" s="39">
        <f t="shared" si="311"/>
        <v>0</v>
      </c>
      <c r="AC1117" s="39" t="str">
        <f t="shared" si="312"/>
        <v/>
      </c>
      <c r="AD1117" s="39" t="str">
        <f t="shared" si="313"/>
        <v/>
      </c>
      <c r="AE1117" s="39" t="str">
        <f t="shared" si="314"/>
        <v/>
      </c>
      <c r="AF1117" s="106" t="str">
        <f t="shared" si="315"/>
        <v/>
      </c>
      <c r="AG1117" s="39">
        <f t="shared" si="316"/>
        <v>0</v>
      </c>
      <c r="AH1117" s="39" t="str">
        <f t="shared" si="317"/>
        <v/>
      </c>
      <c r="AI1117" s="39">
        <f>IF(AND($E1117="timed",$N1117&gt;=Settings!$C$9),1,0)</f>
        <v>0</v>
      </c>
      <c r="AJ1117" s="39" t="str">
        <f>IF(OR($S1117="",Settings!$C$16=""),"",IF($S1117&lt;=Settings!$C$16,1,2))</f>
        <v/>
      </c>
      <c r="AK1117" s="39" t="str">
        <f>IF($C1117="","",IFERROR(IF(INDEX(Settings!$C$20:$C$59,MATCH($C1117,Settings!$B$20:$B$59,0))="",Settings!$C$10,INDEX(Settings!$C$20:$C$59,MATCH($C1117,Settings!$B$20:$B$59,0))),Settings!$C$10))</f>
        <v/>
      </c>
      <c r="AL1117" s="108">
        <f t="shared" si="318"/>
        <v>0</v>
      </c>
      <c r="AM1117" s="39" t="str">
        <f t="shared" si="319"/>
        <v/>
      </c>
      <c r="AN1117" s="39" t="str">
        <f t="shared" si="320"/>
        <v/>
      </c>
      <c r="AO1117" s="39" t="str">
        <f t="shared" si="321"/>
        <v/>
      </c>
      <c r="AP1117" s="39">
        <f t="shared" si="322"/>
        <v>0</v>
      </c>
      <c r="AQ1117" s="39">
        <f t="shared" si="323"/>
        <v>0</v>
      </c>
    </row>
    <row r="1118" spans="14:43" x14ac:dyDescent="0.25">
      <c r="N1118" s="105">
        <f t="shared" si="306"/>
        <v>0</v>
      </c>
      <c r="O1118" s="106" t="str">
        <f>IF($F1118="","",IF(ISNUMBER($F1118),$F1118+Settings!$C$7/24,IFERROR(DATEVALUE(LEFT($F1118,10))+TIMEVALUE(MID($F1118,12,8))+Settings!$C$7/24,"")))</f>
        <v/>
      </c>
      <c r="P1118" s="106" t="str">
        <f>IF($G1118="","",IF(ISNUMBER($G1118),$G1118+Settings!$C$7/24,IFERROR(DATEVALUE(LEFT($G1118,10))+TIMEVALUE(MID($G1118,12,8))+Settings!$C$7/24,"")))</f>
        <v/>
      </c>
      <c r="Q1118" s="39" t="str">
        <f t="shared" si="307"/>
        <v/>
      </c>
      <c r="R1118" s="39" t="str">
        <f t="shared" si="308"/>
        <v/>
      </c>
      <c r="S1118" s="107" t="str">
        <f t="shared" si="309"/>
        <v/>
      </c>
      <c r="T1118" s="39" t="str">
        <f>IF($C1118="","",IF(COUNTIF($C$2:$C1118,$C1118)=1,1,0))</f>
        <v/>
      </c>
      <c r="U1118" s="39" t="str">
        <f>IF($T1118=1,COUNTIF($T$2:$T1118,1),"")</f>
        <v/>
      </c>
      <c r="V1118" s="39" t="str">
        <f>IF($B1118="","",IF(COUNTIF($B$2:$B1118,$B1118)=1,1,0))</f>
        <v/>
      </c>
      <c r="W1118" s="39" t="str">
        <f>IF($V1118=1,COUNTIF($V$2:$V1118,1),"")</f>
        <v/>
      </c>
      <c r="X1118" s="39" t="str">
        <f>IF($A1118="","",IF(COUNTIF($A$2:$A1118,$A1118)=1,1,0))</f>
        <v/>
      </c>
      <c r="Y1118" s="39" t="str">
        <f>IF($X1118=1,COUNTIF($X$2:$X1118,1),"")</f>
        <v/>
      </c>
      <c r="Z1118" s="39">
        <f>IF(AND($E1118="timed",$N1118&gt;Settings!$C$8),1,0)</f>
        <v>0</v>
      </c>
      <c r="AA1118" s="39">
        <f t="shared" si="310"/>
        <v>0</v>
      </c>
      <c r="AB1118" s="39">
        <f t="shared" si="311"/>
        <v>0</v>
      </c>
      <c r="AC1118" s="39" t="str">
        <f t="shared" si="312"/>
        <v/>
      </c>
      <c r="AD1118" s="39" t="str">
        <f t="shared" si="313"/>
        <v/>
      </c>
      <c r="AE1118" s="39" t="str">
        <f t="shared" si="314"/>
        <v/>
      </c>
      <c r="AF1118" s="106" t="str">
        <f t="shared" si="315"/>
        <v/>
      </c>
      <c r="AG1118" s="39">
        <f t="shared" si="316"/>
        <v>0</v>
      </c>
      <c r="AH1118" s="39" t="str">
        <f t="shared" si="317"/>
        <v/>
      </c>
      <c r="AI1118" s="39">
        <f>IF(AND($E1118="timed",$N1118&gt;=Settings!$C$9),1,0)</f>
        <v>0</v>
      </c>
      <c r="AJ1118" s="39" t="str">
        <f>IF(OR($S1118="",Settings!$C$16=""),"",IF($S1118&lt;=Settings!$C$16,1,2))</f>
        <v/>
      </c>
      <c r="AK1118" s="39" t="str">
        <f>IF($C1118="","",IFERROR(IF(INDEX(Settings!$C$20:$C$59,MATCH($C1118,Settings!$B$20:$B$59,0))="",Settings!$C$10,INDEX(Settings!$C$20:$C$59,MATCH($C1118,Settings!$B$20:$B$59,0))),Settings!$C$10))</f>
        <v/>
      </c>
      <c r="AL1118" s="108">
        <f t="shared" si="318"/>
        <v>0</v>
      </c>
      <c r="AM1118" s="39" t="str">
        <f t="shared" si="319"/>
        <v/>
      </c>
      <c r="AN1118" s="39" t="str">
        <f t="shared" si="320"/>
        <v/>
      </c>
      <c r="AO1118" s="39" t="str">
        <f t="shared" si="321"/>
        <v/>
      </c>
      <c r="AP1118" s="39">
        <f t="shared" si="322"/>
        <v>0</v>
      </c>
      <c r="AQ1118" s="39">
        <f t="shared" si="323"/>
        <v>0</v>
      </c>
    </row>
    <row r="1119" spans="14:43" x14ac:dyDescent="0.25">
      <c r="N1119" s="105">
        <f t="shared" si="306"/>
        <v>0</v>
      </c>
      <c r="O1119" s="106" t="str">
        <f>IF($F1119="","",IF(ISNUMBER($F1119),$F1119+Settings!$C$7/24,IFERROR(DATEVALUE(LEFT($F1119,10))+TIMEVALUE(MID($F1119,12,8))+Settings!$C$7/24,"")))</f>
        <v/>
      </c>
      <c r="P1119" s="106" t="str">
        <f>IF($G1119="","",IF(ISNUMBER($G1119),$G1119+Settings!$C$7/24,IFERROR(DATEVALUE(LEFT($G1119,10))+TIMEVALUE(MID($G1119,12,8))+Settings!$C$7/24,"")))</f>
        <v/>
      </c>
      <c r="Q1119" s="39" t="str">
        <f t="shared" si="307"/>
        <v/>
      </c>
      <c r="R1119" s="39" t="str">
        <f t="shared" si="308"/>
        <v/>
      </c>
      <c r="S1119" s="107" t="str">
        <f t="shared" si="309"/>
        <v/>
      </c>
      <c r="T1119" s="39" t="str">
        <f>IF($C1119="","",IF(COUNTIF($C$2:$C1119,$C1119)=1,1,0))</f>
        <v/>
      </c>
      <c r="U1119" s="39" t="str">
        <f>IF($T1119=1,COUNTIF($T$2:$T1119,1),"")</f>
        <v/>
      </c>
      <c r="V1119" s="39" t="str">
        <f>IF($B1119="","",IF(COUNTIF($B$2:$B1119,$B1119)=1,1,0))</f>
        <v/>
      </c>
      <c r="W1119" s="39" t="str">
        <f>IF($V1119=1,COUNTIF($V$2:$V1119,1),"")</f>
        <v/>
      </c>
      <c r="X1119" s="39" t="str">
        <f>IF($A1119="","",IF(COUNTIF($A$2:$A1119,$A1119)=1,1,0))</f>
        <v/>
      </c>
      <c r="Y1119" s="39" t="str">
        <f>IF($X1119=1,COUNTIF($X$2:$X1119,1),"")</f>
        <v/>
      </c>
      <c r="Z1119" s="39">
        <f>IF(AND($E1119="timed",$N1119&gt;Settings!$C$8),1,0)</f>
        <v>0</v>
      </c>
      <c r="AA1119" s="39">
        <f t="shared" si="310"/>
        <v>0</v>
      </c>
      <c r="AB1119" s="39">
        <f t="shared" si="311"/>
        <v>0</v>
      </c>
      <c r="AC1119" s="39" t="str">
        <f t="shared" si="312"/>
        <v/>
      </c>
      <c r="AD1119" s="39" t="str">
        <f t="shared" si="313"/>
        <v/>
      </c>
      <c r="AE1119" s="39" t="str">
        <f t="shared" si="314"/>
        <v/>
      </c>
      <c r="AF1119" s="106" t="str">
        <f t="shared" si="315"/>
        <v/>
      </c>
      <c r="AG1119" s="39">
        <f t="shared" si="316"/>
        <v>0</v>
      </c>
      <c r="AH1119" s="39" t="str">
        <f t="shared" si="317"/>
        <v/>
      </c>
      <c r="AI1119" s="39">
        <f>IF(AND($E1119="timed",$N1119&gt;=Settings!$C$9),1,0)</f>
        <v>0</v>
      </c>
      <c r="AJ1119" s="39" t="str">
        <f>IF(OR($S1119="",Settings!$C$16=""),"",IF($S1119&lt;=Settings!$C$16,1,2))</f>
        <v/>
      </c>
      <c r="AK1119" s="39" t="str">
        <f>IF($C1119="","",IFERROR(IF(INDEX(Settings!$C$20:$C$59,MATCH($C1119,Settings!$B$20:$B$59,0))="",Settings!$C$10,INDEX(Settings!$C$20:$C$59,MATCH($C1119,Settings!$B$20:$B$59,0))),Settings!$C$10))</f>
        <v/>
      </c>
      <c r="AL1119" s="108">
        <f t="shared" si="318"/>
        <v>0</v>
      </c>
      <c r="AM1119" s="39" t="str">
        <f t="shared" si="319"/>
        <v/>
      </c>
      <c r="AN1119" s="39" t="str">
        <f t="shared" si="320"/>
        <v/>
      </c>
      <c r="AO1119" s="39" t="str">
        <f t="shared" si="321"/>
        <v/>
      </c>
      <c r="AP1119" s="39">
        <f t="shared" si="322"/>
        <v>0</v>
      </c>
      <c r="AQ1119" s="39">
        <f t="shared" si="323"/>
        <v>0</v>
      </c>
    </row>
    <row r="1120" spans="14:43" x14ac:dyDescent="0.25">
      <c r="N1120" s="105">
        <f t="shared" si="306"/>
        <v>0</v>
      </c>
      <c r="O1120" s="106" t="str">
        <f>IF($F1120="","",IF(ISNUMBER($F1120),$F1120+Settings!$C$7/24,IFERROR(DATEVALUE(LEFT($F1120,10))+TIMEVALUE(MID($F1120,12,8))+Settings!$C$7/24,"")))</f>
        <v/>
      </c>
      <c r="P1120" s="106" t="str">
        <f>IF($G1120="","",IF(ISNUMBER($G1120),$G1120+Settings!$C$7/24,IFERROR(DATEVALUE(LEFT($G1120,10))+TIMEVALUE(MID($G1120,12,8))+Settings!$C$7/24,"")))</f>
        <v/>
      </c>
      <c r="Q1120" s="39" t="str">
        <f t="shared" si="307"/>
        <v/>
      </c>
      <c r="R1120" s="39" t="str">
        <f t="shared" si="308"/>
        <v/>
      </c>
      <c r="S1120" s="107" t="str">
        <f t="shared" si="309"/>
        <v/>
      </c>
      <c r="T1120" s="39" t="str">
        <f>IF($C1120="","",IF(COUNTIF($C$2:$C1120,$C1120)=1,1,0))</f>
        <v/>
      </c>
      <c r="U1120" s="39" t="str">
        <f>IF($T1120=1,COUNTIF($T$2:$T1120,1),"")</f>
        <v/>
      </c>
      <c r="V1120" s="39" t="str">
        <f>IF($B1120="","",IF(COUNTIF($B$2:$B1120,$B1120)=1,1,0))</f>
        <v/>
      </c>
      <c r="W1120" s="39" t="str">
        <f>IF($V1120=1,COUNTIF($V$2:$V1120,1),"")</f>
        <v/>
      </c>
      <c r="X1120" s="39" t="str">
        <f>IF($A1120="","",IF(COUNTIF($A$2:$A1120,$A1120)=1,1,0))</f>
        <v/>
      </c>
      <c r="Y1120" s="39" t="str">
        <f>IF($X1120=1,COUNTIF($X$2:$X1120,1),"")</f>
        <v/>
      </c>
      <c r="Z1120" s="39">
        <f>IF(AND($E1120="timed",$N1120&gt;Settings!$C$8),1,0)</f>
        <v>0</v>
      </c>
      <c r="AA1120" s="39">
        <f t="shared" si="310"/>
        <v>0</v>
      </c>
      <c r="AB1120" s="39">
        <f t="shared" si="311"/>
        <v>0</v>
      </c>
      <c r="AC1120" s="39" t="str">
        <f t="shared" si="312"/>
        <v/>
      </c>
      <c r="AD1120" s="39" t="str">
        <f t="shared" si="313"/>
        <v/>
      </c>
      <c r="AE1120" s="39" t="str">
        <f t="shared" si="314"/>
        <v/>
      </c>
      <c r="AF1120" s="106" t="str">
        <f t="shared" si="315"/>
        <v/>
      </c>
      <c r="AG1120" s="39">
        <f t="shared" si="316"/>
        <v>0</v>
      </c>
      <c r="AH1120" s="39" t="str">
        <f t="shared" si="317"/>
        <v/>
      </c>
      <c r="AI1120" s="39">
        <f>IF(AND($E1120="timed",$N1120&gt;=Settings!$C$9),1,0)</f>
        <v>0</v>
      </c>
      <c r="AJ1120" s="39" t="str">
        <f>IF(OR($S1120="",Settings!$C$16=""),"",IF($S1120&lt;=Settings!$C$16,1,2))</f>
        <v/>
      </c>
      <c r="AK1120" s="39" t="str">
        <f>IF($C1120="","",IFERROR(IF(INDEX(Settings!$C$20:$C$59,MATCH($C1120,Settings!$B$20:$B$59,0))="",Settings!$C$10,INDEX(Settings!$C$20:$C$59,MATCH($C1120,Settings!$B$20:$B$59,0))),Settings!$C$10))</f>
        <v/>
      </c>
      <c r="AL1120" s="108">
        <f t="shared" si="318"/>
        <v>0</v>
      </c>
      <c r="AM1120" s="39" t="str">
        <f t="shared" si="319"/>
        <v/>
      </c>
      <c r="AN1120" s="39" t="str">
        <f t="shared" si="320"/>
        <v/>
      </c>
      <c r="AO1120" s="39" t="str">
        <f t="shared" si="321"/>
        <v/>
      </c>
      <c r="AP1120" s="39">
        <f t="shared" si="322"/>
        <v>0</v>
      </c>
      <c r="AQ1120" s="39">
        <f t="shared" si="323"/>
        <v>0</v>
      </c>
    </row>
    <row r="1121" spans="14:43" x14ac:dyDescent="0.25">
      <c r="N1121" s="105">
        <f t="shared" si="306"/>
        <v>0</v>
      </c>
      <c r="O1121" s="106" t="str">
        <f>IF($F1121="","",IF(ISNUMBER($F1121),$F1121+Settings!$C$7/24,IFERROR(DATEVALUE(LEFT($F1121,10))+TIMEVALUE(MID($F1121,12,8))+Settings!$C$7/24,"")))</f>
        <v/>
      </c>
      <c r="P1121" s="106" t="str">
        <f>IF($G1121="","",IF(ISNUMBER($G1121),$G1121+Settings!$C$7/24,IFERROR(DATEVALUE(LEFT($G1121,10))+TIMEVALUE(MID($G1121,12,8))+Settings!$C$7/24,"")))</f>
        <v/>
      </c>
      <c r="Q1121" s="39" t="str">
        <f t="shared" si="307"/>
        <v/>
      </c>
      <c r="R1121" s="39" t="str">
        <f t="shared" si="308"/>
        <v/>
      </c>
      <c r="S1121" s="107" t="str">
        <f t="shared" si="309"/>
        <v/>
      </c>
      <c r="T1121" s="39" t="str">
        <f>IF($C1121="","",IF(COUNTIF($C$2:$C1121,$C1121)=1,1,0))</f>
        <v/>
      </c>
      <c r="U1121" s="39" t="str">
        <f>IF($T1121=1,COUNTIF($T$2:$T1121,1),"")</f>
        <v/>
      </c>
      <c r="V1121" s="39" t="str">
        <f>IF($B1121="","",IF(COUNTIF($B$2:$B1121,$B1121)=1,1,0))</f>
        <v/>
      </c>
      <c r="W1121" s="39" t="str">
        <f>IF($V1121=1,COUNTIF($V$2:$V1121,1),"")</f>
        <v/>
      </c>
      <c r="X1121" s="39" t="str">
        <f>IF($A1121="","",IF(COUNTIF($A$2:$A1121,$A1121)=1,1,0))</f>
        <v/>
      </c>
      <c r="Y1121" s="39" t="str">
        <f>IF($X1121=1,COUNTIF($X$2:$X1121,1),"")</f>
        <v/>
      </c>
      <c r="Z1121" s="39">
        <f>IF(AND($E1121="timed",$N1121&gt;Settings!$C$8),1,0)</f>
        <v>0</v>
      </c>
      <c r="AA1121" s="39">
        <f t="shared" si="310"/>
        <v>0</v>
      </c>
      <c r="AB1121" s="39">
        <f t="shared" si="311"/>
        <v>0</v>
      </c>
      <c r="AC1121" s="39" t="str">
        <f t="shared" si="312"/>
        <v/>
      </c>
      <c r="AD1121" s="39" t="str">
        <f t="shared" si="313"/>
        <v/>
      </c>
      <c r="AE1121" s="39" t="str">
        <f t="shared" si="314"/>
        <v/>
      </c>
      <c r="AF1121" s="106" t="str">
        <f t="shared" si="315"/>
        <v/>
      </c>
      <c r="AG1121" s="39">
        <f t="shared" si="316"/>
        <v>0</v>
      </c>
      <c r="AH1121" s="39" t="str">
        <f t="shared" si="317"/>
        <v/>
      </c>
      <c r="AI1121" s="39">
        <f>IF(AND($E1121="timed",$N1121&gt;=Settings!$C$9),1,0)</f>
        <v>0</v>
      </c>
      <c r="AJ1121" s="39" t="str">
        <f>IF(OR($S1121="",Settings!$C$16=""),"",IF($S1121&lt;=Settings!$C$16,1,2))</f>
        <v/>
      </c>
      <c r="AK1121" s="39" t="str">
        <f>IF($C1121="","",IFERROR(IF(INDEX(Settings!$C$20:$C$59,MATCH($C1121,Settings!$B$20:$B$59,0))="",Settings!$C$10,INDEX(Settings!$C$20:$C$59,MATCH($C1121,Settings!$B$20:$B$59,0))),Settings!$C$10))</f>
        <v/>
      </c>
      <c r="AL1121" s="108">
        <f t="shared" si="318"/>
        <v>0</v>
      </c>
      <c r="AM1121" s="39" t="str">
        <f t="shared" si="319"/>
        <v/>
      </c>
      <c r="AN1121" s="39" t="str">
        <f t="shared" si="320"/>
        <v/>
      </c>
      <c r="AO1121" s="39" t="str">
        <f t="shared" si="321"/>
        <v/>
      </c>
      <c r="AP1121" s="39">
        <f t="shared" si="322"/>
        <v>0</v>
      </c>
      <c r="AQ1121" s="39">
        <f t="shared" si="323"/>
        <v>0</v>
      </c>
    </row>
    <row r="1122" spans="14:43" x14ac:dyDescent="0.25">
      <c r="N1122" s="105">
        <f t="shared" si="306"/>
        <v>0</v>
      </c>
      <c r="O1122" s="106" t="str">
        <f>IF($F1122="","",IF(ISNUMBER($F1122),$F1122+Settings!$C$7/24,IFERROR(DATEVALUE(LEFT($F1122,10))+TIMEVALUE(MID($F1122,12,8))+Settings!$C$7/24,"")))</f>
        <v/>
      </c>
      <c r="P1122" s="106" t="str">
        <f>IF($G1122="","",IF(ISNUMBER($G1122),$G1122+Settings!$C$7/24,IFERROR(DATEVALUE(LEFT($G1122,10))+TIMEVALUE(MID($G1122,12,8))+Settings!$C$7/24,"")))</f>
        <v/>
      </c>
      <c r="Q1122" s="39" t="str">
        <f t="shared" si="307"/>
        <v/>
      </c>
      <c r="R1122" s="39" t="str">
        <f t="shared" si="308"/>
        <v/>
      </c>
      <c r="S1122" s="107" t="str">
        <f t="shared" si="309"/>
        <v/>
      </c>
      <c r="T1122" s="39" t="str">
        <f>IF($C1122="","",IF(COUNTIF($C$2:$C1122,$C1122)=1,1,0))</f>
        <v/>
      </c>
      <c r="U1122" s="39" t="str">
        <f>IF($T1122=1,COUNTIF($T$2:$T1122,1),"")</f>
        <v/>
      </c>
      <c r="V1122" s="39" t="str">
        <f>IF($B1122="","",IF(COUNTIF($B$2:$B1122,$B1122)=1,1,0))</f>
        <v/>
      </c>
      <c r="W1122" s="39" t="str">
        <f>IF($V1122=1,COUNTIF($V$2:$V1122,1),"")</f>
        <v/>
      </c>
      <c r="X1122" s="39" t="str">
        <f>IF($A1122="","",IF(COUNTIF($A$2:$A1122,$A1122)=1,1,0))</f>
        <v/>
      </c>
      <c r="Y1122" s="39" t="str">
        <f>IF($X1122=1,COUNTIF($X$2:$X1122,1),"")</f>
        <v/>
      </c>
      <c r="Z1122" s="39">
        <f>IF(AND($E1122="timed",$N1122&gt;Settings!$C$8),1,0)</f>
        <v>0</v>
      </c>
      <c r="AA1122" s="39">
        <f t="shared" si="310"/>
        <v>0</v>
      </c>
      <c r="AB1122" s="39">
        <f t="shared" si="311"/>
        <v>0</v>
      </c>
      <c r="AC1122" s="39" t="str">
        <f t="shared" si="312"/>
        <v/>
      </c>
      <c r="AD1122" s="39" t="str">
        <f t="shared" si="313"/>
        <v/>
      </c>
      <c r="AE1122" s="39" t="str">
        <f t="shared" si="314"/>
        <v/>
      </c>
      <c r="AF1122" s="106" t="str">
        <f t="shared" si="315"/>
        <v/>
      </c>
      <c r="AG1122" s="39">
        <f t="shared" si="316"/>
        <v>0</v>
      </c>
      <c r="AH1122" s="39" t="str">
        <f t="shared" si="317"/>
        <v/>
      </c>
      <c r="AI1122" s="39">
        <f>IF(AND($E1122="timed",$N1122&gt;=Settings!$C$9),1,0)</f>
        <v>0</v>
      </c>
      <c r="AJ1122" s="39" t="str">
        <f>IF(OR($S1122="",Settings!$C$16=""),"",IF($S1122&lt;=Settings!$C$16,1,2))</f>
        <v/>
      </c>
      <c r="AK1122" s="39" t="str">
        <f>IF($C1122="","",IFERROR(IF(INDEX(Settings!$C$20:$C$59,MATCH($C1122,Settings!$B$20:$B$59,0))="",Settings!$C$10,INDEX(Settings!$C$20:$C$59,MATCH($C1122,Settings!$B$20:$B$59,0))),Settings!$C$10))</f>
        <v/>
      </c>
      <c r="AL1122" s="108">
        <f t="shared" si="318"/>
        <v>0</v>
      </c>
      <c r="AM1122" s="39" t="str">
        <f t="shared" si="319"/>
        <v/>
      </c>
      <c r="AN1122" s="39" t="str">
        <f t="shared" si="320"/>
        <v/>
      </c>
      <c r="AO1122" s="39" t="str">
        <f t="shared" si="321"/>
        <v/>
      </c>
      <c r="AP1122" s="39">
        <f t="shared" si="322"/>
        <v>0</v>
      </c>
      <c r="AQ1122" s="39">
        <f t="shared" si="323"/>
        <v>0</v>
      </c>
    </row>
    <row r="1123" spans="14:43" x14ac:dyDescent="0.25">
      <c r="N1123" s="105">
        <f t="shared" si="306"/>
        <v>0</v>
      </c>
      <c r="O1123" s="106" t="str">
        <f>IF($F1123="","",IF(ISNUMBER($F1123),$F1123+Settings!$C$7/24,IFERROR(DATEVALUE(LEFT($F1123,10))+TIMEVALUE(MID($F1123,12,8))+Settings!$C$7/24,"")))</f>
        <v/>
      </c>
      <c r="P1123" s="106" t="str">
        <f>IF($G1123="","",IF(ISNUMBER($G1123),$G1123+Settings!$C$7/24,IFERROR(DATEVALUE(LEFT($G1123,10))+TIMEVALUE(MID($G1123,12,8))+Settings!$C$7/24,"")))</f>
        <v/>
      </c>
      <c r="Q1123" s="39" t="str">
        <f t="shared" si="307"/>
        <v/>
      </c>
      <c r="R1123" s="39" t="str">
        <f t="shared" si="308"/>
        <v/>
      </c>
      <c r="S1123" s="107" t="str">
        <f t="shared" si="309"/>
        <v/>
      </c>
      <c r="T1123" s="39" t="str">
        <f>IF($C1123="","",IF(COUNTIF($C$2:$C1123,$C1123)=1,1,0))</f>
        <v/>
      </c>
      <c r="U1123" s="39" t="str">
        <f>IF($T1123=1,COUNTIF($T$2:$T1123,1),"")</f>
        <v/>
      </c>
      <c r="V1123" s="39" t="str">
        <f>IF($B1123="","",IF(COUNTIF($B$2:$B1123,$B1123)=1,1,0))</f>
        <v/>
      </c>
      <c r="W1123" s="39" t="str">
        <f>IF($V1123=1,COUNTIF($V$2:$V1123,1),"")</f>
        <v/>
      </c>
      <c r="X1123" s="39" t="str">
        <f>IF($A1123="","",IF(COUNTIF($A$2:$A1123,$A1123)=1,1,0))</f>
        <v/>
      </c>
      <c r="Y1123" s="39" t="str">
        <f>IF($X1123=1,COUNTIF($X$2:$X1123,1),"")</f>
        <v/>
      </c>
      <c r="Z1123" s="39">
        <f>IF(AND($E1123="timed",$N1123&gt;Settings!$C$8),1,0)</f>
        <v>0</v>
      </c>
      <c r="AA1123" s="39">
        <f t="shared" si="310"/>
        <v>0</v>
      </c>
      <c r="AB1123" s="39">
        <f t="shared" si="311"/>
        <v>0</v>
      </c>
      <c r="AC1123" s="39" t="str">
        <f t="shared" si="312"/>
        <v/>
      </c>
      <c r="AD1123" s="39" t="str">
        <f t="shared" si="313"/>
        <v/>
      </c>
      <c r="AE1123" s="39" t="str">
        <f t="shared" si="314"/>
        <v/>
      </c>
      <c r="AF1123" s="106" t="str">
        <f t="shared" si="315"/>
        <v/>
      </c>
      <c r="AG1123" s="39">
        <f t="shared" si="316"/>
        <v>0</v>
      </c>
      <c r="AH1123" s="39" t="str">
        <f t="shared" si="317"/>
        <v/>
      </c>
      <c r="AI1123" s="39">
        <f>IF(AND($E1123="timed",$N1123&gt;=Settings!$C$9),1,0)</f>
        <v>0</v>
      </c>
      <c r="AJ1123" s="39" t="str">
        <f>IF(OR($S1123="",Settings!$C$16=""),"",IF($S1123&lt;=Settings!$C$16,1,2))</f>
        <v/>
      </c>
      <c r="AK1123" s="39" t="str">
        <f>IF($C1123="","",IFERROR(IF(INDEX(Settings!$C$20:$C$59,MATCH($C1123,Settings!$B$20:$B$59,0))="",Settings!$C$10,INDEX(Settings!$C$20:$C$59,MATCH($C1123,Settings!$B$20:$B$59,0))),Settings!$C$10))</f>
        <v/>
      </c>
      <c r="AL1123" s="108">
        <f t="shared" si="318"/>
        <v>0</v>
      </c>
      <c r="AM1123" s="39" t="str">
        <f t="shared" si="319"/>
        <v/>
      </c>
      <c r="AN1123" s="39" t="str">
        <f t="shared" si="320"/>
        <v/>
      </c>
      <c r="AO1123" s="39" t="str">
        <f t="shared" si="321"/>
        <v/>
      </c>
      <c r="AP1123" s="39">
        <f t="shared" si="322"/>
        <v>0</v>
      </c>
      <c r="AQ1123" s="39">
        <f t="shared" si="323"/>
        <v>0</v>
      </c>
    </row>
    <row r="1124" spans="14:43" x14ac:dyDescent="0.25">
      <c r="N1124" s="105">
        <f t="shared" si="306"/>
        <v>0</v>
      </c>
      <c r="O1124" s="106" t="str">
        <f>IF($F1124="","",IF(ISNUMBER($F1124),$F1124+Settings!$C$7/24,IFERROR(DATEVALUE(LEFT($F1124,10))+TIMEVALUE(MID($F1124,12,8))+Settings!$C$7/24,"")))</f>
        <v/>
      </c>
      <c r="P1124" s="106" t="str">
        <f>IF($G1124="","",IF(ISNUMBER($G1124),$G1124+Settings!$C$7/24,IFERROR(DATEVALUE(LEFT($G1124,10))+TIMEVALUE(MID($G1124,12,8))+Settings!$C$7/24,"")))</f>
        <v/>
      </c>
      <c r="Q1124" s="39" t="str">
        <f t="shared" si="307"/>
        <v/>
      </c>
      <c r="R1124" s="39" t="str">
        <f t="shared" si="308"/>
        <v/>
      </c>
      <c r="S1124" s="107" t="str">
        <f t="shared" si="309"/>
        <v/>
      </c>
      <c r="T1124" s="39" t="str">
        <f>IF($C1124="","",IF(COUNTIF($C$2:$C1124,$C1124)=1,1,0))</f>
        <v/>
      </c>
      <c r="U1124" s="39" t="str">
        <f>IF($T1124=1,COUNTIF($T$2:$T1124,1),"")</f>
        <v/>
      </c>
      <c r="V1124" s="39" t="str">
        <f>IF($B1124="","",IF(COUNTIF($B$2:$B1124,$B1124)=1,1,0))</f>
        <v/>
      </c>
      <c r="W1124" s="39" t="str">
        <f>IF($V1124=1,COUNTIF($V$2:$V1124,1),"")</f>
        <v/>
      </c>
      <c r="X1124" s="39" t="str">
        <f>IF($A1124="","",IF(COUNTIF($A$2:$A1124,$A1124)=1,1,0))</f>
        <v/>
      </c>
      <c r="Y1124" s="39" t="str">
        <f>IF($X1124=1,COUNTIF($X$2:$X1124,1),"")</f>
        <v/>
      </c>
      <c r="Z1124" s="39">
        <f>IF(AND($E1124="timed",$N1124&gt;Settings!$C$8),1,0)</f>
        <v>0</v>
      </c>
      <c r="AA1124" s="39">
        <f t="shared" si="310"/>
        <v>0</v>
      </c>
      <c r="AB1124" s="39">
        <f t="shared" si="311"/>
        <v>0</v>
      </c>
      <c r="AC1124" s="39" t="str">
        <f t="shared" si="312"/>
        <v/>
      </c>
      <c r="AD1124" s="39" t="str">
        <f t="shared" si="313"/>
        <v/>
      </c>
      <c r="AE1124" s="39" t="str">
        <f t="shared" si="314"/>
        <v/>
      </c>
      <c r="AF1124" s="106" t="str">
        <f t="shared" si="315"/>
        <v/>
      </c>
      <c r="AG1124" s="39">
        <f t="shared" si="316"/>
        <v>0</v>
      </c>
      <c r="AH1124" s="39" t="str">
        <f t="shared" si="317"/>
        <v/>
      </c>
      <c r="AI1124" s="39">
        <f>IF(AND($E1124="timed",$N1124&gt;=Settings!$C$9),1,0)</f>
        <v>0</v>
      </c>
      <c r="AJ1124" s="39" t="str">
        <f>IF(OR($S1124="",Settings!$C$16=""),"",IF($S1124&lt;=Settings!$C$16,1,2))</f>
        <v/>
      </c>
      <c r="AK1124" s="39" t="str">
        <f>IF($C1124="","",IFERROR(IF(INDEX(Settings!$C$20:$C$59,MATCH($C1124,Settings!$B$20:$B$59,0))="",Settings!$C$10,INDEX(Settings!$C$20:$C$59,MATCH($C1124,Settings!$B$20:$B$59,0))),Settings!$C$10))</f>
        <v/>
      </c>
      <c r="AL1124" s="108">
        <f t="shared" si="318"/>
        <v>0</v>
      </c>
      <c r="AM1124" s="39" t="str">
        <f t="shared" si="319"/>
        <v/>
      </c>
      <c r="AN1124" s="39" t="str">
        <f t="shared" si="320"/>
        <v/>
      </c>
      <c r="AO1124" s="39" t="str">
        <f t="shared" si="321"/>
        <v/>
      </c>
      <c r="AP1124" s="39">
        <f t="shared" si="322"/>
        <v>0</v>
      </c>
      <c r="AQ1124" s="39">
        <f t="shared" si="323"/>
        <v>0</v>
      </c>
    </row>
    <row r="1125" spans="14:43" x14ac:dyDescent="0.25">
      <c r="N1125" s="105">
        <f t="shared" si="306"/>
        <v>0</v>
      </c>
      <c r="O1125" s="106" t="str">
        <f>IF($F1125="","",IF(ISNUMBER($F1125),$F1125+Settings!$C$7/24,IFERROR(DATEVALUE(LEFT($F1125,10))+TIMEVALUE(MID($F1125,12,8))+Settings!$C$7/24,"")))</f>
        <v/>
      </c>
      <c r="P1125" s="106" t="str">
        <f>IF($G1125="","",IF(ISNUMBER($G1125),$G1125+Settings!$C$7/24,IFERROR(DATEVALUE(LEFT($G1125,10))+TIMEVALUE(MID($G1125,12,8))+Settings!$C$7/24,"")))</f>
        <v/>
      </c>
      <c r="Q1125" s="39" t="str">
        <f t="shared" si="307"/>
        <v/>
      </c>
      <c r="R1125" s="39" t="str">
        <f t="shared" si="308"/>
        <v/>
      </c>
      <c r="S1125" s="107" t="str">
        <f t="shared" si="309"/>
        <v/>
      </c>
      <c r="T1125" s="39" t="str">
        <f>IF($C1125="","",IF(COUNTIF($C$2:$C1125,$C1125)=1,1,0))</f>
        <v/>
      </c>
      <c r="U1125" s="39" t="str">
        <f>IF($T1125=1,COUNTIF($T$2:$T1125,1),"")</f>
        <v/>
      </c>
      <c r="V1125" s="39" t="str">
        <f>IF($B1125="","",IF(COUNTIF($B$2:$B1125,$B1125)=1,1,0))</f>
        <v/>
      </c>
      <c r="W1125" s="39" t="str">
        <f>IF($V1125=1,COUNTIF($V$2:$V1125,1),"")</f>
        <v/>
      </c>
      <c r="X1125" s="39" t="str">
        <f>IF($A1125="","",IF(COUNTIF($A$2:$A1125,$A1125)=1,1,0))</f>
        <v/>
      </c>
      <c r="Y1125" s="39" t="str">
        <f>IF($X1125=1,COUNTIF($X$2:$X1125,1),"")</f>
        <v/>
      </c>
      <c r="Z1125" s="39">
        <f>IF(AND($E1125="timed",$N1125&gt;Settings!$C$8),1,0)</f>
        <v>0</v>
      </c>
      <c r="AA1125" s="39">
        <f t="shared" si="310"/>
        <v>0</v>
      </c>
      <c r="AB1125" s="39">
        <f t="shared" si="311"/>
        <v>0</v>
      </c>
      <c r="AC1125" s="39" t="str">
        <f t="shared" si="312"/>
        <v/>
      </c>
      <c r="AD1125" s="39" t="str">
        <f t="shared" si="313"/>
        <v/>
      </c>
      <c r="AE1125" s="39" t="str">
        <f t="shared" si="314"/>
        <v/>
      </c>
      <c r="AF1125" s="106" t="str">
        <f t="shared" si="315"/>
        <v/>
      </c>
      <c r="AG1125" s="39">
        <f t="shared" si="316"/>
        <v>0</v>
      </c>
      <c r="AH1125" s="39" t="str">
        <f t="shared" si="317"/>
        <v/>
      </c>
      <c r="AI1125" s="39">
        <f>IF(AND($E1125="timed",$N1125&gt;=Settings!$C$9),1,0)</f>
        <v>0</v>
      </c>
      <c r="AJ1125" s="39" t="str">
        <f>IF(OR($S1125="",Settings!$C$16=""),"",IF($S1125&lt;=Settings!$C$16,1,2))</f>
        <v/>
      </c>
      <c r="AK1125" s="39" t="str">
        <f>IF($C1125="","",IFERROR(IF(INDEX(Settings!$C$20:$C$59,MATCH($C1125,Settings!$B$20:$B$59,0))="",Settings!$C$10,INDEX(Settings!$C$20:$C$59,MATCH($C1125,Settings!$B$20:$B$59,0))),Settings!$C$10))</f>
        <v/>
      </c>
      <c r="AL1125" s="108">
        <f t="shared" si="318"/>
        <v>0</v>
      </c>
      <c r="AM1125" s="39" t="str">
        <f t="shared" si="319"/>
        <v/>
      </c>
      <c r="AN1125" s="39" t="str">
        <f t="shared" si="320"/>
        <v/>
      </c>
      <c r="AO1125" s="39" t="str">
        <f t="shared" si="321"/>
        <v/>
      </c>
      <c r="AP1125" s="39">
        <f t="shared" si="322"/>
        <v>0</v>
      </c>
      <c r="AQ1125" s="39">
        <f t="shared" si="323"/>
        <v>0</v>
      </c>
    </row>
    <row r="1126" spans="14:43" x14ac:dyDescent="0.25">
      <c r="N1126" s="105">
        <f t="shared" si="306"/>
        <v>0</v>
      </c>
      <c r="O1126" s="106" t="str">
        <f>IF($F1126="","",IF(ISNUMBER($F1126),$F1126+Settings!$C$7/24,IFERROR(DATEVALUE(LEFT($F1126,10))+TIMEVALUE(MID($F1126,12,8))+Settings!$C$7/24,"")))</f>
        <v/>
      </c>
      <c r="P1126" s="106" t="str">
        <f>IF($G1126="","",IF(ISNUMBER($G1126),$G1126+Settings!$C$7/24,IFERROR(DATEVALUE(LEFT($G1126,10))+TIMEVALUE(MID($G1126,12,8))+Settings!$C$7/24,"")))</f>
        <v/>
      </c>
      <c r="Q1126" s="39" t="str">
        <f t="shared" si="307"/>
        <v/>
      </c>
      <c r="R1126" s="39" t="str">
        <f t="shared" si="308"/>
        <v/>
      </c>
      <c r="S1126" s="107" t="str">
        <f t="shared" si="309"/>
        <v/>
      </c>
      <c r="T1126" s="39" t="str">
        <f>IF($C1126="","",IF(COUNTIF($C$2:$C1126,$C1126)=1,1,0))</f>
        <v/>
      </c>
      <c r="U1126" s="39" t="str">
        <f>IF($T1126=1,COUNTIF($T$2:$T1126,1),"")</f>
        <v/>
      </c>
      <c r="V1126" s="39" t="str">
        <f>IF($B1126="","",IF(COUNTIF($B$2:$B1126,$B1126)=1,1,0))</f>
        <v/>
      </c>
      <c r="W1126" s="39" t="str">
        <f>IF($V1126=1,COUNTIF($V$2:$V1126,1),"")</f>
        <v/>
      </c>
      <c r="X1126" s="39" t="str">
        <f>IF($A1126="","",IF(COUNTIF($A$2:$A1126,$A1126)=1,1,0))</f>
        <v/>
      </c>
      <c r="Y1126" s="39" t="str">
        <f>IF($X1126=1,COUNTIF($X$2:$X1126,1),"")</f>
        <v/>
      </c>
      <c r="Z1126" s="39">
        <f>IF(AND($E1126="timed",$N1126&gt;Settings!$C$8),1,0)</f>
        <v>0</v>
      </c>
      <c r="AA1126" s="39">
        <f t="shared" si="310"/>
        <v>0</v>
      </c>
      <c r="AB1126" s="39">
        <f t="shared" si="311"/>
        <v>0</v>
      </c>
      <c r="AC1126" s="39" t="str">
        <f t="shared" si="312"/>
        <v/>
      </c>
      <c r="AD1126" s="39" t="str">
        <f t="shared" si="313"/>
        <v/>
      </c>
      <c r="AE1126" s="39" t="str">
        <f t="shared" si="314"/>
        <v/>
      </c>
      <c r="AF1126" s="106" t="str">
        <f t="shared" si="315"/>
        <v/>
      </c>
      <c r="AG1126" s="39">
        <f t="shared" si="316"/>
        <v>0</v>
      </c>
      <c r="AH1126" s="39" t="str">
        <f t="shared" si="317"/>
        <v/>
      </c>
      <c r="AI1126" s="39">
        <f>IF(AND($E1126="timed",$N1126&gt;=Settings!$C$9),1,0)</f>
        <v>0</v>
      </c>
      <c r="AJ1126" s="39" t="str">
        <f>IF(OR($S1126="",Settings!$C$16=""),"",IF($S1126&lt;=Settings!$C$16,1,2))</f>
        <v/>
      </c>
      <c r="AK1126" s="39" t="str">
        <f>IF($C1126="","",IFERROR(IF(INDEX(Settings!$C$20:$C$59,MATCH($C1126,Settings!$B$20:$B$59,0))="",Settings!$C$10,INDEX(Settings!$C$20:$C$59,MATCH($C1126,Settings!$B$20:$B$59,0))),Settings!$C$10))</f>
        <v/>
      </c>
      <c r="AL1126" s="108">
        <f t="shared" si="318"/>
        <v>0</v>
      </c>
      <c r="AM1126" s="39" t="str">
        <f t="shared" si="319"/>
        <v/>
      </c>
      <c r="AN1126" s="39" t="str">
        <f t="shared" si="320"/>
        <v/>
      </c>
      <c r="AO1126" s="39" t="str">
        <f t="shared" si="321"/>
        <v/>
      </c>
      <c r="AP1126" s="39">
        <f t="shared" si="322"/>
        <v>0</v>
      </c>
      <c r="AQ1126" s="39">
        <f t="shared" si="323"/>
        <v>0</v>
      </c>
    </row>
    <row r="1127" spans="14:43" x14ac:dyDescent="0.25">
      <c r="N1127" s="105">
        <f t="shared" si="306"/>
        <v>0</v>
      </c>
      <c r="O1127" s="106" t="str">
        <f>IF($F1127="","",IF(ISNUMBER($F1127),$F1127+Settings!$C$7/24,IFERROR(DATEVALUE(LEFT($F1127,10))+TIMEVALUE(MID($F1127,12,8))+Settings!$C$7/24,"")))</f>
        <v/>
      </c>
      <c r="P1127" s="106" t="str">
        <f>IF($G1127="","",IF(ISNUMBER($G1127),$G1127+Settings!$C$7/24,IFERROR(DATEVALUE(LEFT($G1127,10))+TIMEVALUE(MID($G1127,12,8))+Settings!$C$7/24,"")))</f>
        <v/>
      </c>
      <c r="Q1127" s="39" t="str">
        <f t="shared" si="307"/>
        <v/>
      </c>
      <c r="R1127" s="39" t="str">
        <f t="shared" si="308"/>
        <v/>
      </c>
      <c r="S1127" s="107" t="str">
        <f t="shared" si="309"/>
        <v/>
      </c>
      <c r="T1127" s="39" t="str">
        <f>IF($C1127="","",IF(COUNTIF($C$2:$C1127,$C1127)=1,1,0))</f>
        <v/>
      </c>
      <c r="U1127" s="39" t="str">
        <f>IF($T1127=1,COUNTIF($T$2:$T1127,1),"")</f>
        <v/>
      </c>
      <c r="V1127" s="39" t="str">
        <f>IF($B1127="","",IF(COUNTIF($B$2:$B1127,$B1127)=1,1,0))</f>
        <v/>
      </c>
      <c r="W1127" s="39" t="str">
        <f>IF($V1127=1,COUNTIF($V$2:$V1127,1),"")</f>
        <v/>
      </c>
      <c r="X1127" s="39" t="str">
        <f>IF($A1127="","",IF(COUNTIF($A$2:$A1127,$A1127)=1,1,0))</f>
        <v/>
      </c>
      <c r="Y1127" s="39" t="str">
        <f>IF($X1127=1,COUNTIF($X$2:$X1127,1),"")</f>
        <v/>
      </c>
      <c r="Z1127" s="39">
        <f>IF(AND($E1127="timed",$N1127&gt;Settings!$C$8),1,0)</f>
        <v>0</v>
      </c>
      <c r="AA1127" s="39">
        <f t="shared" si="310"/>
        <v>0</v>
      </c>
      <c r="AB1127" s="39">
        <f t="shared" si="311"/>
        <v>0</v>
      </c>
      <c r="AC1127" s="39" t="str">
        <f t="shared" si="312"/>
        <v/>
      </c>
      <c r="AD1127" s="39" t="str">
        <f t="shared" si="313"/>
        <v/>
      </c>
      <c r="AE1127" s="39" t="str">
        <f t="shared" si="314"/>
        <v/>
      </c>
      <c r="AF1127" s="106" t="str">
        <f t="shared" si="315"/>
        <v/>
      </c>
      <c r="AG1127" s="39">
        <f t="shared" si="316"/>
        <v>0</v>
      </c>
      <c r="AH1127" s="39" t="str">
        <f t="shared" si="317"/>
        <v/>
      </c>
      <c r="AI1127" s="39">
        <f>IF(AND($E1127="timed",$N1127&gt;=Settings!$C$9),1,0)</f>
        <v>0</v>
      </c>
      <c r="AJ1127" s="39" t="str">
        <f>IF(OR($S1127="",Settings!$C$16=""),"",IF($S1127&lt;=Settings!$C$16,1,2))</f>
        <v/>
      </c>
      <c r="AK1127" s="39" t="str">
        <f>IF($C1127="","",IFERROR(IF(INDEX(Settings!$C$20:$C$59,MATCH($C1127,Settings!$B$20:$B$59,0))="",Settings!$C$10,INDEX(Settings!$C$20:$C$59,MATCH($C1127,Settings!$B$20:$B$59,0))),Settings!$C$10))</f>
        <v/>
      </c>
      <c r="AL1127" s="108">
        <f t="shared" si="318"/>
        <v>0</v>
      </c>
      <c r="AM1127" s="39" t="str">
        <f t="shared" si="319"/>
        <v/>
      </c>
      <c r="AN1127" s="39" t="str">
        <f t="shared" si="320"/>
        <v/>
      </c>
      <c r="AO1127" s="39" t="str">
        <f t="shared" si="321"/>
        <v/>
      </c>
      <c r="AP1127" s="39">
        <f t="shared" si="322"/>
        <v>0</v>
      </c>
      <c r="AQ1127" s="39">
        <f t="shared" si="323"/>
        <v>0</v>
      </c>
    </row>
    <row r="1128" spans="14:43" x14ac:dyDescent="0.25">
      <c r="N1128" s="105">
        <f t="shared" si="306"/>
        <v>0</v>
      </c>
      <c r="O1128" s="106" t="str">
        <f>IF($F1128="","",IF(ISNUMBER($F1128),$F1128+Settings!$C$7/24,IFERROR(DATEVALUE(LEFT($F1128,10))+TIMEVALUE(MID($F1128,12,8))+Settings!$C$7/24,"")))</f>
        <v/>
      </c>
      <c r="P1128" s="106" t="str">
        <f>IF($G1128="","",IF(ISNUMBER($G1128),$G1128+Settings!$C$7/24,IFERROR(DATEVALUE(LEFT($G1128,10))+TIMEVALUE(MID($G1128,12,8))+Settings!$C$7/24,"")))</f>
        <v/>
      </c>
      <c r="Q1128" s="39" t="str">
        <f t="shared" si="307"/>
        <v/>
      </c>
      <c r="R1128" s="39" t="str">
        <f t="shared" si="308"/>
        <v/>
      </c>
      <c r="S1128" s="107" t="str">
        <f t="shared" si="309"/>
        <v/>
      </c>
      <c r="T1128" s="39" t="str">
        <f>IF($C1128="","",IF(COUNTIF($C$2:$C1128,$C1128)=1,1,0))</f>
        <v/>
      </c>
      <c r="U1128" s="39" t="str">
        <f>IF($T1128=1,COUNTIF($T$2:$T1128,1),"")</f>
        <v/>
      </c>
      <c r="V1128" s="39" t="str">
        <f>IF($B1128="","",IF(COUNTIF($B$2:$B1128,$B1128)=1,1,0))</f>
        <v/>
      </c>
      <c r="W1128" s="39" t="str">
        <f>IF($V1128=1,COUNTIF($V$2:$V1128,1),"")</f>
        <v/>
      </c>
      <c r="X1128" s="39" t="str">
        <f>IF($A1128="","",IF(COUNTIF($A$2:$A1128,$A1128)=1,1,0))</f>
        <v/>
      </c>
      <c r="Y1128" s="39" t="str">
        <f>IF($X1128=1,COUNTIF($X$2:$X1128,1),"")</f>
        <v/>
      </c>
      <c r="Z1128" s="39">
        <f>IF(AND($E1128="timed",$N1128&gt;Settings!$C$8),1,0)</f>
        <v>0</v>
      </c>
      <c r="AA1128" s="39">
        <f t="shared" si="310"/>
        <v>0</v>
      </c>
      <c r="AB1128" s="39">
        <f t="shared" si="311"/>
        <v>0</v>
      </c>
      <c r="AC1128" s="39" t="str">
        <f t="shared" si="312"/>
        <v/>
      </c>
      <c r="AD1128" s="39" t="str">
        <f t="shared" si="313"/>
        <v/>
      </c>
      <c r="AE1128" s="39" t="str">
        <f t="shared" si="314"/>
        <v/>
      </c>
      <c r="AF1128" s="106" t="str">
        <f t="shared" si="315"/>
        <v/>
      </c>
      <c r="AG1128" s="39">
        <f t="shared" si="316"/>
        <v>0</v>
      </c>
      <c r="AH1128" s="39" t="str">
        <f t="shared" si="317"/>
        <v/>
      </c>
      <c r="AI1128" s="39">
        <f>IF(AND($E1128="timed",$N1128&gt;=Settings!$C$9),1,0)</f>
        <v>0</v>
      </c>
      <c r="AJ1128" s="39" t="str">
        <f>IF(OR($S1128="",Settings!$C$16=""),"",IF($S1128&lt;=Settings!$C$16,1,2))</f>
        <v/>
      </c>
      <c r="AK1128" s="39" t="str">
        <f>IF($C1128="","",IFERROR(IF(INDEX(Settings!$C$20:$C$59,MATCH($C1128,Settings!$B$20:$B$59,0))="",Settings!$C$10,INDEX(Settings!$C$20:$C$59,MATCH($C1128,Settings!$B$20:$B$59,0))),Settings!$C$10))</f>
        <v/>
      </c>
      <c r="AL1128" s="108">
        <f t="shared" si="318"/>
        <v>0</v>
      </c>
      <c r="AM1128" s="39" t="str">
        <f t="shared" si="319"/>
        <v/>
      </c>
      <c r="AN1128" s="39" t="str">
        <f t="shared" si="320"/>
        <v/>
      </c>
      <c r="AO1128" s="39" t="str">
        <f t="shared" si="321"/>
        <v/>
      </c>
      <c r="AP1128" s="39">
        <f t="shared" si="322"/>
        <v>0</v>
      </c>
      <c r="AQ1128" s="39">
        <f t="shared" si="323"/>
        <v>0</v>
      </c>
    </row>
    <row r="1129" spans="14:43" x14ac:dyDescent="0.25">
      <c r="N1129" s="105">
        <f t="shared" si="306"/>
        <v>0</v>
      </c>
      <c r="O1129" s="106" t="str">
        <f>IF($F1129="","",IF(ISNUMBER($F1129),$F1129+Settings!$C$7/24,IFERROR(DATEVALUE(LEFT($F1129,10))+TIMEVALUE(MID($F1129,12,8))+Settings!$C$7/24,"")))</f>
        <v/>
      </c>
      <c r="P1129" s="106" t="str">
        <f>IF($G1129="","",IF(ISNUMBER($G1129),$G1129+Settings!$C$7/24,IFERROR(DATEVALUE(LEFT($G1129,10))+TIMEVALUE(MID($G1129,12,8))+Settings!$C$7/24,"")))</f>
        <v/>
      </c>
      <c r="Q1129" s="39" t="str">
        <f t="shared" si="307"/>
        <v/>
      </c>
      <c r="R1129" s="39" t="str">
        <f t="shared" si="308"/>
        <v/>
      </c>
      <c r="S1129" s="107" t="str">
        <f t="shared" si="309"/>
        <v/>
      </c>
      <c r="T1129" s="39" t="str">
        <f>IF($C1129="","",IF(COUNTIF($C$2:$C1129,$C1129)=1,1,0))</f>
        <v/>
      </c>
      <c r="U1129" s="39" t="str">
        <f>IF($T1129=1,COUNTIF($T$2:$T1129,1),"")</f>
        <v/>
      </c>
      <c r="V1129" s="39" t="str">
        <f>IF($B1129="","",IF(COUNTIF($B$2:$B1129,$B1129)=1,1,0))</f>
        <v/>
      </c>
      <c r="W1129" s="39" t="str">
        <f>IF($V1129=1,COUNTIF($V$2:$V1129,1),"")</f>
        <v/>
      </c>
      <c r="X1129" s="39" t="str">
        <f>IF($A1129="","",IF(COUNTIF($A$2:$A1129,$A1129)=1,1,0))</f>
        <v/>
      </c>
      <c r="Y1129" s="39" t="str">
        <f>IF($X1129=1,COUNTIF($X$2:$X1129,1),"")</f>
        <v/>
      </c>
      <c r="Z1129" s="39">
        <f>IF(AND($E1129="timed",$N1129&gt;Settings!$C$8),1,0)</f>
        <v>0</v>
      </c>
      <c r="AA1129" s="39">
        <f t="shared" si="310"/>
        <v>0</v>
      </c>
      <c r="AB1129" s="39">
        <f t="shared" si="311"/>
        <v>0</v>
      </c>
      <c r="AC1129" s="39" t="str">
        <f t="shared" si="312"/>
        <v/>
      </c>
      <c r="AD1129" s="39" t="str">
        <f t="shared" si="313"/>
        <v/>
      </c>
      <c r="AE1129" s="39" t="str">
        <f t="shared" si="314"/>
        <v/>
      </c>
      <c r="AF1129" s="106" t="str">
        <f t="shared" si="315"/>
        <v/>
      </c>
      <c r="AG1129" s="39">
        <f t="shared" si="316"/>
        <v>0</v>
      </c>
      <c r="AH1129" s="39" t="str">
        <f t="shared" si="317"/>
        <v/>
      </c>
      <c r="AI1129" s="39">
        <f>IF(AND($E1129="timed",$N1129&gt;=Settings!$C$9),1,0)</f>
        <v>0</v>
      </c>
      <c r="AJ1129" s="39" t="str">
        <f>IF(OR($S1129="",Settings!$C$16=""),"",IF($S1129&lt;=Settings!$C$16,1,2))</f>
        <v/>
      </c>
      <c r="AK1129" s="39" t="str">
        <f>IF($C1129="","",IFERROR(IF(INDEX(Settings!$C$20:$C$59,MATCH($C1129,Settings!$B$20:$B$59,0))="",Settings!$C$10,INDEX(Settings!$C$20:$C$59,MATCH($C1129,Settings!$B$20:$B$59,0))),Settings!$C$10))</f>
        <v/>
      </c>
      <c r="AL1129" s="108">
        <f t="shared" si="318"/>
        <v>0</v>
      </c>
      <c r="AM1129" s="39" t="str">
        <f t="shared" si="319"/>
        <v/>
      </c>
      <c r="AN1129" s="39" t="str">
        <f t="shared" si="320"/>
        <v/>
      </c>
      <c r="AO1129" s="39" t="str">
        <f t="shared" si="321"/>
        <v/>
      </c>
      <c r="AP1129" s="39">
        <f t="shared" si="322"/>
        <v>0</v>
      </c>
      <c r="AQ1129" s="39">
        <f t="shared" si="323"/>
        <v>0</v>
      </c>
    </row>
    <row r="1130" spans="14:43" x14ac:dyDescent="0.25">
      <c r="N1130" s="105">
        <f t="shared" si="306"/>
        <v>0</v>
      </c>
      <c r="O1130" s="106" t="str">
        <f>IF($F1130="","",IF(ISNUMBER($F1130),$F1130+Settings!$C$7/24,IFERROR(DATEVALUE(LEFT($F1130,10))+TIMEVALUE(MID($F1130,12,8))+Settings!$C$7/24,"")))</f>
        <v/>
      </c>
      <c r="P1130" s="106" t="str">
        <f>IF($G1130="","",IF(ISNUMBER($G1130),$G1130+Settings!$C$7/24,IFERROR(DATEVALUE(LEFT($G1130,10))+TIMEVALUE(MID($G1130,12,8))+Settings!$C$7/24,"")))</f>
        <v/>
      </c>
      <c r="Q1130" s="39" t="str">
        <f t="shared" si="307"/>
        <v/>
      </c>
      <c r="R1130" s="39" t="str">
        <f t="shared" si="308"/>
        <v/>
      </c>
      <c r="S1130" s="107" t="str">
        <f t="shared" si="309"/>
        <v/>
      </c>
      <c r="T1130" s="39" t="str">
        <f>IF($C1130="","",IF(COUNTIF($C$2:$C1130,$C1130)=1,1,0))</f>
        <v/>
      </c>
      <c r="U1130" s="39" t="str">
        <f>IF($T1130=1,COUNTIF($T$2:$T1130,1),"")</f>
        <v/>
      </c>
      <c r="V1130" s="39" t="str">
        <f>IF($B1130="","",IF(COUNTIF($B$2:$B1130,$B1130)=1,1,0))</f>
        <v/>
      </c>
      <c r="W1130" s="39" t="str">
        <f>IF($V1130=1,COUNTIF($V$2:$V1130,1),"")</f>
        <v/>
      </c>
      <c r="X1130" s="39" t="str">
        <f>IF($A1130="","",IF(COUNTIF($A$2:$A1130,$A1130)=1,1,0))</f>
        <v/>
      </c>
      <c r="Y1130" s="39" t="str">
        <f>IF($X1130=1,COUNTIF($X$2:$X1130,1),"")</f>
        <v/>
      </c>
      <c r="Z1130" s="39">
        <f>IF(AND($E1130="timed",$N1130&gt;Settings!$C$8),1,0)</f>
        <v>0</v>
      </c>
      <c r="AA1130" s="39">
        <f t="shared" si="310"/>
        <v>0</v>
      </c>
      <c r="AB1130" s="39">
        <f t="shared" si="311"/>
        <v>0</v>
      </c>
      <c r="AC1130" s="39" t="str">
        <f t="shared" si="312"/>
        <v/>
      </c>
      <c r="AD1130" s="39" t="str">
        <f t="shared" si="313"/>
        <v/>
      </c>
      <c r="AE1130" s="39" t="str">
        <f t="shared" si="314"/>
        <v/>
      </c>
      <c r="AF1130" s="106" t="str">
        <f t="shared" si="315"/>
        <v/>
      </c>
      <c r="AG1130" s="39">
        <f t="shared" si="316"/>
        <v>0</v>
      </c>
      <c r="AH1130" s="39" t="str">
        <f t="shared" si="317"/>
        <v/>
      </c>
      <c r="AI1130" s="39">
        <f>IF(AND($E1130="timed",$N1130&gt;=Settings!$C$9),1,0)</f>
        <v>0</v>
      </c>
      <c r="AJ1130" s="39" t="str">
        <f>IF(OR($S1130="",Settings!$C$16=""),"",IF($S1130&lt;=Settings!$C$16,1,2))</f>
        <v/>
      </c>
      <c r="AK1130" s="39" t="str">
        <f>IF($C1130="","",IFERROR(IF(INDEX(Settings!$C$20:$C$59,MATCH($C1130,Settings!$B$20:$B$59,0))="",Settings!$C$10,INDEX(Settings!$C$20:$C$59,MATCH($C1130,Settings!$B$20:$B$59,0))),Settings!$C$10))</f>
        <v/>
      </c>
      <c r="AL1130" s="108">
        <f t="shared" si="318"/>
        <v>0</v>
      </c>
      <c r="AM1130" s="39" t="str">
        <f t="shared" si="319"/>
        <v/>
      </c>
      <c r="AN1130" s="39" t="str">
        <f t="shared" si="320"/>
        <v/>
      </c>
      <c r="AO1130" s="39" t="str">
        <f t="shared" si="321"/>
        <v/>
      </c>
      <c r="AP1130" s="39">
        <f t="shared" si="322"/>
        <v>0</v>
      </c>
      <c r="AQ1130" s="39">
        <f t="shared" si="323"/>
        <v>0</v>
      </c>
    </row>
    <row r="1131" spans="14:43" x14ac:dyDescent="0.25">
      <c r="N1131" s="105">
        <f t="shared" si="306"/>
        <v>0</v>
      </c>
      <c r="O1131" s="106" t="str">
        <f>IF($F1131="","",IF(ISNUMBER($F1131),$F1131+Settings!$C$7/24,IFERROR(DATEVALUE(LEFT($F1131,10))+TIMEVALUE(MID($F1131,12,8))+Settings!$C$7/24,"")))</f>
        <v/>
      </c>
      <c r="P1131" s="106" t="str">
        <f>IF($G1131="","",IF(ISNUMBER($G1131),$G1131+Settings!$C$7/24,IFERROR(DATEVALUE(LEFT($G1131,10))+TIMEVALUE(MID($G1131,12,8))+Settings!$C$7/24,"")))</f>
        <v/>
      </c>
      <c r="Q1131" s="39" t="str">
        <f t="shared" si="307"/>
        <v/>
      </c>
      <c r="R1131" s="39" t="str">
        <f t="shared" si="308"/>
        <v/>
      </c>
      <c r="S1131" s="107" t="str">
        <f t="shared" si="309"/>
        <v/>
      </c>
      <c r="T1131" s="39" t="str">
        <f>IF($C1131="","",IF(COUNTIF($C$2:$C1131,$C1131)=1,1,0))</f>
        <v/>
      </c>
      <c r="U1131" s="39" t="str">
        <f>IF($T1131=1,COUNTIF($T$2:$T1131,1),"")</f>
        <v/>
      </c>
      <c r="V1131" s="39" t="str">
        <f>IF($B1131="","",IF(COUNTIF($B$2:$B1131,$B1131)=1,1,0))</f>
        <v/>
      </c>
      <c r="W1131" s="39" t="str">
        <f>IF($V1131=1,COUNTIF($V$2:$V1131,1),"")</f>
        <v/>
      </c>
      <c r="X1131" s="39" t="str">
        <f>IF($A1131="","",IF(COUNTIF($A$2:$A1131,$A1131)=1,1,0))</f>
        <v/>
      </c>
      <c r="Y1131" s="39" t="str">
        <f>IF($X1131=1,COUNTIF($X$2:$X1131,1),"")</f>
        <v/>
      </c>
      <c r="Z1131" s="39">
        <f>IF(AND($E1131="timed",$N1131&gt;Settings!$C$8),1,0)</f>
        <v>0</v>
      </c>
      <c r="AA1131" s="39">
        <f t="shared" si="310"/>
        <v>0</v>
      </c>
      <c r="AB1131" s="39">
        <f t="shared" si="311"/>
        <v>0</v>
      </c>
      <c r="AC1131" s="39" t="str">
        <f t="shared" si="312"/>
        <v/>
      </c>
      <c r="AD1131" s="39" t="str">
        <f t="shared" si="313"/>
        <v/>
      </c>
      <c r="AE1131" s="39" t="str">
        <f t="shared" si="314"/>
        <v/>
      </c>
      <c r="AF1131" s="106" t="str">
        <f t="shared" si="315"/>
        <v/>
      </c>
      <c r="AG1131" s="39">
        <f t="shared" si="316"/>
        <v>0</v>
      </c>
      <c r="AH1131" s="39" t="str">
        <f t="shared" si="317"/>
        <v/>
      </c>
      <c r="AI1131" s="39">
        <f>IF(AND($E1131="timed",$N1131&gt;=Settings!$C$9),1,0)</f>
        <v>0</v>
      </c>
      <c r="AJ1131" s="39" t="str">
        <f>IF(OR($S1131="",Settings!$C$16=""),"",IF($S1131&lt;=Settings!$C$16,1,2))</f>
        <v/>
      </c>
      <c r="AK1131" s="39" t="str">
        <f>IF($C1131="","",IFERROR(IF(INDEX(Settings!$C$20:$C$59,MATCH($C1131,Settings!$B$20:$B$59,0))="",Settings!$C$10,INDEX(Settings!$C$20:$C$59,MATCH($C1131,Settings!$B$20:$B$59,0))),Settings!$C$10))</f>
        <v/>
      </c>
      <c r="AL1131" s="108">
        <f t="shared" si="318"/>
        <v>0</v>
      </c>
      <c r="AM1131" s="39" t="str">
        <f t="shared" si="319"/>
        <v/>
      </c>
      <c r="AN1131" s="39" t="str">
        <f t="shared" si="320"/>
        <v/>
      </c>
      <c r="AO1131" s="39" t="str">
        <f t="shared" si="321"/>
        <v/>
      </c>
      <c r="AP1131" s="39">
        <f t="shared" si="322"/>
        <v>0</v>
      </c>
      <c r="AQ1131" s="39">
        <f t="shared" si="323"/>
        <v>0</v>
      </c>
    </row>
    <row r="1132" spans="14:43" x14ac:dyDescent="0.25">
      <c r="N1132" s="105">
        <f t="shared" si="306"/>
        <v>0</v>
      </c>
      <c r="O1132" s="106" t="str">
        <f>IF($F1132="","",IF(ISNUMBER($F1132),$F1132+Settings!$C$7/24,IFERROR(DATEVALUE(LEFT($F1132,10))+TIMEVALUE(MID($F1132,12,8))+Settings!$C$7/24,"")))</f>
        <v/>
      </c>
      <c r="P1132" s="106" t="str">
        <f>IF($G1132="","",IF(ISNUMBER($G1132),$G1132+Settings!$C$7/24,IFERROR(DATEVALUE(LEFT($G1132,10))+TIMEVALUE(MID($G1132,12,8))+Settings!$C$7/24,"")))</f>
        <v/>
      </c>
      <c r="Q1132" s="39" t="str">
        <f t="shared" si="307"/>
        <v/>
      </c>
      <c r="R1132" s="39" t="str">
        <f t="shared" si="308"/>
        <v/>
      </c>
      <c r="S1132" s="107" t="str">
        <f t="shared" si="309"/>
        <v/>
      </c>
      <c r="T1132" s="39" t="str">
        <f>IF($C1132="","",IF(COUNTIF($C$2:$C1132,$C1132)=1,1,0))</f>
        <v/>
      </c>
      <c r="U1132" s="39" t="str">
        <f>IF($T1132=1,COUNTIF($T$2:$T1132,1),"")</f>
        <v/>
      </c>
      <c r="V1132" s="39" t="str">
        <f>IF($B1132="","",IF(COUNTIF($B$2:$B1132,$B1132)=1,1,0))</f>
        <v/>
      </c>
      <c r="W1132" s="39" t="str">
        <f>IF($V1132=1,COUNTIF($V$2:$V1132,1),"")</f>
        <v/>
      </c>
      <c r="X1132" s="39" t="str">
        <f>IF($A1132="","",IF(COUNTIF($A$2:$A1132,$A1132)=1,1,0))</f>
        <v/>
      </c>
      <c r="Y1132" s="39" t="str">
        <f>IF($X1132=1,COUNTIF($X$2:$X1132,1),"")</f>
        <v/>
      </c>
      <c r="Z1132" s="39">
        <f>IF(AND($E1132="timed",$N1132&gt;Settings!$C$8),1,0)</f>
        <v>0</v>
      </c>
      <c r="AA1132" s="39">
        <f t="shared" si="310"/>
        <v>0</v>
      </c>
      <c r="AB1132" s="39">
        <f t="shared" si="311"/>
        <v>0</v>
      </c>
      <c r="AC1132" s="39" t="str">
        <f t="shared" si="312"/>
        <v/>
      </c>
      <c r="AD1132" s="39" t="str">
        <f t="shared" si="313"/>
        <v/>
      </c>
      <c r="AE1132" s="39" t="str">
        <f t="shared" si="314"/>
        <v/>
      </c>
      <c r="AF1132" s="106" t="str">
        <f t="shared" si="315"/>
        <v/>
      </c>
      <c r="AG1132" s="39">
        <f t="shared" si="316"/>
        <v>0</v>
      </c>
      <c r="AH1132" s="39" t="str">
        <f t="shared" si="317"/>
        <v/>
      </c>
      <c r="AI1132" s="39">
        <f>IF(AND($E1132="timed",$N1132&gt;=Settings!$C$9),1,0)</f>
        <v>0</v>
      </c>
      <c r="AJ1132" s="39" t="str">
        <f>IF(OR($S1132="",Settings!$C$16=""),"",IF($S1132&lt;=Settings!$C$16,1,2))</f>
        <v/>
      </c>
      <c r="AK1132" s="39" t="str">
        <f>IF($C1132="","",IFERROR(IF(INDEX(Settings!$C$20:$C$59,MATCH($C1132,Settings!$B$20:$B$59,0))="",Settings!$C$10,INDEX(Settings!$C$20:$C$59,MATCH($C1132,Settings!$B$20:$B$59,0))),Settings!$C$10))</f>
        <v/>
      </c>
      <c r="AL1132" s="108">
        <f t="shared" si="318"/>
        <v>0</v>
      </c>
      <c r="AM1132" s="39" t="str">
        <f t="shared" si="319"/>
        <v/>
      </c>
      <c r="AN1132" s="39" t="str">
        <f t="shared" si="320"/>
        <v/>
      </c>
      <c r="AO1132" s="39" t="str">
        <f t="shared" si="321"/>
        <v/>
      </c>
      <c r="AP1132" s="39">
        <f t="shared" si="322"/>
        <v>0</v>
      </c>
      <c r="AQ1132" s="39">
        <f t="shared" si="323"/>
        <v>0</v>
      </c>
    </row>
    <row r="1133" spans="14:43" x14ac:dyDescent="0.25">
      <c r="N1133" s="105">
        <f t="shared" si="306"/>
        <v>0</v>
      </c>
      <c r="O1133" s="106" t="str">
        <f>IF($F1133="","",IF(ISNUMBER($F1133),$F1133+Settings!$C$7/24,IFERROR(DATEVALUE(LEFT($F1133,10))+TIMEVALUE(MID($F1133,12,8))+Settings!$C$7/24,"")))</f>
        <v/>
      </c>
      <c r="P1133" s="106" t="str">
        <f>IF($G1133="","",IF(ISNUMBER($G1133),$G1133+Settings!$C$7/24,IFERROR(DATEVALUE(LEFT($G1133,10))+TIMEVALUE(MID($G1133,12,8))+Settings!$C$7/24,"")))</f>
        <v/>
      </c>
      <c r="Q1133" s="39" t="str">
        <f t="shared" si="307"/>
        <v/>
      </c>
      <c r="R1133" s="39" t="str">
        <f t="shared" si="308"/>
        <v/>
      </c>
      <c r="S1133" s="107" t="str">
        <f t="shared" si="309"/>
        <v/>
      </c>
      <c r="T1133" s="39" t="str">
        <f>IF($C1133="","",IF(COUNTIF($C$2:$C1133,$C1133)=1,1,0))</f>
        <v/>
      </c>
      <c r="U1133" s="39" t="str">
        <f>IF($T1133=1,COUNTIF($T$2:$T1133,1),"")</f>
        <v/>
      </c>
      <c r="V1133" s="39" t="str">
        <f>IF($B1133="","",IF(COUNTIF($B$2:$B1133,$B1133)=1,1,0))</f>
        <v/>
      </c>
      <c r="W1133" s="39" t="str">
        <f>IF($V1133=1,COUNTIF($V$2:$V1133,1),"")</f>
        <v/>
      </c>
      <c r="X1133" s="39" t="str">
        <f>IF($A1133="","",IF(COUNTIF($A$2:$A1133,$A1133)=1,1,0))</f>
        <v/>
      </c>
      <c r="Y1133" s="39" t="str">
        <f>IF($X1133=1,COUNTIF($X$2:$X1133,1),"")</f>
        <v/>
      </c>
      <c r="Z1133" s="39">
        <f>IF(AND($E1133="timed",$N1133&gt;Settings!$C$8),1,0)</f>
        <v>0</v>
      </c>
      <c r="AA1133" s="39">
        <f t="shared" si="310"/>
        <v>0</v>
      </c>
      <c r="AB1133" s="39">
        <f t="shared" si="311"/>
        <v>0</v>
      </c>
      <c r="AC1133" s="39" t="str">
        <f t="shared" si="312"/>
        <v/>
      </c>
      <c r="AD1133" s="39" t="str">
        <f t="shared" si="313"/>
        <v/>
      </c>
      <c r="AE1133" s="39" t="str">
        <f t="shared" si="314"/>
        <v/>
      </c>
      <c r="AF1133" s="106" t="str">
        <f t="shared" si="315"/>
        <v/>
      </c>
      <c r="AG1133" s="39">
        <f t="shared" si="316"/>
        <v>0</v>
      </c>
      <c r="AH1133" s="39" t="str">
        <f t="shared" si="317"/>
        <v/>
      </c>
      <c r="AI1133" s="39">
        <f>IF(AND($E1133="timed",$N1133&gt;=Settings!$C$9),1,0)</f>
        <v>0</v>
      </c>
      <c r="AJ1133" s="39" t="str">
        <f>IF(OR($S1133="",Settings!$C$16=""),"",IF($S1133&lt;=Settings!$C$16,1,2))</f>
        <v/>
      </c>
      <c r="AK1133" s="39" t="str">
        <f>IF($C1133="","",IFERROR(IF(INDEX(Settings!$C$20:$C$59,MATCH($C1133,Settings!$B$20:$B$59,0))="",Settings!$C$10,INDEX(Settings!$C$20:$C$59,MATCH($C1133,Settings!$B$20:$B$59,0))),Settings!$C$10))</f>
        <v/>
      </c>
      <c r="AL1133" s="108">
        <f t="shared" si="318"/>
        <v>0</v>
      </c>
      <c r="AM1133" s="39" t="str">
        <f t="shared" si="319"/>
        <v/>
      </c>
      <c r="AN1133" s="39" t="str">
        <f t="shared" si="320"/>
        <v/>
      </c>
      <c r="AO1133" s="39" t="str">
        <f t="shared" si="321"/>
        <v/>
      </c>
      <c r="AP1133" s="39">
        <f t="shared" si="322"/>
        <v>0</v>
      </c>
      <c r="AQ1133" s="39">
        <f t="shared" si="323"/>
        <v>0</v>
      </c>
    </row>
    <row r="1134" spans="14:43" x14ac:dyDescent="0.25">
      <c r="N1134" s="105">
        <f t="shared" si="306"/>
        <v>0</v>
      </c>
      <c r="O1134" s="106" t="str">
        <f>IF($F1134="","",IF(ISNUMBER($F1134),$F1134+Settings!$C$7/24,IFERROR(DATEVALUE(LEFT($F1134,10))+TIMEVALUE(MID($F1134,12,8))+Settings!$C$7/24,"")))</f>
        <v/>
      </c>
      <c r="P1134" s="106" t="str">
        <f>IF($G1134="","",IF(ISNUMBER($G1134),$G1134+Settings!$C$7/24,IFERROR(DATEVALUE(LEFT($G1134,10))+TIMEVALUE(MID($G1134,12,8))+Settings!$C$7/24,"")))</f>
        <v/>
      </c>
      <c r="Q1134" s="39" t="str">
        <f t="shared" si="307"/>
        <v/>
      </c>
      <c r="R1134" s="39" t="str">
        <f t="shared" si="308"/>
        <v/>
      </c>
      <c r="S1134" s="107" t="str">
        <f t="shared" si="309"/>
        <v/>
      </c>
      <c r="T1134" s="39" t="str">
        <f>IF($C1134="","",IF(COUNTIF($C$2:$C1134,$C1134)=1,1,0))</f>
        <v/>
      </c>
      <c r="U1134" s="39" t="str">
        <f>IF($T1134=1,COUNTIF($T$2:$T1134,1),"")</f>
        <v/>
      </c>
      <c r="V1134" s="39" t="str">
        <f>IF($B1134="","",IF(COUNTIF($B$2:$B1134,$B1134)=1,1,0))</f>
        <v/>
      </c>
      <c r="W1134" s="39" t="str">
        <f>IF($V1134=1,COUNTIF($V$2:$V1134,1),"")</f>
        <v/>
      </c>
      <c r="X1134" s="39" t="str">
        <f>IF($A1134="","",IF(COUNTIF($A$2:$A1134,$A1134)=1,1,0))</f>
        <v/>
      </c>
      <c r="Y1134" s="39" t="str">
        <f>IF($X1134=1,COUNTIF($X$2:$X1134,1),"")</f>
        <v/>
      </c>
      <c r="Z1134" s="39">
        <f>IF(AND($E1134="timed",$N1134&gt;Settings!$C$8),1,0)</f>
        <v>0</v>
      </c>
      <c r="AA1134" s="39">
        <f t="shared" si="310"/>
        <v>0</v>
      </c>
      <c r="AB1134" s="39">
        <f t="shared" si="311"/>
        <v>0</v>
      </c>
      <c r="AC1134" s="39" t="str">
        <f t="shared" si="312"/>
        <v/>
      </c>
      <c r="AD1134" s="39" t="str">
        <f t="shared" si="313"/>
        <v/>
      </c>
      <c r="AE1134" s="39" t="str">
        <f t="shared" si="314"/>
        <v/>
      </c>
      <c r="AF1134" s="106" t="str">
        <f t="shared" si="315"/>
        <v/>
      </c>
      <c r="AG1134" s="39">
        <f t="shared" si="316"/>
        <v>0</v>
      </c>
      <c r="AH1134" s="39" t="str">
        <f t="shared" si="317"/>
        <v/>
      </c>
      <c r="AI1134" s="39">
        <f>IF(AND($E1134="timed",$N1134&gt;=Settings!$C$9),1,0)</f>
        <v>0</v>
      </c>
      <c r="AJ1134" s="39" t="str">
        <f>IF(OR($S1134="",Settings!$C$16=""),"",IF($S1134&lt;=Settings!$C$16,1,2))</f>
        <v/>
      </c>
      <c r="AK1134" s="39" t="str">
        <f>IF($C1134="","",IFERROR(IF(INDEX(Settings!$C$20:$C$59,MATCH($C1134,Settings!$B$20:$B$59,0))="",Settings!$C$10,INDEX(Settings!$C$20:$C$59,MATCH($C1134,Settings!$B$20:$B$59,0))),Settings!$C$10))</f>
        <v/>
      </c>
      <c r="AL1134" s="108">
        <f t="shared" si="318"/>
        <v>0</v>
      </c>
      <c r="AM1134" s="39" t="str">
        <f t="shared" si="319"/>
        <v/>
      </c>
      <c r="AN1134" s="39" t="str">
        <f t="shared" si="320"/>
        <v/>
      </c>
      <c r="AO1134" s="39" t="str">
        <f t="shared" si="321"/>
        <v/>
      </c>
      <c r="AP1134" s="39">
        <f t="shared" si="322"/>
        <v>0</v>
      </c>
      <c r="AQ1134" s="39">
        <f t="shared" si="323"/>
        <v>0</v>
      </c>
    </row>
    <row r="1135" spans="14:43" x14ac:dyDescent="0.25">
      <c r="N1135" s="105">
        <f t="shared" si="306"/>
        <v>0</v>
      </c>
      <c r="O1135" s="106" t="str">
        <f>IF($F1135="","",IF(ISNUMBER($F1135),$F1135+Settings!$C$7/24,IFERROR(DATEVALUE(LEFT($F1135,10))+TIMEVALUE(MID($F1135,12,8))+Settings!$C$7/24,"")))</f>
        <v/>
      </c>
      <c r="P1135" s="106" t="str">
        <f>IF($G1135="","",IF(ISNUMBER($G1135),$G1135+Settings!$C$7/24,IFERROR(DATEVALUE(LEFT($G1135,10))+TIMEVALUE(MID($G1135,12,8))+Settings!$C$7/24,"")))</f>
        <v/>
      </c>
      <c r="Q1135" s="39" t="str">
        <f t="shared" si="307"/>
        <v/>
      </c>
      <c r="R1135" s="39" t="str">
        <f t="shared" si="308"/>
        <v/>
      </c>
      <c r="S1135" s="107" t="str">
        <f t="shared" si="309"/>
        <v/>
      </c>
      <c r="T1135" s="39" t="str">
        <f>IF($C1135="","",IF(COUNTIF($C$2:$C1135,$C1135)=1,1,0))</f>
        <v/>
      </c>
      <c r="U1135" s="39" t="str">
        <f>IF($T1135=1,COUNTIF($T$2:$T1135,1),"")</f>
        <v/>
      </c>
      <c r="V1135" s="39" t="str">
        <f>IF($B1135="","",IF(COUNTIF($B$2:$B1135,$B1135)=1,1,0))</f>
        <v/>
      </c>
      <c r="W1135" s="39" t="str">
        <f>IF($V1135=1,COUNTIF($V$2:$V1135,1),"")</f>
        <v/>
      </c>
      <c r="X1135" s="39" t="str">
        <f>IF($A1135="","",IF(COUNTIF($A$2:$A1135,$A1135)=1,1,0))</f>
        <v/>
      </c>
      <c r="Y1135" s="39" t="str">
        <f>IF($X1135=1,COUNTIF($X$2:$X1135,1),"")</f>
        <v/>
      </c>
      <c r="Z1135" s="39">
        <f>IF(AND($E1135="timed",$N1135&gt;Settings!$C$8),1,0)</f>
        <v>0</v>
      </c>
      <c r="AA1135" s="39">
        <f t="shared" si="310"/>
        <v>0</v>
      </c>
      <c r="AB1135" s="39">
        <f t="shared" si="311"/>
        <v>0</v>
      </c>
      <c r="AC1135" s="39" t="str">
        <f t="shared" si="312"/>
        <v/>
      </c>
      <c r="AD1135" s="39" t="str">
        <f t="shared" si="313"/>
        <v/>
      </c>
      <c r="AE1135" s="39" t="str">
        <f t="shared" si="314"/>
        <v/>
      </c>
      <c r="AF1135" s="106" t="str">
        <f t="shared" si="315"/>
        <v/>
      </c>
      <c r="AG1135" s="39">
        <f t="shared" si="316"/>
        <v>0</v>
      </c>
      <c r="AH1135" s="39" t="str">
        <f t="shared" si="317"/>
        <v/>
      </c>
      <c r="AI1135" s="39">
        <f>IF(AND($E1135="timed",$N1135&gt;=Settings!$C$9),1,0)</f>
        <v>0</v>
      </c>
      <c r="AJ1135" s="39" t="str">
        <f>IF(OR($S1135="",Settings!$C$16=""),"",IF($S1135&lt;=Settings!$C$16,1,2))</f>
        <v/>
      </c>
      <c r="AK1135" s="39" t="str">
        <f>IF($C1135="","",IFERROR(IF(INDEX(Settings!$C$20:$C$59,MATCH($C1135,Settings!$B$20:$B$59,0))="",Settings!$C$10,INDEX(Settings!$C$20:$C$59,MATCH($C1135,Settings!$B$20:$B$59,0))),Settings!$C$10))</f>
        <v/>
      </c>
      <c r="AL1135" s="108">
        <f t="shared" si="318"/>
        <v>0</v>
      </c>
      <c r="AM1135" s="39" t="str">
        <f t="shared" si="319"/>
        <v/>
      </c>
      <c r="AN1135" s="39" t="str">
        <f t="shared" si="320"/>
        <v/>
      </c>
      <c r="AO1135" s="39" t="str">
        <f t="shared" si="321"/>
        <v/>
      </c>
      <c r="AP1135" s="39">
        <f t="shared" si="322"/>
        <v>0</v>
      </c>
      <c r="AQ1135" s="39">
        <f t="shared" si="323"/>
        <v>0</v>
      </c>
    </row>
    <row r="1136" spans="14:43" x14ac:dyDescent="0.25">
      <c r="N1136" s="105">
        <f t="shared" si="306"/>
        <v>0</v>
      </c>
      <c r="O1136" s="106" t="str">
        <f>IF($F1136="","",IF(ISNUMBER($F1136),$F1136+Settings!$C$7/24,IFERROR(DATEVALUE(LEFT($F1136,10))+TIMEVALUE(MID($F1136,12,8))+Settings!$C$7/24,"")))</f>
        <v/>
      </c>
      <c r="P1136" s="106" t="str">
        <f>IF($G1136="","",IF(ISNUMBER($G1136),$G1136+Settings!$C$7/24,IFERROR(DATEVALUE(LEFT($G1136,10))+TIMEVALUE(MID($G1136,12,8))+Settings!$C$7/24,"")))</f>
        <v/>
      </c>
      <c r="Q1136" s="39" t="str">
        <f t="shared" si="307"/>
        <v/>
      </c>
      <c r="R1136" s="39" t="str">
        <f t="shared" si="308"/>
        <v/>
      </c>
      <c r="S1136" s="107" t="str">
        <f t="shared" si="309"/>
        <v/>
      </c>
      <c r="T1136" s="39" t="str">
        <f>IF($C1136="","",IF(COUNTIF($C$2:$C1136,$C1136)=1,1,0))</f>
        <v/>
      </c>
      <c r="U1136" s="39" t="str">
        <f>IF($T1136=1,COUNTIF($T$2:$T1136,1),"")</f>
        <v/>
      </c>
      <c r="V1136" s="39" t="str">
        <f>IF($B1136="","",IF(COUNTIF($B$2:$B1136,$B1136)=1,1,0))</f>
        <v/>
      </c>
      <c r="W1136" s="39" t="str">
        <f>IF($V1136=1,COUNTIF($V$2:$V1136,1),"")</f>
        <v/>
      </c>
      <c r="X1136" s="39" t="str">
        <f>IF($A1136="","",IF(COUNTIF($A$2:$A1136,$A1136)=1,1,0))</f>
        <v/>
      </c>
      <c r="Y1136" s="39" t="str">
        <f>IF($X1136=1,COUNTIF($X$2:$X1136,1),"")</f>
        <v/>
      </c>
      <c r="Z1136" s="39">
        <f>IF(AND($E1136="timed",$N1136&gt;Settings!$C$8),1,0)</f>
        <v>0</v>
      </c>
      <c r="AA1136" s="39">
        <f t="shared" si="310"/>
        <v>0</v>
      </c>
      <c r="AB1136" s="39">
        <f t="shared" si="311"/>
        <v>0</v>
      </c>
      <c r="AC1136" s="39" t="str">
        <f t="shared" si="312"/>
        <v/>
      </c>
      <c r="AD1136" s="39" t="str">
        <f t="shared" si="313"/>
        <v/>
      </c>
      <c r="AE1136" s="39" t="str">
        <f t="shared" si="314"/>
        <v/>
      </c>
      <c r="AF1136" s="106" t="str">
        <f t="shared" si="315"/>
        <v/>
      </c>
      <c r="AG1136" s="39">
        <f t="shared" si="316"/>
        <v>0</v>
      </c>
      <c r="AH1136" s="39" t="str">
        <f t="shared" si="317"/>
        <v/>
      </c>
      <c r="AI1136" s="39">
        <f>IF(AND($E1136="timed",$N1136&gt;=Settings!$C$9),1,0)</f>
        <v>0</v>
      </c>
      <c r="AJ1136" s="39" t="str">
        <f>IF(OR($S1136="",Settings!$C$16=""),"",IF($S1136&lt;=Settings!$C$16,1,2))</f>
        <v/>
      </c>
      <c r="AK1136" s="39" t="str">
        <f>IF($C1136="","",IFERROR(IF(INDEX(Settings!$C$20:$C$59,MATCH($C1136,Settings!$B$20:$B$59,0))="",Settings!$C$10,INDEX(Settings!$C$20:$C$59,MATCH($C1136,Settings!$B$20:$B$59,0))),Settings!$C$10))</f>
        <v/>
      </c>
      <c r="AL1136" s="108">
        <f t="shared" si="318"/>
        <v>0</v>
      </c>
      <c r="AM1136" s="39" t="str">
        <f t="shared" si="319"/>
        <v/>
      </c>
      <c r="AN1136" s="39" t="str">
        <f t="shared" si="320"/>
        <v/>
      </c>
      <c r="AO1136" s="39" t="str">
        <f t="shared" si="321"/>
        <v/>
      </c>
      <c r="AP1136" s="39">
        <f t="shared" si="322"/>
        <v>0</v>
      </c>
      <c r="AQ1136" s="39">
        <f t="shared" si="323"/>
        <v>0</v>
      </c>
    </row>
    <row r="1137" spans="14:43" x14ac:dyDescent="0.25">
      <c r="N1137" s="105">
        <f t="shared" si="306"/>
        <v>0</v>
      </c>
      <c r="O1137" s="106" t="str">
        <f>IF($F1137="","",IF(ISNUMBER($F1137),$F1137+Settings!$C$7/24,IFERROR(DATEVALUE(LEFT($F1137,10))+TIMEVALUE(MID($F1137,12,8))+Settings!$C$7/24,"")))</f>
        <v/>
      </c>
      <c r="P1137" s="106" t="str">
        <f>IF($G1137="","",IF(ISNUMBER($G1137),$G1137+Settings!$C$7/24,IFERROR(DATEVALUE(LEFT($G1137,10))+TIMEVALUE(MID($G1137,12,8))+Settings!$C$7/24,"")))</f>
        <v/>
      </c>
      <c r="Q1137" s="39" t="str">
        <f t="shared" si="307"/>
        <v/>
      </c>
      <c r="R1137" s="39" t="str">
        <f t="shared" si="308"/>
        <v/>
      </c>
      <c r="S1137" s="107" t="str">
        <f t="shared" si="309"/>
        <v/>
      </c>
      <c r="T1137" s="39" t="str">
        <f>IF($C1137="","",IF(COUNTIF($C$2:$C1137,$C1137)=1,1,0))</f>
        <v/>
      </c>
      <c r="U1137" s="39" t="str">
        <f>IF($T1137=1,COUNTIF($T$2:$T1137,1),"")</f>
        <v/>
      </c>
      <c r="V1137" s="39" t="str">
        <f>IF($B1137="","",IF(COUNTIF($B$2:$B1137,$B1137)=1,1,0))</f>
        <v/>
      </c>
      <c r="W1137" s="39" t="str">
        <f>IF($V1137=1,COUNTIF($V$2:$V1137,1),"")</f>
        <v/>
      </c>
      <c r="X1137" s="39" t="str">
        <f>IF($A1137="","",IF(COUNTIF($A$2:$A1137,$A1137)=1,1,0))</f>
        <v/>
      </c>
      <c r="Y1137" s="39" t="str">
        <f>IF($X1137=1,COUNTIF($X$2:$X1137,1),"")</f>
        <v/>
      </c>
      <c r="Z1137" s="39">
        <f>IF(AND($E1137="timed",$N1137&gt;Settings!$C$8),1,0)</f>
        <v>0</v>
      </c>
      <c r="AA1137" s="39">
        <f t="shared" si="310"/>
        <v>0</v>
      </c>
      <c r="AB1137" s="39">
        <f t="shared" si="311"/>
        <v>0</v>
      </c>
      <c r="AC1137" s="39" t="str">
        <f t="shared" si="312"/>
        <v/>
      </c>
      <c r="AD1137" s="39" t="str">
        <f t="shared" si="313"/>
        <v/>
      </c>
      <c r="AE1137" s="39" t="str">
        <f t="shared" si="314"/>
        <v/>
      </c>
      <c r="AF1137" s="106" t="str">
        <f t="shared" si="315"/>
        <v/>
      </c>
      <c r="AG1137" s="39">
        <f t="shared" si="316"/>
        <v>0</v>
      </c>
      <c r="AH1137" s="39" t="str">
        <f t="shared" si="317"/>
        <v/>
      </c>
      <c r="AI1137" s="39">
        <f>IF(AND($E1137="timed",$N1137&gt;=Settings!$C$9),1,0)</f>
        <v>0</v>
      </c>
      <c r="AJ1137" s="39" t="str">
        <f>IF(OR($S1137="",Settings!$C$16=""),"",IF($S1137&lt;=Settings!$C$16,1,2))</f>
        <v/>
      </c>
      <c r="AK1137" s="39" t="str">
        <f>IF($C1137="","",IFERROR(IF(INDEX(Settings!$C$20:$C$59,MATCH($C1137,Settings!$B$20:$B$59,0))="",Settings!$C$10,INDEX(Settings!$C$20:$C$59,MATCH($C1137,Settings!$B$20:$B$59,0))),Settings!$C$10))</f>
        <v/>
      </c>
      <c r="AL1137" s="108">
        <f t="shared" si="318"/>
        <v>0</v>
      </c>
      <c r="AM1137" s="39" t="str">
        <f t="shared" si="319"/>
        <v/>
      </c>
      <c r="AN1137" s="39" t="str">
        <f t="shared" si="320"/>
        <v/>
      </c>
      <c r="AO1137" s="39" t="str">
        <f t="shared" si="321"/>
        <v/>
      </c>
      <c r="AP1137" s="39">
        <f t="shared" si="322"/>
        <v>0</v>
      </c>
      <c r="AQ1137" s="39">
        <f t="shared" si="323"/>
        <v>0</v>
      </c>
    </row>
    <row r="1138" spans="14:43" x14ac:dyDescent="0.25">
      <c r="N1138" s="105">
        <f t="shared" si="306"/>
        <v>0</v>
      </c>
      <c r="O1138" s="106" t="str">
        <f>IF($F1138="","",IF(ISNUMBER($F1138),$F1138+Settings!$C$7/24,IFERROR(DATEVALUE(LEFT($F1138,10))+TIMEVALUE(MID($F1138,12,8))+Settings!$C$7/24,"")))</f>
        <v/>
      </c>
      <c r="P1138" s="106" t="str">
        <f>IF($G1138="","",IF(ISNUMBER($G1138),$G1138+Settings!$C$7/24,IFERROR(DATEVALUE(LEFT($G1138,10))+TIMEVALUE(MID($G1138,12,8))+Settings!$C$7/24,"")))</f>
        <v/>
      </c>
      <c r="Q1138" s="39" t="str">
        <f t="shared" si="307"/>
        <v/>
      </c>
      <c r="R1138" s="39" t="str">
        <f t="shared" si="308"/>
        <v/>
      </c>
      <c r="S1138" s="107" t="str">
        <f t="shared" si="309"/>
        <v/>
      </c>
      <c r="T1138" s="39" t="str">
        <f>IF($C1138="","",IF(COUNTIF($C$2:$C1138,$C1138)=1,1,0))</f>
        <v/>
      </c>
      <c r="U1138" s="39" t="str">
        <f>IF($T1138=1,COUNTIF($T$2:$T1138,1),"")</f>
        <v/>
      </c>
      <c r="V1138" s="39" t="str">
        <f>IF($B1138="","",IF(COUNTIF($B$2:$B1138,$B1138)=1,1,0))</f>
        <v/>
      </c>
      <c r="W1138" s="39" t="str">
        <f>IF($V1138=1,COUNTIF($V$2:$V1138,1),"")</f>
        <v/>
      </c>
      <c r="X1138" s="39" t="str">
        <f>IF($A1138="","",IF(COUNTIF($A$2:$A1138,$A1138)=1,1,0))</f>
        <v/>
      </c>
      <c r="Y1138" s="39" t="str">
        <f>IF($X1138=1,COUNTIF($X$2:$X1138,1),"")</f>
        <v/>
      </c>
      <c r="Z1138" s="39">
        <f>IF(AND($E1138="timed",$N1138&gt;Settings!$C$8),1,0)</f>
        <v>0</v>
      </c>
      <c r="AA1138" s="39">
        <f t="shared" si="310"/>
        <v>0</v>
      </c>
      <c r="AB1138" s="39">
        <f t="shared" si="311"/>
        <v>0</v>
      </c>
      <c r="AC1138" s="39" t="str">
        <f t="shared" si="312"/>
        <v/>
      </c>
      <c r="AD1138" s="39" t="str">
        <f t="shared" si="313"/>
        <v/>
      </c>
      <c r="AE1138" s="39" t="str">
        <f t="shared" si="314"/>
        <v/>
      </c>
      <c r="AF1138" s="106" t="str">
        <f t="shared" si="315"/>
        <v/>
      </c>
      <c r="AG1138" s="39">
        <f t="shared" si="316"/>
        <v>0</v>
      </c>
      <c r="AH1138" s="39" t="str">
        <f t="shared" si="317"/>
        <v/>
      </c>
      <c r="AI1138" s="39">
        <f>IF(AND($E1138="timed",$N1138&gt;=Settings!$C$9),1,0)</f>
        <v>0</v>
      </c>
      <c r="AJ1138" s="39" t="str">
        <f>IF(OR($S1138="",Settings!$C$16=""),"",IF($S1138&lt;=Settings!$C$16,1,2))</f>
        <v/>
      </c>
      <c r="AK1138" s="39" t="str">
        <f>IF($C1138="","",IFERROR(IF(INDEX(Settings!$C$20:$C$59,MATCH($C1138,Settings!$B$20:$B$59,0))="",Settings!$C$10,INDEX(Settings!$C$20:$C$59,MATCH($C1138,Settings!$B$20:$B$59,0))),Settings!$C$10))</f>
        <v/>
      </c>
      <c r="AL1138" s="108">
        <f t="shared" si="318"/>
        <v>0</v>
      </c>
      <c r="AM1138" s="39" t="str">
        <f t="shared" si="319"/>
        <v/>
      </c>
      <c r="AN1138" s="39" t="str">
        <f t="shared" si="320"/>
        <v/>
      </c>
      <c r="AO1138" s="39" t="str">
        <f t="shared" si="321"/>
        <v/>
      </c>
      <c r="AP1138" s="39">
        <f t="shared" si="322"/>
        <v>0</v>
      </c>
      <c r="AQ1138" s="39">
        <f t="shared" si="323"/>
        <v>0</v>
      </c>
    </row>
    <row r="1139" spans="14:43" x14ac:dyDescent="0.25">
      <c r="N1139" s="105">
        <f t="shared" si="306"/>
        <v>0</v>
      </c>
      <c r="O1139" s="106" t="str">
        <f>IF($F1139="","",IF(ISNUMBER($F1139),$F1139+Settings!$C$7/24,IFERROR(DATEVALUE(LEFT($F1139,10))+TIMEVALUE(MID($F1139,12,8))+Settings!$C$7/24,"")))</f>
        <v/>
      </c>
      <c r="P1139" s="106" t="str">
        <f>IF($G1139="","",IF(ISNUMBER($G1139),$G1139+Settings!$C$7/24,IFERROR(DATEVALUE(LEFT($G1139,10))+TIMEVALUE(MID($G1139,12,8))+Settings!$C$7/24,"")))</f>
        <v/>
      </c>
      <c r="Q1139" s="39" t="str">
        <f t="shared" si="307"/>
        <v/>
      </c>
      <c r="R1139" s="39" t="str">
        <f t="shared" si="308"/>
        <v/>
      </c>
      <c r="S1139" s="107" t="str">
        <f t="shared" si="309"/>
        <v/>
      </c>
      <c r="T1139" s="39" t="str">
        <f>IF($C1139="","",IF(COUNTIF($C$2:$C1139,$C1139)=1,1,0))</f>
        <v/>
      </c>
      <c r="U1139" s="39" t="str">
        <f>IF($T1139=1,COUNTIF($T$2:$T1139,1),"")</f>
        <v/>
      </c>
      <c r="V1139" s="39" t="str">
        <f>IF($B1139="","",IF(COUNTIF($B$2:$B1139,$B1139)=1,1,0))</f>
        <v/>
      </c>
      <c r="W1139" s="39" t="str">
        <f>IF($V1139=1,COUNTIF($V$2:$V1139,1),"")</f>
        <v/>
      </c>
      <c r="X1139" s="39" t="str">
        <f>IF($A1139="","",IF(COUNTIF($A$2:$A1139,$A1139)=1,1,0))</f>
        <v/>
      </c>
      <c r="Y1139" s="39" t="str">
        <f>IF($X1139=1,COUNTIF($X$2:$X1139,1),"")</f>
        <v/>
      </c>
      <c r="Z1139" s="39">
        <f>IF(AND($E1139="timed",$N1139&gt;Settings!$C$8),1,0)</f>
        <v>0</v>
      </c>
      <c r="AA1139" s="39">
        <f t="shared" si="310"/>
        <v>0</v>
      </c>
      <c r="AB1139" s="39">
        <f t="shared" si="311"/>
        <v>0</v>
      </c>
      <c r="AC1139" s="39" t="str">
        <f t="shared" si="312"/>
        <v/>
      </c>
      <c r="AD1139" s="39" t="str">
        <f t="shared" si="313"/>
        <v/>
      </c>
      <c r="AE1139" s="39" t="str">
        <f t="shared" si="314"/>
        <v/>
      </c>
      <c r="AF1139" s="106" t="str">
        <f t="shared" si="315"/>
        <v/>
      </c>
      <c r="AG1139" s="39">
        <f t="shared" si="316"/>
        <v>0</v>
      </c>
      <c r="AH1139" s="39" t="str">
        <f t="shared" si="317"/>
        <v/>
      </c>
      <c r="AI1139" s="39">
        <f>IF(AND($E1139="timed",$N1139&gt;=Settings!$C$9),1,0)</f>
        <v>0</v>
      </c>
      <c r="AJ1139" s="39" t="str">
        <f>IF(OR($S1139="",Settings!$C$16=""),"",IF($S1139&lt;=Settings!$C$16,1,2))</f>
        <v/>
      </c>
      <c r="AK1139" s="39" t="str">
        <f>IF($C1139="","",IFERROR(IF(INDEX(Settings!$C$20:$C$59,MATCH($C1139,Settings!$B$20:$B$59,0))="",Settings!$C$10,INDEX(Settings!$C$20:$C$59,MATCH($C1139,Settings!$B$20:$B$59,0))),Settings!$C$10))</f>
        <v/>
      </c>
      <c r="AL1139" s="108">
        <f t="shared" si="318"/>
        <v>0</v>
      </c>
      <c r="AM1139" s="39" t="str">
        <f t="shared" si="319"/>
        <v/>
      </c>
      <c r="AN1139" s="39" t="str">
        <f t="shared" si="320"/>
        <v/>
      </c>
      <c r="AO1139" s="39" t="str">
        <f t="shared" si="321"/>
        <v/>
      </c>
      <c r="AP1139" s="39">
        <f t="shared" si="322"/>
        <v>0</v>
      </c>
      <c r="AQ1139" s="39">
        <f t="shared" si="323"/>
        <v>0</v>
      </c>
    </row>
    <row r="1140" spans="14:43" x14ac:dyDescent="0.25">
      <c r="N1140" s="105">
        <f t="shared" si="306"/>
        <v>0</v>
      </c>
      <c r="O1140" s="106" t="str">
        <f>IF($F1140="","",IF(ISNUMBER($F1140),$F1140+Settings!$C$7/24,IFERROR(DATEVALUE(LEFT($F1140,10))+TIMEVALUE(MID($F1140,12,8))+Settings!$C$7/24,"")))</f>
        <v/>
      </c>
      <c r="P1140" s="106" t="str">
        <f>IF($G1140="","",IF(ISNUMBER($G1140),$G1140+Settings!$C$7/24,IFERROR(DATEVALUE(LEFT($G1140,10))+TIMEVALUE(MID($G1140,12,8))+Settings!$C$7/24,"")))</f>
        <v/>
      </c>
      <c r="Q1140" s="39" t="str">
        <f t="shared" si="307"/>
        <v/>
      </c>
      <c r="R1140" s="39" t="str">
        <f t="shared" si="308"/>
        <v/>
      </c>
      <c r="S1140" s="107" t="str">
        <f t="shared" si="309"/>
        <v/>
      </c>
      <c r="T1140" s="39" t="str">
        <f>IF($C1140="","",IF(COUNTIF($C$2:$C1140,$C1140)=1,1,0))</f>
        <v/>
      </c>
      <c r="U1140" s="39" t="str">
        <f>IF($T1140=1,COUNTIF($T$2:$T1140,1),"")</f>
        <v/>
      </c>
      <c r="V1140" s="39" t="str">
        <f>IF($B1140="","",IF(COUNTIF($B$2:$B1140,$B1140)=1,1,0))</f>
        <v/>
      </c>
      <c r="W1140" s="39" t="str">
        <f>IF($V1140=1,COUNTIF($V$2:$V1140,1),"")</f>
        <v/>
      </c>
      <c r="X1140" s="39" t="str">
        <f>IF($A1140="","",IF(COUNTIF($A$2:$A1140,$A1140)=1,1,0))</f>
        <v/>
      </c>
      <c r="Y1140" s="39" t="str">
        <f>IF($X1140=1,COUNTIF($X$2:$X1140,1),"")</f>
        <v/>
      </c>
      <c r="Z1140" s="39">
        <f>IF(AND($E1140="timed",$N1140&gt;Settings!$C$8),1,0)</f>
        <v>0</v>
      </c>
      <c r="AA1140" s="39">
        <f t="shared" si="310"/>
        <v>0</v>
      </c>
      <c r="AB1140" s="39">
        <f t="shared" si="311"/>
        <v>0</v>
      </c>
      <c r="AC1140" s="39" t="str">
        <f t="shared" si="312"/>
        <v/>
      </c>
      <c r="AD1140" s="39" t="str">
        <f t="shared" si="313"/>
        <v/>
      </c>
      <c r="AE1140" s="39" t="str">
        <f t="shared" si="314"/>
        <v/>
      </c>
      <c r="AF1140" s="106" t="str">
        <f t="shared" si="315"/>
        <v/>
      </c>
      <c r="AG1140" s="39">
        <f t="shared" si="316"/>
        <v>0</v>
      </c>
      <c r="AH1140" s="39" t="str">
        <f t="shared" si="317"/>
        <v/>
      </c>
      <c r="AI1140" s="39">
        <f>IF(AND($E1140="timed",$N1140&gt;=Settings!$C$9),1,0)</f>
        <v>0</v>
      </c>
      <c r="AJ1140" s="39" t="str">
        <f>IF(OR($S1140="",Settings!$C$16=""),"",IF($S1140&lt;=Settings!$C$16,1,2))</f>
        <v/>
      </c>
      <c r="AK1140" s="39" t="str">
        <f>IF($C1140="","",IFERROR(IF(INDEX(Settings!$C$20:$C$59,MATCH($C1140,Settings!$B$20:$B$59,0))="",Settings!$C$10,INDEX(Settings!$C$20:$C$59,MATCH($C1140,Settings!$B$20:$B$59,0))),Settings!$C$10))</f>
        <v/>
      </c>
      <c r="AL1140" s="108">
        <f t="shared" si="318"/>
        <v>0</v>
      </c>
      <c r="AM1140" s="39" t="str">
        <f t="shared" si="319"/>
        <v/>
      </c>
      <c r="AN1140" s="39" t="str">
        <f t="shared" si="320"/>
        <v/>
      </c>
      <c r="AO1140" s="39" t="str">
        <f t="shared" si="321"/>
        <v/>
      </c>
      <c r="AP1140" s="39">
        <f t="shared" si="322"/>
        <v>0</v>
      </c>
      <c r="AQ1140" s="39">
        <f t="shared" si="323"/>
        <v>0</v>
      </c>
    </row>
    <row r="1141" spans="14:43" x14ac:dyDescent="0.25">
      <c r="N1141" s="105">
        <f t="shared" si="306"/>
        <v>0</v>
      </c>
      <c r="O1141" s="106" t="str">
        <f>IF($F1141="","",IF(ISNUMBER($F1141),$F1141+Settings!$C$7/24,IFERROR(DATEVALUE(LEFT($F1141,10))+TIMEVALUE(MID($F1141,12,8))+Settings!$C$7/24,"")))</f>
        <v/>
      </c>
      <c r="P1141" s="106" t="str">
        <f>IF($G1141="","",IF(ISNUMBER($G1141),$G1141+Settings!$C$7/24,IFERROR(DATEVALUE(LEFT($G1141,10))+TIMEVALUE(MID($G1141,12,8))+Settings!$C$7/24,"")))</f>
        <v/>
      </c>
      <c r="Q1141" s="39" t="str">
        <f t="shared" si="307"/>
        <v/>
      </c>
      <c r="R1141" s="39" t="str">
        <f t="shared" si="308"/>
        <v/>
      </c>
      <c r="S1141" s="107" t="str">
        <f t="shared" si="309"/>
        <v/>
      </c>
      <c r="T1141" s="39" t="str">
        <f>IF($C1141="","",IF(COUNTIF($C$2:$C1141,$C1141)=1,1,0))</f>
        <v/>
      </c>
      <c r="U1141" s="39" t="str">
        <f>IF($T1141=1,COUNTIF($T$2:$T1141,1),"")</f>
        <v/>
      </c>
      <c r="V1141" s="39" t="str">
        <f>IF($B1141="","",IF(COUNTIF($B$2:$B1141,$B1141)=1,1,0))</f>
        <v/>
      </c>
      <c r="W1141" s="39" t="str">
        <f>IF($V1141=1,COUNTIF($V$2:$V1141,1),"")</f>
        <v/>
      </c>
      <c r="X1141" s="39" t="str">
        <f>IF($A1141="","",IF(COUNTIF($A$2:$A1141,$A1141)=1,1,0))</f>
        <v/>
      </c>
      <c r="Y1141" s="39" t="str">
        <f>IF($X1141=1,COUNTIF($X$2:$X1141,1),"")</f>
        <v/>
      </c>
      <c r="Z1141" s="39">
        <f>IF(AND($E1141="timed",$N1141&gt;Settings!$C$8),1,0)</f>
        <v>0</v>
      </c>
      <c r="AA1141" s="39">
        <f t="shared" si="310"/>
        <v>0</v>
      </c>
      <c r="AB1141" s="39">
        <f t="shared" si="311"/>
        <v>0</v>
      </c>
      <c r="AC1141" s="39" t="str">
        <f t="shared" si="312"/>
        <v/>
      </c>
      <c r="AD1141" s="39" t="str">
        <f t="shared" si="313"/>
        <v/>
      </c>
      <c r="AE1141" s="39" t="str">
        <f t="shared" si="314"/>
        <v/>
      </c>
      <c r="AF1141" s="106" t="str">
        <f t="shared" si="315"/>
        <v/>
      </c>
      <c r="AG1141" s="39">
        <f t="shared" si="316"/>
        <v>0</v>
      </c>
      <c r="AH1141" s="39" t="str">
        <f t="shared" si="317"/>
        <v/>
      </c>
      <c r="AI1141" s="39">
        <f>IF(AND($E1141="timed",$N1141&gt;=Settings!$C$9),1,0)</f>
        <v>0</v>
      </c>
      <c r="AJ1141" s="39" t="str">
        <f>IF(OR($S1141="",Settings!$C$16=""),"",IF($S1141&lt;=Settings!$C$16,1,2))</f>
        <v/>
      </c>
      <c r="AK1141" s="39" t="str">
        <f>IF($C1141="","",IFERROR(IF(INDEX(Settings!$C$20:$C$59,MATCH($C1141,Settings!$B$20:$B$59,0))="",Settings!$C$10,INDEX(Settings!$C$20:$C$59,MATCH($C1141,Settings!$B$20:$B$59,0))),Settings!$C$10))</f>
        <v/>
      </c>
      <c r="AL1141" s="108">
        <f t="shared" si="318"/>
        <v>0</v>
      </c>
      <c r="AM1141" s="39" t="str">
        <f t="shared" si="319"/>
        <v/>
      </c>
      <c r="AN1141" s="39" t="str">
        <f t="shared" si="320"/>
        <v/>
      </c>
      <c r="AO1141" s="39" t="str">
        <f t="shared" si="321"/>
        <v/>
      </c>
      <c r="AP1141" s="39">
        <f t="shared" si="322"/>
        <v>0</v>
      </c>
      <c r="AQ1141" s="39">
        <f t="shared" si="323"/>
        <v>0</v>
      </c>
    </row>
    <row r="1142" spans="14:43" x14ac:dyDescent="0.25">
      <c r="N1142" s="105">
        <f t="shared" si="306"/>
        <v>0</v>
      </c>
      <c r="O1142" s="106" t="str">
        <f>IF($F1142="","",IF(ISNUMBER($F1142),$F1142+Settings!$C$7/24,IFERROR(DATEVALUE(LEFT($F1142,10))+TIMEVALUE(MID($F1142,12,8))+Settings!$C$7/24,"")))</f>
        <v/>
      </c>
      <c r="P1142" s="106" t="str">
        <f>IF($G1142="","",IF(ISNUMBER($G1142),$G1142+Settings!$C$7/24,IFERROR(DATEVALUE(LEFT($G1142,10))+TIMEVALUE(MID($G1142,12,8))+Settings!$C$7/24,"")))</f>
        <v/>
      </c>
      <c r="Q1142" s="39" t="str">
        <f t="shared" si="307"/>
        <v/>
      </c>
      <c r="R1142" s="39" t="str">
        <f t="shared" si="308"/>
        <v/>
      </c>
      <c r="S1142" s="107" t="str">
        <f t="shared" si="309"/>
        <v/>
      </c>
      <c r="T1142" s="39" t="str">
        <f>IF($C1142="","",IF(COUNTIF($C$2:$C1142,$C1142)=1,1,0))</f>
        <v/>
      </c>
      <c r="U1142" s="39" t="str">
        <f>IF($T1142=1,COUNTIF($T$2:$T1142,1),"")</f>
        <v/>
      </c>
      <c r="V1142" s="39" t="str">
        <f>IF($B1142="","",IF(COUNTIF($B$2:$B1142,$B1142)=1,1,0))</f>
        <v/>
      </c>
      <c r="W1142" s="39" t="str">
        <f>IF($V1142=1,COUNTIF($V$2:$V1142,1),"")</f>
        <v/>
      </c>
      <c r="X1142" s="39" t="str">
        <f>IF($A1142="","",IF(COUNTIF($A$2:$A1142,$A1142)=1,1,0))</f>
        <v/>
      </c>
      <c r="Y1142" s="39" t="str">
        <f>IF($X1142=1,COUNTIF($X$2:$X1142,1),"")</f>
        <v/>
      </c>
      <c r="Z1142" s="39">
        <f>IF(AND($E1142="timed",$N1142&gt;Settings!$C$8),1,0)</f>
        <v>0</v>
      </c>
      <c r="AA1142" s="39">
        <f t="shared" si="310"/>
        <v>0</v>
      </c>
      <c r="AB1142" s="39">
        <f t="shared" si="311"/>
        <v>0</v>
      </c>
      <c r="AC1142" s="39" t="str">
        <f t="shared" si="312"/>
        <v/>
      </c>
      <c r="AD1142" s="39" t="str">
        <f t="shared" si="313"/>
        <v/>
      </c>
      <c r="AE1142" s="39" t="str">
        <f t="shared" si="314"/>
        <v/>
      </c>
      <c r="AF1142" s="106" t="str">
        <f t="shared" si="315"/>
        <v/>
      </c>
      <c r="AG1142" s="39">
        <f t="shared" si="316"/>
        <v>0</v>
      </c>
      <c r="AH1142" s="39" t="str">
        <f t="shared" si="317"/>
        <v/>
      </c>
      <c r="AI1142" s="39">
        <f>IF(AND($E1142="timed",$N1142&gt;=Settings!$C$9),1,0)</f>
        <v>0</v>
      </c>
      <c r="AJ1142" s="39" t="str">
        <f>IF(OR($S1142="",Settings!$C$16=""),"",IF($S1142&lt;=Settings!$C$16,1,2))</f>
        <v/>
      </c>
      <c r="AK1142" s="39" t="str">
        <f>IF($C1142="","",IFERROR(IF(INDEX(Settings!$C$20:$C$59,MATCH($C1142,Settings!$B$20:$B$59,0))="",Settings!$C$10,INDEX(Settings!$C$20:$C$59,MATCH($C1142,Settings!$B$20:$B$59,0))),Settings!$C$10))</f>
        <v/>
      </c>
      <c r="AL1142" s="108">
        <f t="shared" si="318"/>
        <v>0</v>
      </c>
      <c r="AM1142" s="39" t="str">
        <f t="shared" si="319"/>
        <v/>
      </c>
      <c r="AN1142" s="39" t="str">
        <f t="shared" si="320"/>
        <v/>
      </c>
      <c r="AO1142" s="39" t="str">
        <f t="shared" si="321"/>
        <v/>
      </c>
      <c r="AP1142" s="39">
        <f t="shared" si="322"/>
        <v>0</v>
      </c>
      <c r="AQ1142" s="39">
        <f t="shared" si="323"/>
        <v>0</v>
      </c>
    </row>
    <row r="1143" spans="14:43" x14ac:dyDescent="0.25">
      <c r="N1143" s="105">
        <f t="shared" si="306"/>
        <v>0</v>
      </c>
      <c r="O1143" s="106" t="str">
        <f>IF($F1143="","",IF(ISNUMBER($F1143),$F1143+Settings!$C$7/24,IFERROR(DATEVALUE(LEFT($F1143,10))+TIMEVALUE(MID($F1143,12,8))+Settings!$C$7/24,"")))</f>
        <v/>
      </c>
      <c r="P1143" s="106" t="str">
        <f>IF($G1143="","",IF(ISNUMBER($G1143),$G1143+Settings!$C$7/24,IFERROR(DATEVALUE(LEFT($G1143,10))+TIMEVALUE(MID($G1143,12,8))+Settings!$C$7/24,"")))</f>
        <v/>
      </c>
      <c r="Q1143" s="39" t="str">
        <f t="shared" si="307"/>
        <v/>
      </c>
      <c r="R1143" s="39" t="str">
        <f t="shared" si="308"/>
        <v/>
      </c>
      <c r="S1143" s="107" t="str">
        <f t="shared" si="309"/>
        <v/>
      </c>
      <c r="T1143" s="39" t="str">
        <f>IF($C1143="","",IF(COUNTIF($C$2:$C1143,$C1143)=1,1,0))</f>
        <v/>
      </c>
      <c r="U1143" s="39" t="str">
        <f>IF($T1143=1,COUNTIF($T$2:$T1143,1),"")</f>
        <v/>
      </c>
      <c r="V1143" s="39" t="str">
        <f>IF($B1143="","",IF(COUNTIF($B$2:$B1143,$B1143)=1,1,0))</f>
        <v/>
      </c>
      <c r="W1143" s="39" t="str">
        <f>IF($V1143=1,COUNTIF($V$2:$V1143,1),"")</f>
        <v/>
      </c>
      <c r="X1143" s="39" t="str">
        <f>IF($A1143="","",IF(COUNTIF($A$2:$A1143,$A1143)=1,1,0))</f>
        <v/>
      </c>
      <c r="Y1143" s="39" t="str">
        <f>IF($X1143=1,COUNTIF($X$2:$X1143,1),"")</f>
        <v/>
      </c>
      <c r="Z1143" s="39">
        <f>IF(AND($E1143="timed",$N1143&gt;Settings!$C$8),1,0)</f>
        <v>0</v>
      </c>
      <c r="AA1143" s="39">
        <f t="shared" si="310"/>
        <v>0</v>
      </c>
      <c r="AB1143" s="39">
        <f t="shared" si="311"/>
        <v>0</v>
      </c>
      <c r="AC1143" s="39" t="str">
        <f t="shared" si="312"/>
        <v/>
      </c>
      <c r="AD1143" s="39" t="str">
        <f t="shared" si="313"/>
        <v/>
      </c>
      <c r="AE1143" s="39" t="str">
        <f t="shared" si="314"/>
        <v/>
      </c>
      <c r="AF1143" s="106" t="str">
        <f t="shared" si="315"/>
        <v/>
      </c>
      <c r="AG1143" s="39">
        <f t="shared" si="316"/>
        <v>0</v>
      </c>
      <c r="AH1143" s="39" t="str">
        <f t="shared" si="317"/>
        <v/>
      </c>
      <c r="AI1143" s="39">
        <f>IF(AND($E1143="timed",$N1143&gt;=Settings!$C$9),1,0)</f>
        <v>0</v>
      </c>
      <c r="AJ1143" s="39" t="str">
        <f>IF(OR($S1143="",Settings!$C$16=""),"",IF($S1143&lt;=Settings!$C$16,1,2))</f>
        <v/>
      </c>
      <c r="AK1143" s="39" t="str">
        <f>IF($C1143="","",IFERROR(IF(INDEX(Settings!$C$20:$C$59,MATCH($C1143,Settings!$B$20:$B$59,0))="",Settings!$C$10,INDEX(Settings!$C$20:$C$59,MATCH($C1143,Settings!$B$20:$B$59,0))),Settings!$C$10))</f>
        <v/>
      </c>
      <c r="AL1143" s="108">
        <f t="shared" si="318"/>
        <v>0</v>
      </c>
      <c r="AM1143" s="39" t="str">
        <f t="shared" si="319"/>
        <v/>
      </c>
      <c r="AN1143" s="39" t="str">
        <f t="shared" si="320"/>
        <v/>
      </c>
      <c r="AO1143" s="39" t="str">
        <f t="shared" si="321"/>
        <v/>
      </c>
      <c r="AP1143" s="39">
        <f t="shared" si="322"/>
        <v>0</v>
      </c>
      <c r="AQ1143" s="39">
        <f t="shared" si="323"/>
        <v>0</v>
      </c>
    </row>
    <row r="1144" spans="14:43" x14ac:dyDescent="0.25">
      <c r="N1144" s="105">
        <f t="shared" si="306"/>
        <v>0</v>
      </c>
      <c r="O1144" s="106" t="str">
        <f>IF($F1144="","",IF(ISNUMBER($F1144),$F1144+Settings!$C$7/24,IFERROR(DATEVALUE(LEFT($F1144,10))+TIMEVALUE(MID($F1144,12,8))+Settings!$C$7/24,"")))</f>
        <v/>
      </c>
      <c r="P1144" s="106" t="str">
        <f>IF($G1144="","",IF(ISNUMBER($G1144),$G1144+Settings!$C$7/24,IFERROR(DATEVALUE(LEFT($G1144,10))+TIMEVALUE(MID($G1144,12,8))+Settings!$C$7/24,"")))</f>
        <v/>
      </c>
      <c r="Q1144" s="39" t="str">
        <f t="shared" si="307"/>
        <v/>
      </c>
      <c r="R1144" s="39" t="str">
        <f t="shared" si="308"/>
        <v/>
      </c>
      <c r="S1144" s="107" t="str">
        <f t="shared" si="309"/>
        <v/>
      </c>
      <c r="T1144" s="39" t="str">
        <f>IF($C1144="","",IF(COUNTIF($C$2:$C1144,$C1144)=1,1,0))</f>
        <v/>
      </c>
      <c r="U1144" s="39" t="str">
        <f>IF($T1144=1,COUNTIF($T$2:$T1144,1),"")</f>
        <v/>
      </c>
      <c r="V1144" s="39" t="str">
        <f>IF($B1144="","",IF(COUNTIF($B$2:$B1144,$B1144)=1,1,0))</f>
        <v/>
      </c>
      <c r="W1144" s="39" t="str">
        <f>IF($V1144=1,COUNTIF($V$2:$V1144,1),"")</f>
        <v/>
      </c>
      <c r="X1144" s="39" t="str">
        <f>IF($A1144="","",IF(COUNTIF($A$2:$A1144,$A1144)=1,1,0))</f>
        <v/>
      </c>
      <c r="Y1144" s="39" t="str">
        <f>IF($X1144=1,COUNTIF($X$2:$X1144,1),"")</f>
        <v/>
      </c>
      <c r="Z1144" s="39">
        <f>IF(AND($E1144="timed",$N1144&gt;Settings!$C$8),1,0)</f>
        <v>0</v>
      </c>
      <c r="AA1144" s="39">
        <f t="shared" si="310"/>
        <v>0</v>
      </c>
      <c r="AB1144" s="39">
        <f t="shared" si="311"/>
        <v>0</v>
      </c>
      <c r="AC1144" s="39" t="str">
        <f t="shared" si="312"/>
        <v/>
      </c>
      <c r="AD1144" s="39" t="str">
        <f t="shared" si="313"/>
        <v/>
      </c>
      <c r="AE1144" s="39" t="str">
        <f t="shared" si="314"/>
        <v/>
      </c>
      <c r="AF1144" s="106" t="str">
        <f t="shared" si="315"/>
        <v/>
      </c>
      <c r="AG1144" s="39">
        <f t="shared" si="316"/>
        <v>0</v>
      </c>
      <c r="AH1144" s="39" t="str">
        <f t="shared" si="317"/>
        <v/>
      </c>
      <c r="AI1144" s="39">
        <f>IF(AND($E1144="timed",$N1144&gt;=Settings!$C$9),1,0)</f>
        <v>0</v>
      </c>
      <c r="AJ1144" s="39" t="str">
        <f>IF(OR($S1144="",Settings!$C$16=""),"",IF($S1144&lt;=Settings!$C$16,1,2))</f>
        <v/>
      </c>
      <c r="AK1144" s="39" t="str">
        <f>IF($C1144="","",IFERROR(IF(INDEX(Settings!$C$20:$C$59,MATCH($C1144,Settings!$B$20:$B$59,0))="",Settings!$C$10,INDEX(Settings!$C$20:$C$59,MATCH($C1144,Settings!$B$20:$B$59,0))),Settings!$C$10))</f>
        <v/>
      </c>
      <c r="AL1144" s="108">
        <f t="shared" si="318"/>
        <v>0</v>
      </c>
      <c r="AM1144" s="39" t="str">
        <f t="shared" si="319"/>
        <v/>
      </c>
      <c r="AN1144" s="39" t="str">
        <f t="shared" si="320"/>
        <v/>
      </c>
      <c r="AO1144" s="39" t="str">
        <f t="shared" si="321"/>
        <v/>
      </c>
      <c r="AP1144" s="39">
        <f t="shared" si="322"/>
        <v>0</v>
      </c>
      <c r="AQ1144" s="39">
        <f t="shared" si="323"/>
        <v>0</v>
      </c>
    </row>
    <row r="1145" spans="14:43" x14ac:dyDescent="0.25">
      <c r="N1145" s="105">
        <f t="shared" si="306"/>
        <v>0</v>
      </c>
      <c r="O1145" s="106" t="str">
        <f>IF($F1145="","",IF(ISNUMBER($F1145),$F1145+Settings!$C$7/24,IFERROR(DATEVALUE(LEFT($F1145,10))+TIMEVALUE(MID($F1145,12,8))+Settings!$C$7/24,"")))</f>
        <v/>
      </c>
      <c r="P1145" s="106" t="str">
        <f>IF($G1145="","",IF(ISNUMBER($G1145),$G1145+Settings!$C$7/24,IFERROR(DATEVALUE(LEFT($G1145,10))+TIMEVALUE(MID($G1145,12,8))+Settings!$C$7/24,"")))</f>
        <v/>
      </c>
      <c r="Q1145" s="39" t="str">
        <f t="shared" si="307"/>
        <v/>
      </c>
      <c r="R1145" s="39" t="str">
        <f t="shared" si="308"/>
        <v/>
      </c>
      <c r="S1145" s="107" t="str">
        <f t="shared" si="309"/>
        <v/>
      </c>
      <c r="T1145" s="39" t="str">
        <f>IF($C1145="","",IF(COUNTIF($C$2:$C1145,$C1145)=1,1,0))</f>
        <v/>
      </c>
      <c r="U1145" s="39" t="str">
        <f>IF($T1145=1,COUNTIF($T$2:$T1145,1),"")</f>
        <v/>
      </c>
      <c r="V1145" s="39" t="str">
        <f>IF($B1145="","",IF(COUNTIF($B$2:$B1145,$B1145)=1,1,0))</f>
        <v/>
      </c>
      <c r="W1145" s="39" t="str">
        <f>IF($V1145=1,COUNTIF($V$2:$V1145,1),"")</f>
        <v/>
      </c>
      <c r="X1145" s="39" t="str">
        <f>IF($A1145="","",IF(COUNTIF($A$2:$A1145,$A1145)=1,1,0))</f>
        <v/>
      </c>
      <c r="Y1145" s="39" t="str">
        <f>IF($X1145=1,COUNTIF($X$2:$X1145,1),"")</f>
        <v/>
      </c>
      <c r="Z1145" s="39">
        <f>IF(AND($E1145="timed",$N1145&gt;Settings!$C$8),1,0)</f>
        <v>0</v>
      </c>
      <c r="AA1145" s="39">
        <f t="shared" si="310"/>
        <v>0</v>
      </c>
      <c r="AB1145" s="39">
        <f t="shared" si="311"/>
        <v>0</v>
      </c>
      <c r="AC1145" s="39" t="str">
        <f t="shared" si="312"/>
        <v/>
      </c>
      <c r="AD1145" s="39" t="str">
        <f t="shared" si="313"/>
        <v/>
      </c>
      <c r="AE1145" s="39" t="str">
        <f t="shared" si="314"/>
        <v/>
      </c>
      <c r="AF1145" s="106" t="str">
        <f t="shared" si="315"/>
        <v/>
      </c>
      <c r="AG1145" s="39">
        <f t="shared" si="316"/>
        <v>0</v>
      </c>
      <c r="AH1145" s="39" t="str">
        <f t="shared" si="317"/>
        <v/>
      </c>
      <c r="AI1145" s="39">
        <f>IF(AND($E1145="timed",$N1145&gt;=Settings!$C$9),1,0)</f>
        <v>0</v>
      </c>
      <c r="AJ1145" s="39" t="str">
        <f>IF(OR($S1145="",Settings!$C$16=""),"",IF($S1145&lt;=Settings!$C$16,1,2))</f>
        <v/>
      </c>
      <c r="AK1145" s="39" t="str">
        <f>IF($C1145="","",IFERROR(IF(INDEX(Settings!$C$20:$C$59,MATCH($C1145,Settings!$B$20:$B$59,0))="",Settings!$C$10,INDEX(Settings!$C$20:$C$59,MATCH($C1145,Settings!$B$20:$B$59,0))),Settings!$C$10))</f>
        <v/>
      </c>
      <c r="AL1145" s="108">
        <f t="shared" si="318"/>
        <v>0</v>
      </c>
      <c r="AM1145" s="39" t="str">
        <f t="shared" si="319"/>
        <v/>
      </c>
      <c r="AN1145" s="39" t="str">
        <f t="shared" si="320"/>
        <v/>
      </c>
      <c r="AO1145" s="39" t="str">
        <f t="shared" si="321"/>
        <v/>
      </c>
      <c r="AP1145" s="39">
        <f t="shared" si="322"/>
        <v>0</v>
      </c>
      <c r="AQ1145" s="39">
        <f t="shared" si="323"/>
        <v>0</v>
      </c>
    </row>
    <row r="1146" spans="14:43" x14ac:dyDescent="0.25">
      <c r="N1146" s="105">
        <f t="shared" si="306"/>
        <v>0</v>
      </c>
      <c r="O1146" s="106" t="str">
        <f>IF($F1146="","",IF(ISNUMBER($F1146),$F1146+Settings!$C$7/24,IFERROR(DATEVALUE(LEFT($F1146,10))+TIMEVALUE(MID($F1146,12,8))+Settings!$C$7/24,"")))</f>
        <v/>
      </c>
      <c r="P1146" s="106" t="str">
        <f>IF($G1146="","",IF(ISNUMBER($G1146),$G1146+Settings!$C$7/24,IFERROR(DATEVALUE(LEFT($G1146,10))+TIMEVALUE(MID($G1146,12,8))+Settings!$C$7/24,"")))</f>
        <v/>
      </c>
      <c r="Q1146" s="39" t="str">
        <f t="shared" si="307"/>
        <v/>
      </c>
      <c r="R1146" s="39" t="str">
        <f t="shared" si="308"/>
        <v/>
      </c>
      <c r="S1146" s="107" t="str">
        <f t="shared" si="309"/>
        <v/>
      </c>
      <c r="T1146" s="39" t="str">
        <f>IF($C1146="","",IF(COUNTIF($C$2:$C1146,$C1146)=1,1,0))</f>
        <v/>
      </c>
      <c r="U1146" s="39" t="str">
        <f>IF($T1146=1,COUNTIF($T$2:$T1146,1),"")</f>
        <v/>
      </c>
      <c r="V1146" s="39" t="str">
        <f>IF($B1146="","",IF(COUNTIF($B$2:$B1146,$B1146)=1,1,0))</f>
        <v/>
      </c>
      <c r="W1146" s="39" t="str">
        <f>IF($V1146=1,COUNTIF($V$2:$V1146,1),"")</f>
        <v/>
      </c>
      <c r="X1146" s="39" t="str">
        <f>IF($A1146="","",IF(COUNTIF($A$2:$A1146,$A1146)=1,1,0))</f>
        <v/>
      </c>
      <c r="Y1146" s="39" t="str">
        <f>IF($X1146=1,COUNTIF($X$2:$X1146,1),"")</f>
        <v/>
      </c>
      <c r="Z1146" s="39">
        <f>IF(AND($E1146="timed",$N1146&gt;Settings!$C$8),1,0)</f>
        <v>0</v>
      </c>
      <c r="AA1146" s="39">
        <f t="shared" si="310"/>
        <v>0</v>
      </c>
      <c r="AB1146" s="39">
        <f t="shared" si="311"/>
        <v>0</v>
      </c>
      <c r="AC1146" s="39" t="str">
        <f t="shared" si="312"/>
        <v/>
      </c>
      <c r="AD1146" s="39" t="str">
        <f t="shared" si="313"/>
        <v/>
      </c>
      <c r="AE1146" s="39" t="str">
        <f t="shared" si="314"/>
        <v/>
      </c>
      <c r="AF1146" s="106" t="str">
        <f t="shared" si="315"/>
        <v/>
      </c>
      <c r="AG1146" s="39">
        <f t="shared" si="316"/>
        <v>0</v>
      </c>
      <c r="AH1146" s="39" t="str">
        <f t="shared" si="317"/>
        <v/>
      </c>
      <c r="AI1146" s="39">
        <f>IF(AND($E1146="timed",$N1146&gt;=Settings!$C$9),1,0)</f>
        <v>0</v>
      </c>
      <c r="AJ1146" s="39" t="str">
        <f>IF(OR($S1146="",Settings!$C$16=""),"",IF($S1146&lt;=Settings!$C$16,1,2))</f>
        <v/>
      </c>
      <c r="AK1146" s="39" t="str">
        <f>IF($C1146="","",IFERROR(IF(INDEX(Settings!$C$20:$C$59,MATCH($C1146,Settings!$B$20:$B$59,0))="",Settings!$C$10,INDEX(Settings!$C$20:$C$59,MATCH($C1146,Settings!$B$20:$B$59,0))),Settings!$C$10))</f>
        <v/>
      </c>
      <c r="AL1146" s="108">
        <f t="shared" si="318"/>
        <v>0</v>
      </c>
      <c r="AM1146" s="39" t="str">
        <f t="shared" si="319"/>
        <v/>
      </c>
      <c r="AN1146" s="39" t="str">
        <f t="shared" si="320"/>
        <v/>
      </c>
      <c r="AO1146" s="39" t="str">
        <f t="shared" si="321"/>
        <v/>
      </c>
      <c r="AP1146" s="39">
        <f t="shared" si="322"/>
        <v>0</v>
      </c>
      <c r="AQ1146" s="39">
        <f t="shared" si="323"/>
        <v>0</v>
      </c>
    </row>
    <row r="1147" spans="14:43" x14ac:dyDescent="0.25">
      <c r="N1147" s="105">
        <f t="shared" si="306"/>
        <v>0</v>
      </c>
      <c r="O1147" s="106" t="str">
        <f>IF($F1147="","",IF(ISNUMBER($F1147),$F1147+Settings!$C$7/24,IFERROR(DATEVALUE(LEFT($F1147,10))+TIMEVALUE(MID($F1147,12,8))+Settings!$C$7/24,"")))</f>
        <v/>
      </c>
      <c r="P1147" s="106" t="str">
        <f>IF($G1147="","",IF(ISNUMBER($G1147),$G1147+Settings!$C$7/24,IFERROR(DATEVALUE(LEFT($G1147,10))+TIMEVALUE(MID($G1147,12,8))+Settings!$C$7/24,"")))</f>
        <v/>
      </c>
      <c r="Q1147" s="39" t="str">
        <f t="shared" si="307"/>
        <v/>
      </c>
      <c r="R1147" s="39" t="str">
        <f t="shared" si="308"/>
        <v/>
      </c>
      <c r="S1147" s="107" t="str">
        <f t="shared" si="309"/>
        <v/>
      </c>
      <c r="T1147" s="39" t="str">
        <f>IF($C1147="","",IF(COUNTIF($C$2:$C1147,$C1147)=1,1,0))</f>
        <v/>
      </c>
      <c r="U1147" s="39" t="str">
        <f>IF($T1147=1,COUNTIF($T$2:$T1147,1),"")</f>
        <v/>
      </c>
      <c r="V1147" s="39" t="str">
        <f>IF($B1147="","",IF(COUNTIF($B$2:$B1147,$B1147)=1,1,0))</f>
        <v/>
      </c>
      <c r="W1147" s="39" t="str">
        <f>IF($V1147=1,COUNTIF($V$2:$V1147,1),"")</f>
        <v/>
      </c>
      <c r="X1147" s="39" t="str">
        <f>IF($A1147="","",IF(COUNTIF($A$2:$A1147,$A1147)=1,1,0))</f>
        <v/>
      </c>
      <c r="Y1147" s="39" t="str">
        <f>IF($X1147=1,COUNTIF($X$2:$X1147,1),"")</f>
        <v/>
      </c>
      <c r="Z1147" s="39">
        <f>IF(AND($E1147="timed",$N1147&gt;Settings!$C$8),1,0)</f>
        <v>0</v>
      </c>
      <c r="AA1147" s="39">
        <f t="shared" si="310"/>
        <v>0</v>
      </c>
      <c r="AB1147" s="39">
        <f t="shared" si="311"/>
        <v>0</v>
      </c>
      <c r="AC1147" s="39" t="str">
        <f t="shared" si="312"/>
        <v/>
      </c>
      <c r="AD1147" s="39" t="str">
        <f t="shared" si="313"/>
        <v/>
      </c>
      <c r="AE1147" s="39" t="str">
        <f t="shared" si="314"/>
        <v/>
      </c>
      <c r="AF1147" s="106" t="str">
        <f t="shared" si="315"/>
        <v/>
      </c>
      <c r="AG1147" s="39">
        <f t="shared" si="316"/>
        <v>0</v>
      </c>
      <c r="AH1147" s="39" t="str">
        <f t="shared" si="317"/>
        <v/>
      </c>
      <c r="AI1147" s="39">
        <f>IF(AND($E1147="timed",$N1147&gt;=Settings!$C$9),1,0)</f>
        <v>0</v>
      </c>
      <c r="AJ1147" s="39" t="str">
        <f>IF(OR($S1147="",Settings!$C$16=""),"",IF($S1147&lt;=Settings!$C$16,1,2))</f>
        <v/>
      </c>
      <c r="AK1147" s="39" t="str">
        <f>IF($C1147="","",IFERROR(IF(INDEX(Settings!$C$20:$C$59,MATCH($C1147,Settings!$B$20:$B$59,0))="",Settings!$C$10,INDEX(Settings!$C$20:$C$59,MATCH($C1147,Settings!$B$20:$B$59,0))),Settings!$C$10))</f>
        <v/>
      </c>
      <c r="AL1147" s="108">
        <f t="shared" si="318"/>
        <v>0</v>
      </c>
      <c r="AM1147" s="39" t="str">
        <f t="shared" si="319"/>
        <v/>
      </c>
      <c r="AN1147" s="39" t="str">
        <f t="shared" si="320"/>
        <v/>
      </c>
      <c r="AO1147" s="39" t="str">
        <f t="shared" si="321"/>
        <v/>
      </c>
      <c r="AP1147" s="39">
        <f t="shared" si="322"/>
        <v>0</v>
      </c>
      <c r="AQ1147" s="39">
        <f t="shared" si="323"/>
        <v>0</v>
      </c>
    </row>
    <row r="1148" spans="14:43" x14ac:dyDescent="0.25">
      <c r="N1148" s="105">
        <f t="shared" si="306"/>
        <v>0</v>
      </c>
      <c r="O1148" s="106" t="str">
        <f>IF($F1148="","",IF(ISNUMBER($F1148),$F1148+Settings!$C$7/24,IFERROR(DATEVALUE(LEFT($F1148,10))+TIMEVALUE(MID($F1148,12,8))+Settings!$C$7/24,"")))</f>
        <v/>
      </c>
      <c r="P1148" s="106" t="str">
        <f>IF($G1148="","",IF(ISNUMBER($G1148),$G1148+Settings!$C$7/24,IFERROR(DATEVALUE(LEFT($G1148,10))+TIMEVALUE(MID($G1148,12,8))+Settings!$C$7/24,"")))</f>
        <v/>
      </c>
      <c r="Q1148" s="39" t="str">
        <f t="shared" si="307"/>
        <v/>
      </c>
      <c r="R1148" s="39" t="str">
        <f t="shared" si="308"/>
        <v/>
      </c>
      <c r="S1148" s="107" t="str">
        <f t="shared" si="309"/>
        <v/>
      </c>
      <c r="T1148" s="39" t="str">
        <f>IF($C1148="","",IF(COUNTIF($C$2:$C1148,$C1148)=1,1,0))</f>
        <v/>
      </c>
      <c r="U1148" s="39" t="str">
        <f>IF($T1148=1,COUNTIF($T$2:$T1148,1),"")</f>
        <v/>
      </c>
      <c r="V1148" s="39" t="str">
        <f>IF($B1148="","",IF(COUNTIF($B$2:$B1148,$B1148)=1,1,0))</f>
        <v/>
      </c>
      <c r="W1148" s="39" t="str">
        <f>IF($V1148=1,COUNTIF($V$2:$V1148,1),"")</f>
        <v/>
      </c>
      <c r="X1148" s="39" t="str">
        <f>IF($A1148="","",IF(COUNTIF($A$2:$A1148,$A1148)=1,1,0))</f>
        <v/>
      </c>
      <c r="Y1148" s="39" t="str">
        <f>IF($X1148=1,COUNTIF($X$2:$X1148,1),"")</f>
        <v/>
      </c>
      <c r="Z1148" s="39">
        <f>IF(AND($E1148="timed",$N1148&gt;Settings!$C$8),1,0)</f>
        <v>0</v>
      </c>
      <c r="AA1148" s="39">
        <f t="shared" si="310"/>
        <v>0</v>
      </c>
      <c r="AB1148" s="39">
        <f t="shared" si="311"/>
        <v>0</v>
      </c>
      <c r="AC1148" s="39" t="str">
        <f t="shared" si="312"/>
        <v/>
      </c>
      <c r="AD1148" s="39" t="str">
        <f t="shared" si="313"/>
        <v/>
      </c>
      <c r="AE1148" s="39" t="str">
        <f t="shared" si="314"/>
        <v/>
      </c>
      <c r="AF1148" s="106" t="str">
        <f t="shared" si="315"/>
        <v/>
      </c>
      <c r="AG1148" s="39">
        <f t="shared" si="316"/>
        <v>0</v>
      </c>
      <c r="AH1148" s="39" t="str">
        <f t="shared" si="317"/>
        <v/>
      </c>
      <c r="AI1148" s="39">
        <f>IF(AND($E1148="timed",$N1148&gt;=Settings!$C$9),1,0)</f>
        <v>0</v>
      </c>
      <c r="AJ1148" s="39" t="str">
        <f>IF(OR($S1148="",Settings!$C$16=""),"",IF($S1148&lt;=Settings!$C$16,1,2))</f>
        <v/>
      </c>
      <c r="AK1148" s="39" t="str">
        <f>IF($C1148="","",IFERROR(IF(INDEX(Settings!$C$20:$C$59,MATCH($C1148,Settings!$B$20:$B$59,0))="",Settings!$C$10,INDEX(Settings!$C$20:$C$59,MATCH($C1148,Settings!$B$20:$B$59,0))),Settings!$C$10))</f>
        <v/>
      </c>
      <c r="AL1148" s="108">
        <f t="shared" si="318"/>
        <v>0</v>
      </c>
      <c r="AM1148" s="39" t="str">
        <f t="shared" si="319"/>
        <v/>
      </c>
      <c r="AN1148" s="39" t="str">
        <f t="shared" si="320"/>
        <v/>
      </c>
      <c r="AO1148" s="39" t="str">
        <f t="shared" si="321"/>
        <v/>
      </c>
      <c r="AP1148" s="39">
        <f t="shared" si="322"/>
        <v>0</v>
      </c>
      <c r="AQ1148" s="39">
        <f t="shared" si="323"/>
        <v>0</v>
      </c>
    </row>
    <row r="1149" spans="14:43" x14ac:dyDescent="0.25">
      <c r="N1149" s="105">
        <f t="shared" si="306"/>
        <v>0</v>
      </c>
      <c r="O1149" s="106" t="str">
        <f>IF($F1149="","",IF(ISNUMBER($F1149),$F1149+Settings!$C$7/24,IFERROR(DATEVALUE(LEFT($F1149,10))+TIMEVALUE(MID($F1149,12,8))+Settings!$C$7/24,"")))</f>
        <v/>
      </c>
      <c r="P1149" s="106" t="str">
        <f>IF($G1149="","",IF(ISNUMBER($G1149),$G1149+Settings!$C$7/24,IFERROR(DATEVALUE(LEFT($G1149,10))+TIMEVALUE(MID($G1149,12,8))+Settings!$C$7/24,"")))</f>
        <v/>
      </c>
      <c r="Q1149" s="39" t="str">
        <f t="shared" si="307"/>
        <v/>
      </c>
      <c r="R1149" s="39" t="str">
        <f t="shared" si="308"/>
        <v/>
      </c>
      <c r="S1149" s="107" t="str">
        <f t="shared" si="309"/>
        <v/>
      </c>
      <c r="T1149" s="39" t="str">
        <f>IF($C1149="","",IF(COUNTIF($C$2:$C1149,$C1149)=1,1,0))</f>
        <v/>
      </c>
      <c r="U1149" s="39" t="str">
        <f>IF($T1149=1,COUNTIF($T$2:$T1149,1),"")</f>
        <v/>
      </c>
      <c r="V1149" s="39" t="str">
        <f>IF($B1149="","",IF(COUNTIF($B$2:$B1149,$B1149)=1,1,0))</f>
        <v/>
      </c>
      <c r="W1149" s="39" t="str">
        <f>IF($V1149=1,COUNTIF($V$2:$V1149,1),"")</f>
        <v/>
      </c>
      <c r="X1149" s="39" t="str">
        <f>IF($A1149="","",IF(COUNTIF($A$2:$A1149,$A1149)=1,1,0))</f>
        <v/>
      </c>
      <c r="Y1149" s="39" t="str">
        <f>IF($X1149=1,COUNTIF($X$2:$X1149,1),"")</f>
        <v/>
      </c>
      <c r="Z1149" s="39">
        <f>IF(AND($E1149="timed",$N1149&gt;Settings!$C$8),1,0)</f>
        <v>0</v>
      </c>
      <c r="AA1149" s="39">
        <f t="shared" si="310"/>
        <v>0</v>
      </c>
      <c r="AB1149" s="39">
        <f t="shared" si="311"/>
        <v>0</v>
      </c>
      <c r="AC1149" s="39" t="str">
        <f t="shared" si="312"/>
        <v/>
      </c>
      <c r="AD1149" s="39" t="str">
        <f t="shared" si="313"/>
        <v/>
      </c>
      <c r="AE1149" s="39" t="str">
        <f t="shared" si="314"/>
        <v/>
      </c>
      <c r="AF1149" s="106" t="str">
        <f t="shared" si="315"/>
        <v/>
      </c>
      <c r="AG1149" s="39">
        <f t="shared" si="316"/>
        <v>0</v>
      </c>
      <c r="AH1149" s="39" t="str">
        <f t="shared" si="317"/>
        <v/>
      </c>
      <c r="AI1149" s="39">
        <f>IF(AND($E1149="timed",$N1149&gt;=Settings!$C$9),1,0)</f>
        <v>0</v>
      </c>
      <c r="AJ1149" s="39" t="str">
        <f>IF(OR($S1149="",Settings!$C$16=""),"",IF($S1149&lt;=Settings!$C$16,1,2))</f>
        <v/>
      </c>
      <c r="AK1149" s="39" t="str">
        <f>IF($C1149="","",IFERROR(IF(INDEX(Settings!$C$20:$C$59,MATCH($C1149,Settings!$B$20:$B$59,0))="",Settings!$C$10,INDEX(Settings!$C$20:$C$59,MATCH($C1149,Settings!$B$20:$B$59,0))),Settings!$C$10))</f>
        <v/>
      </c>
      <c r="AL1149" s="108">
        <f t="shared" si="318"/>
        <v>0</v>
      </c>
      <c r="AM1149" s="39" t="str">
        <f t="shared" si="319"/>
        <v/>
      </c>
      <c r="AN1149" s="39" t="str">
        <f t="shared" si="320"/>
        <v/>
      </c>
      <c r="AO1149" s="39" t="str">
        <f t="shared" si="321"/>
        <v/>
      </c>
      <c r="AP1149" s="39">
        <f t="shared" si="322"/>
        <v>0</v>
      </c>
      <c r="AQ1149" s="39">
        <f t="shared" si="323"/>
        <v>0</v>
      </c>
    </row>
    <row r="1150" spans="14:43" x14ac:dyDescent="0.25">
      <c r="N1150" s="105">
        <f t="shared" si="306"/>
        <v>0</v>
      </c>
      <c r="O1150" s="106" t="str">
        <f>IF($F1150="","",IF(ISNUMBER($F1150),$F1150+Settings!$C$7/24,IFERROR(DATEVALUE(LEFT($F1150,10))+TIMEVALUE(MID($F1150,12,8))+Settings!$C$7/24,"")))</f>
        <v/>
      </c>
      <c r="P1150" s="106" t="str">
        <f>IF($G1150="","",IF(ISNUMBER($G1150),$G1150+Settings!$C$7/24,IFERROR(DATEVALUE(LEFT($G1150,10))+TIMEVALUE(MID($G1150,12,8))+Settings!$C$7/24,"")))</f>
        <v/>
      </c>
      <c r="Q1150" s="39" t="str">
        <f t="shared" si="307"/>
        <v/>
      </c>
      <c r="R1150" s="39" t="str">
        <f t="shared" si="308"/>
        <v/>
      </c>
      <c r="S1150" s="107" t="str">
        <f t="shared" si="309"/>
        <v/>
      </c>
      <c r="T1150" s="39" t="str">
        <f>IF($C1150="","",IF(COUNTIF($C$2:$C1150,$C1150)=1,1,0))</f>
        <v/>
      </c>
      <c r="U1150" s="39" t="str">
        <f>IF($T1150=1,COUNTIF($T$2:$T1150,1),"")</f>
        <v/>
      </c>
      <c r="V1150" s="39" t="str">
        <f>IF($B1150="","",IF(COUNTIF($B$2:$B1150,$B1150)=1,1,0))</f>
        <v/>
      </c>
      <c r="W1150" s="39" t="str">
        <f>IF($V1150=1,COUNTIF($V$2:$V1150,1),"")</f>
        <v/>
      </c>
      <c r="X1150" s="39" t="str">
        <f>IF($A1150="","",IF(COUNTIF($A$2:$A1150,$A1150)=1,1,0))</f>
        <v/>
      </c>
      <c r="Y1150" s="39" t="str">
        <f>IF($X1150=1,COUNTIF($X$2:$X1150,1),"")</f>
        <v/>
      </c>
      <c r="Z1150" s="39">
        <f>IF(AND($E1150="timed",$N1150&gt;Settings!$C$8),1,0)</f>
        <v>0</v>
      </c>
      <c r="AA1150" s="39">
        <f t="shared" si="310"/>
        <v>0</v>
      </c>
      <c r="AB1150" s="39">
        <f t="shared" si="311"/>
        <v>0</v>
      </c>
      <c r="AC1150" s="39" t="str">
        <f t="shared" si="312"/>
        <v/>
      </c>
      <c r="AD1150" s="39" t="str">
        <f t="shared" si="313"/>
        <v/>
      </c>
      <c r="AE1150" s="39" t="str">
        <f t="shared" si="314"/>
        <v/>
      </c>
      <c r="AF1150" s="106" t="str">
        <f t="shared" si="315"/>
        <v/>
      </c>
      <c r="AG1150" s="39">
        <f t="shared" si="316"/>
        <v>0</v>
      </c>
      <c r="AH1150" s="39" t="str">
        <f t="shared" si="317"/>
        <v/>
      </c>
      <c r="AI1150" s="39">
        <f>IF(AND($E1150="timed",$N1150&gt;=Settings!$C$9),1,0)</f>
        <v>0</v>
      </c>
      <c r="AJ1150" s="39" t="str">
        <f>IF(OR($S1150="",Settings!$C$16=""),"",IF($S1150&lt;=Settings!$C$16,1,2))</f>
        <v/>
      </c>
      <c r="AK1150" s="39" t="str">
        <f>IF($C1150="","",IFERROR(IF(INDEX(Settings!$C$20:$C$59,MATCH($C1150,Settings!$B$20:$B$59,0))="",Settings!$C$10,INDEX(Settings!$C$20:$C$59,MATCH($C1150,Settings!$B$20:$B$59,0))),Settings!$C$10))</f>
        <v/>
      </c>
      <c r="AL1150" s="108">
        <f t="shared" si="318"/>
        <v>0</v>
      </c>
      <c r="AM1150" s="39" t="str">
        <f t="shared" si="319"/>
        <v/>
      </c>
      <c r="AN1150" s="39" t="str">
        <f t="shared" si="320"/>
        <v/>
      </c>
      <c r="AO1150" s="39" t="str">
        <f t="shared" si="321"/>
        <v/>
      </c>
      <c r="AP1150" s="39">
        <f t="shared" si="322"/>
        <v>0</v>
      </c>
      <c r="AQ1150" s="39">
        <f t="shared" si="323"/>
        <v>0</v>
      </c>
    </row>
    <row r="1151" spans="14:43" x14ac:dyDescent="0.25">
      <c r="N1151" s="105">
        <f t="shared" si="306"/>
        <v>0</v>
      </c>
      <c r="O1151" s="106" t="str">
        <f>IF($F1151="","",IF(ISNUMBER($F1151),$F1151+Settings!$C$7/24,IFERROR(DATEVALUE(LEFT($F1151,10))+TIMEVALUE(MID($F1151,12,8))+Settings!$C$7/24,"")))</f>
        <v/>
      </c>
      <c r="P1151" s="106" t="str">
        <f>IF($G1151="","",IF(ISNUMBER($G1151),$G1151+Settings!$C$7/24,IFERROR(DATEVALUE(LEFT($G1151,10))+TIMEVALUE(MID($G1151,12,8))+Settings!$C$7/24,"")))</f>
        <v/>
      </c>
      <c r="Q1151" s="39" t="str">
        <f t="shared" si="307"/>
        <v/>
      </c>
      <c r="R1151" s="39" t="str">
        <f t="shared" si="308"/>
        <v/>
      </c>
      <c r="S1151" s="107" t="str">
        <f t="shared" si="309"/>
        <v/>
      </c>
      <c r="T1151" s="39" t="str">
        <f>IF($C1151="","",IF(COUNTIF($C$2:$C1151,$C1151)=1,1,0))</f>
        <v/>
      </c>
      <c r="U1151" s="39" t="str">
        <f>IF($T1151=1,COUNTIF($T$2:$T1151,1),"")</f>
        <v/>
      </c>
      <c r="V1151" s="39" t="str">
        <f>IF($B1151="","",IF(COUNTIF($B$2:$B1151,$B1151)=1,1,0))</f>
        <v/>
      </c>
      <c r="W1151" s="39" t="str">
        <f>IF($V1151=1,COUNTIF($V$2:$V1151,1),"")</f>
        <v/>
      </c>
      <c r="X1151" s="39" t="str">
        <f>IF($A1151="","",IF(COUNTIF($A$2:$A1151,$A1151)=1,1,0))</f>
        <v/>
      </c>
      <c r="Y1151" s="39" t="str">
        <f>IF($X1151=1,COUNTIF($X$2:$X1151,1),"")</f>
        <v/>
      </c>
      <c r="Z1151" s="39">
        <f>IF(AND($E1151="timed",$N1151&gt;Settings!$C$8),1,0)</f>
        <v>0</v>
      </c>
      <c r="AA1151" s="39">
        <f t="shared" si="310"/>
        <v>0</v>
      </c>
      <c r="AB1151" s="39">
        <f t="shared" si="311"/>
        <v>0</v>
      </c>
      <c r="AC1151" s="39" t="str">
        <f t="shared" si="312"/>
        <v/>
      </c>
      <c r="AD1151" s="39" t="str">
        <f t="shared" si="313"/>
        <v/>
      </c>
      <c r="AE1151" s="39" t="str">
        <f t="shared" si="314"/>
        <v/>
      </c>
      <c r="AF1151" s="106" t="str">
        <f t="shared" si="315"/>
        <v/>
      </c>
      <c r="AG1151" s="39">
        <f t="shared" si="316"/>
        <v>0</v>
      </c>
      <c r="AH1151" s="39" t="str">
        <f t="shared" si="317"/>
        <v/>
      </c>
      <c r="AI1151" s="39">
        <f>IF(AND($E1151="timed",$N1151&gt;=Settings!$C$9),1,0)</f>
        <v>0</v>
      </c>
      <c r="AJ1151" s="39" t="str">
        <f>IF(OR($S1151="",Settings!$C$16=""),"",IF($S1151&lt;=Settings!$C$16,1,2))</f>
        <v/>
      </c>
      <c r="AK1151" s="39" t="str">
        <f>IF($C1151="","",IFERROR(IF(INDEX(Settings!$C$20:$C$59,MATCH($C1151,Settings!$B$20:$B$59,0))="",Settings!$C$10,INDEX(Settings!$C$20:$C$59,MATCH($C1151,Settings!$B$20:$B$59,0))),Settings!$C$10))</f>
        <v/>
      </c>
      <c r="AL1151" s="108">
        <f t="shared" si="318"/>
        <v>0</v>
      </c>
      <c r="AM1151" s="39" t="str">
        <f t="shared" si="319"/>
        <v/>
      </c>
      <c r="AN1151" s="39" t="str">
        <f t="shared" si="320"/>
        <v/>
      </c>
      <c r="AO1151" s="39" t="str">
        <f t="shared" si="321"/>
        <v/>
      </c>
      <c r="AP1151" s="39">
        <f t="shared" si="322"/>
        <v>0</v>
      </c>
      <c r="AQ1151" s="39">
        <f t="shared" si="323"/>
        <v>0</v>
      </c>
    </row>
    <row r="1152" spans="14:43" x14ac:dyDescent="0.25">
      <c r="N1152" s="105">
        <f t="shared" si="306"/>
        <v>0</v>
      </c>
      <c r="O1152" s="106" t="str">
        <f>IF($F1152="","",IF(ISNUMBER($F1152),$F1152+Settings!$C$7/24,IFERROR(DATEVALUE(LEFT($F1152,10))+TIMEVALUE(MID($F1152,12,8))+Settings!$C$7/24,"")))</f>
        <v/>
      </c>
      <c r="P1152" s="106" t="str">
        <f>IF($G1152="","",IF(ISNUMBER($G1152),$G1152+Settings!$C$7/24,IFERROR(DATEVALUE(LEFT($G1152,10))+TIMEVALUE(MID($G1152,12,8))+Settings!$C$7/24,"")))</f>
        <v/>
      </c>
      <c r="Q1152" s="39" t="str">
        <f t="shared" si="307"/>
        <v/>
      </c>
      <c r="R1152" s="39" t="str">
        <f t="shared" si="308"/>
        <v/>
      </c>
      <c r="S1152" s="107" t="str">
        <f t="shared" si="309"/>
        <v/>
      </c>
      <c r="T1152" s="39" t="str">
        <f>IF($C1152="","",IF(COUNTIF($C$2:$C1152,$C1152)=1,1,0))</f>
        <v/>
      </c>
      <c r="U1152" s="39" t="str">
        <f>IF($T1152=1,COUNTIF($T$2:$T1152,1),"")</f>
        <v/>
      </c>
      <c r="V1152" s="39" t="str">
        <f>IF($B1152="","",IF(COUNTIF($B$2:$B1152,$B1152)=1,1,0))</f>
        <v/>
      </c>
      <c r="W1152" s="39" t="str">
        <f>IF($V1152=1,COUNTIF($V$2:$V1152,1),"")</f>
        <v/>
      </c>
      <c r="X1152" s="39" t="str">
        <f>IF($A1152="","",IF(COUNTIF($A$2:$A1152,$A1152)=1,1,0))</f>
        <v/>
      </c>
      <c r="Y1152" s="39" t="str">
        <f>IF($X1152=1,COUNTIF($X$2:$X1152,1),"")</f>
        <v/>
      </c>
      <c r="Z1152" s="39">
        <f>IF(AND($E1152="timed",$N1152&gt;Settings!$C$8),1,0)</f>
        <v>0</v>
      </c>
      <c r="AA1152" s="39">
        <f t="shared" si="310"/>
        <v>0</v>
      </c>
      <c r="AB1152" s="39">
        <f t="shared" si="311"/>
        <v>0</v>
      </c>
      <c r="AC1152" s="39" t="str">
        <f t="shared" si="312"/>
        <v/>
      </c>
      <c r="AD1152" s="39" t="str">
        <f t="shared" si="313"/>
        <v/>
      </c>
      <c r="AE1152" s="39" t="str">
        <f t="shared" si="314"/>
        <v/>
      </c>
      <c r="AF1152" s="106" t="str">
        <f t="shared" si="315"/>
        <v/>
      </c>
      <c r="AG1152" s="39">
        <f t="shared" si="316"/>
        <v>0</v>
      </c>
      <c r="AH1152" s="39" t="str">
        <f t="shared" si="317"/>
        <v/>
      </c>
      <c r="AI1152" s="39">
        <f>IF(AND($E1152="timed",$N1152&gt;=Settings!$C$9),1,0)</f>
        <v>0</v>
      </c>
      <c r="AJ1152" s="39" t="str">
        <f>IF(OR($S1152="",Settings!$C$16=""),"",IF($S1152&lt;=Settings!$C$16,1,2))</f>
        <v/>
      </c>
      <c r="AK1152" s="39" t="str">
        <f>IF($C1152="","",IFERROR(IF(INDEX(Settings!$C$20:$C$59,MATCH($C1152,Settings!$B$20:$B$59,0))="",Settings!$C$10,INDEX(Settings!$C$20:$C$59,MATCH($C1152,Settings!$B$20:$B$59,0))),Settings!$C$10))</f>
        <v/>
      </c>
      <c r="AL1152" s="108">
        <f t="shared" si="318"/>
        <v>0</v>
      </c>
      <c r="AM1152" s="39" t="str">
        <f t="shared" si="319"/>
        <v/>
      </c>
      <c r="AN1152" s="39" t="str">
        <f t="shared" si="320"/>
        <v/>
      </c>
      <c r="AO1152" s="39" t="str">
        <f t="shared" si="321"/>
        <v/>
      </c>
      <c r="AP1152" s="39">
        <f t="shared" si="322"/>
        <v>0</v>
      </c>
      <c r="AQ1152" s="39">
        <f t="shared" si="323"/>
        <v>0</v>
      </c>
    </row>
    <row r="1153" spans="14:43" x14ac:dyDescent="0.25">
      <c r="N1153" s="105">
        <f t="shared" si="306"/>
        <v>0</v>
      </c>
      <c r="O1153" s="106" t="str">
        <f>IF($F1153="","",IF(ISNUMBER($F1153),$F1153+Settings!$C$7/24,IFERROR(DATEVALUE(LEFT($F1153,10))+TIMEVALUE(MID($F1153,12,8))+Settings!$C$7/24,"")))</f>
        <v/>
      </c>
      <c r="P1153" s="106" t="str">
        <f>IF($G1153="","",IF(ISNUMBER($G1153),$G1153+Settings!$C$7/24,IFERROR(DATEVALUE(LEFT($G1153,10))+TIMEVALUE(MID($G1153,12,8))+Settings!$C$7/24,"")))</f>
        <v/>
      </c>
      <c r="Q1153" s="39" t="str">
        <f t="shared" si="307"/>
        <v/>
      </c>
      <c r="R1153" s="39" t="str">
        <f t="shared" si="308"/>
        <v/>
      </c>
      <c r="S1153" s="107" t="str">
        <f t="shared" si="309"/>
        <v/>
      </c>
      <c r="T1153" s="39" t="str">
        <f>IF($C1153="","",IF(COUNTIF($C$2:$C1153,$C1153)=1,1,0))</f>
        <v/>
      </c>
      <c r="U1153" s="39" t="str">
        <f>IF($T1153=1,COUNTIF($T$2:$T1153,1),"")</f>
        <v/>
      </c>
      <c r="V1153" s="39" t="str">
        <f>IF($B1153="","",IF(COUNTIF($B$2:$B1153,$B1153)=1,1,0))</f>
        <v/>
      </c>
      <c r="W1153" s="39" t="str">
        <f>IF($V1153=1,COUNTIF($V$2:$V1153,1),"")</f>
        <v/>
      </c>
      <c r="X1153" s="39" t="str">
        <f>IF($A1153="","",IF(COUNTIF($A$2:$A1153,$A1153)=1,1,0))</f>
        <v/>
      </c>
      <c r="Y1153" s="39" t="str">
        <f>IF($X1153=1,COUNTIF($X$2:$X1153,1),"")</f>
        <v/>
      </c>
      <c r="Z1153" s="39">
        <f>IF(AND($E1153="timed",$N1153&gt;Settings!$C$8),1,0)</f>
        <v>0</v>
      </c>
      <c r="AA1153" s="39">
        <f t="shared" si="310"/>
        <v>0</v>
      </c>
      <c r="AB1153" s="39">
        <f t="shared" si="311"/>
        <v>0</v>
      </c>
      <c r="AC1153" s="39" t="str">
        <f t="shared" si="312"/>
        <v/>
      </c>
      <c r="AD1153" s="39" t="str">
        <f t="shared" si="313"/>
        <v/>
      </c>
      <c r="AE1153" s="39" t="str">
        <f t="shared" si="314"/>
        <v/>
      </c>
      <c r="AF1153" s="106" t="str">
        <f t="shared" si="315"/>
        <v/>
      </c>
      <c r="AG1153" s="39">
        <f t="shared" si="316"/>
        <v>0</v>
      </c>
      <c r="AH1153" s="39" t="str">
        <f t="shared" si="317"/>
        <v/>
      </c>
      <c r="AI1153" s="39">
        <f>IF(AND($E1153="timed",$N1153&gt;=Settings!$C$9),1,0)</f>
        <v>0</v>
      </c>
      <c r="AJ1153" s="39" t="str">
        <f>IF(OR($S1153="",Settings!$C$16=""),"",IF($S1153&lt;=Settings!$C$16,1,2))</f>
        <v/>
      </c>
      <c r="AK1153" s="39" t="str">
        <f>IF($C1153="","",IFERROR(IF(INDEX(Settings!$C$20:$C$59,MATCH($C1153,Settings!$B$20:$B$59,0))="",Settings!$C$10,INDEX(Settings!$C$20:$C$59,MATCH($C1153,Settings!$B$20:$B$59,0))),Settings!$C$10))</f>
        <v/>
      </c>
      <c r="AL1153" s="108">
        <f t="shared" si="318"/>
        <v>0</v>
      </c>
      <c r="AM1153" s="39" t="str">
        <f t="shared" si="319"/>
        <v/>
      </c>
      <c r="AN1153" s="39" t="str">
        <f t="shared" si="320"/>
        <v/>
      </c>
      <c r="AO1153" s="39" t="str">
        <f t="shared" si="321"/>
        <v/>
      </c>
      <c r="AP1153" s="39">
        <f t="shared" si="322"/>
        <v>0</v>
      </c>
      <c r="AQ1153" s="39">
        <f t="shared" si="323"/>
        <v>0</v>
      </c>
    </row>
    <row r="1154" spans="14:43" x14ac:dyDescent="0.25">
      <c r="N1154" s="105">
        <f t="shared" ref="N1154:N1201" si="324">IF($E1154&lt;&gt;"timed",0,IF(ISNUMBER($H1154),$H1154,IFERROR(VALUE($H1154),0)))</f>
        <v>0</v>
      </c>
      <c r="O1154" s="106" t="str">
        <f>IF($F1154="","",IF(ISNUMBER($F1154),$F1154+Settings!$C$7/24,IFERROR(DATEVALUE(LEFT($F1154,10))+TIMEVALUE(MID($F1154,12,8))+Settings!$C$7/24,"")))</f>
        <v/>
      </c>
      <c r="P1154" s="106" t="str">
        <f>IF($G1154="","",IF(ISNUMBER($G1154),$G1154+Settings!$C$7/24,IFERROR(DATEVALUE(LEFT($G1154,10))+TIMEVALUE(MID($G1154,12,8))+Settings!$C$7/24,"")))</f>
        <v/>
      </c>
      <c r="Q1154" s="39" t="str">
        <f t="shared" ref="Q1154:Q1201" si="325">IF($O1154="","",HOUR($O1154))</f>
        <v/>
      </c>
      <c r="R1154" s="39" t="str">
        <f t="shared" ref="R1154:R1201" si="326">IF($O1154="","",WEEKDAY($O1154,2))</f>
        <v/>
      </c>
      <c r="S1154" s="107" t="str">
        <f t="shared" ref="S1154:S1201" si="327">IF($A1154="","",IF(ISNUMBER($A1154),INT($A1154),IFERROR(DATEVALUE($A1154),"")))</f>
        <v/>
      </c>
      <c r="T1154" s="39" t="str">
        <f>IF($C1154="","",IF(COUNTIF($C$2:$C1154,$C1154)=1,1,0))</f>
        <v/>
      </c>
      <c r="U1154" s="39" t="str">
        <f>IF($T1154=1,COUNTIF($T$2:$T1154,1),"")</f>
        <v/>
      </c>
      <c r="V1154" s="39" t="str">
        <f>IF($B1154="","",IF(COUNTIF($B$2:$B1154,$B1154)=1,1,0))</f>
        <v/>
      </c>
      <c r="W1154" s="39" t="str">
        <f>IF($V1154=1,COUNTIF($V$2:$V1154,1),"")</f>
        <v/>
      </c>
      <c r="X1154" s="39" t="str">
        <f>IF($A1154="","",IF(COUNTIF($A$2:$A1154,$A1154)=1,1,0))</f>
        <v/>
      </c>
      <c r="Y1154" s="39" t="str">
        <f>IF($X1154=1,COUNTIF($X$2:$X1154,1),"")</f>
        <v/>
      </c>
      <c r="Z1154" s="39">
        <f>IF(AND($E1154="timed",$N1154&gt;Settings!$C$8),1,0)</f>
        <v>0</v>
      </c>
      <c r="AA1154" s="39">
        <f t="shared" ref="AA1154:AA1201" si="328">IF(AND($E1154="timed",$G1154=""),1,0)</f>
        <v>0</v>
      </c>
      <c r="AB1154" s="39">
        <f t="shared" ref="AB1154:AB1201" si="329">IF($E1154&lt;&gt;"timed",0,IF(ISNUMBER($I1154),$I1154,IFERROR(VALUE($I1154),0)))</f>
        <v>0</v>
      </c>
      <c r="AC1154" s="39" t="str">
        <f t="shared" ref="AC1154:AC1201" si="330">IF(OR($E1154&lt;&gt;"timed",$O1154=""),"",ROUND($O1154*86400,0)*10000+ROW())</f>
        <v/>
      </c>
      <c r="AD1154" s="39" t="str">
        <f t="shared" ref="AD1154:AD1201" si="331">IF($AC1154="","",COUNTIF($AC$2:$AC$1201,"&lt;"&amp;$AC1154)+1)</f>
        <v/>
      </c>
      <c r="AE1154" s="39" t="str">
        <f t="shared" ref="AE1154:AE1201" si="332">IF($AD1154="","",IFERROR(IF(INDEX($S$2:$S$1201,MATCH($AD1154-1,$AD$2:$AD$1201,0))=$S1154,INDEX($C$2:$C$1201,MATCH($AD1154-1,$AD$2:$AD$1201,0)),""),""))</f>
        <v/>
      </c>
      <c r="AF1154" s="106" t="str">
        <f t="shared" ref="AF1154:AF1201" si="333">IF($AD1154="","",IFERROR(IF(INDEX($S$2:$S$1201,MATCH($AD1154-1,$AD$2:$AD$1201,0))=$S1154,INDEX($P$2:$P$1201,MATCH($AD1154-1,$AD$2:$AD$1201,0)),""),""))</f>
        <v/>
      </c>
      <c r="AG1154" s="39">
        <f t="shared" ref="AG1154:AG1201" si="334">IF(OR($E1154&lt;&gt;"timed",$AE1154=""),0,IF($AE1154=$C1154,0,1))</f>
        <v>0</v>
      </c>
      <c r="AH1154" s="39" t="str">
        <f t="shared" ref="AH1154:AH1201" si="335">IF(OR($AF1154="",$O1154=""),"",MAX(0,ROUND(($O1154-$AF1154)*1440,0)))</f>
        <v/>
      </c>
      <c r="AI1154" s="39">
        <f>IF(AND($E1154="timed",$N1154&gt;=Settings!$C$9),1,0)</f>
        <v>0</v>
      </c>
      <c r="AJ1154" s="39" t="str">
        <f>IF(OR($S1154="",Settings!$C$16=""),"",IF($S1154&lt;=Settings!$C$16,1,2))</f>
        <v/>
      </c>
      <c r="AK1154" s="39" t="str">
        <f>IF($C1154="","",IFERROR(IF(INDEX(Settings!$C$20:$C$59,MATCH($C1154,Settings!$B$20:$B$59,0))="",Settings!$C$10,INDEX(Settings!$C$20:$C$59,MATCH($C1154,Settings!$B$20:$B$59,0))),Settings!$C$10))</f>
        <v/>
      </c>
      <c r="AL1154" s="108">
        <f t="shared" ref="AL1154:AL1201" si="336">IF(OR($N1154=0,$AK1154=""),0,ROUND($N1154/60*$AK1154,2))</f>
        <v>0</v>
      </c>
      <c r="AM1154" s="39" t="str">
        <f t="shared" ref="AM1154:AM1201" si="337">IF($AD1154="","",IFERROR(INDEX($S$2:$S$1201,MATCH($AD1154-1,$AD$2:$AD$1201,0)),""))</f>
        <v/>
      </c>
      <c r="AN1154" s="39" t="str">
        <f t="shared" ref="AN1154:AN1201" si="338">IF($Z1154=1,$N1154+ROW()/1000000,"")</f>
        <v/>
      </c>
      <c r="AO1154" s="39" t="str">
        <f t="shared" ref="AO1154:AO1201" si="339">IF(OR($E1154&lt;&gt;"timed",$P1154=""),"",ROUND($P1154*86400,0)*10000+ROW())</f>
        <v/>
      </c>
      <c r="AP1154" s="39">
        <f t="shared" ref="AP1154:AP1201" si="340">IF($AC1154="",0,IF(COUNTIFS($S$2:$S$1201,$S1154,$AC$2:$AC$1201,"&lt;"&amp;$AC1154)=0,1,0))</f>
        <v>0</v>
      </c>
      <c r="AQ1154" s="39">
        <f t="shared" ref="AQ1154:AQ1201" si="341">IF($AO1154="",0,IF(COUNTIFS($S$2:$S$1201,$S1154,$AO$2:$AO$1201,"&gt;"&amp;$AO1154)=0,1,0))</f>
        <v>0</v>
      </c>
    </row>
    <row r="1155" spans="14:43" x14ac:dyDescent="0.25">
      <c r="N1155" s="105">
        <f t="shared" si="324"/>
        <v>0</v>
      </c>
      <c r="O1155" s="106" t="str">
        <f>IF($F1155="","",IF(ISNUMBER($F1155),$F1155+Settings!$C$7/24,IFERROR(DATEVALUE(LEFT($F1155,10))+TIMEVALUE(MID($F1155,12,8))+Settings!$C$7/24,"")))</f>
        <v/>
      </c>
      <c r="P1155" s="106" t="str">
        <f>IF($G1155="","",IF(ISNUMBER($G1155),$G1155+Settings!$C$7/24,IFERROR(DATEVALUE(LEFT($G1155,10))+TIMEVALUE(MID($G1155,12,8))+Settings!$C$7/24,"")))</f>
        <v/>
      </c>
      <c r="Q1155" s="39" t="str">
        <f t="shared" si="325"/>
        <v/>
      </c>
      <c r="R1155" s="39" t="str">
        <f t="shared" si="326"/>
        <v/>
      </c>
      <c r="S1155" s="107" t="str">
        <f t="shared" si="327"/>
        <v/>
      </c>
      <c r="T1155" s="39" t="str">
        <f>IF($C1155="","",IF(COUNTIF($C$2:$C1155,$C1155)=1,1,0))</f>
        <v/>
      </c>
      <c r="U1155" s="39" t="str">
        <f>IF($T1155=1,COUNTIF($T$2:$T1155,1),"")</f>
        <v/>
      </c>
      <c r="V1155" s="39" t="str">
        <f>IF($B1155="","",IF(COUNTIF($B$2:$B1155,$B1155)=1,1,0))</f>
        <v/>
      </c>
      <c r="W1155" s="39" t="str">
        <f>IF($V1155=1,COUNTIF($V$2:$V1155,1),"")</f>
        <v/>
      </c>
      <c r="X1155" s="39" t="str">
        <f>IF($A1155="","",IF(COUNTIF($A$2:$A1155,$A1155)=1,1,0))</f>
        <v/>
      </c>
      <c r="Y1155" s="39" t="str">
        <f>IF($X1155=1,COUNTIF($X$2:$X1155,1),"")</f>
        <v/>
      </c>
      <c r="Z1155" s="39">
        <f>IF(AND($E1155="timed",$N1155&gt;Settings!$C$8),1,0)</f>
        <v>0</v>
      </c>
      <c r="AA1155" s="39">
        <f t="shared" si="328"/>
        <v>0</v>
      </c>
      <c r="AB1155" s="39">
        <f t="shared" si="329"/>
        <v>0</v>
      </c>
      <c r="AC1155" s="39" t="str">
        <f t="shared" si="330"/>
        <v/>
      </c>
      <c r="AD1155" s="39" t="str">
        <f t="shared" si="331"/>
        <v/>
      </c>
      <c r="AE1155" s="39" t="str">
        <f t="shared" si="332"/>
        <v/>
      </c>
      <c r="AF1155" s="106" t="str">
        <f t="shared" si="333"/>
        <v/>
      </c>
      <c r="AG1155" s="39">
        <f t="shared" si="334"/>
        <v>0</v>
      </c>
      <c r="AH1155" s="39" t="str">
        <f t="shared" si="335"/>
        <v/>
      </c>
      <c r="AI1155" s="39">
        <f>IF(AND($E1155="timed",$N1155&gt;=Settings!$C$9),1,0)</f>
        <v>0</v>
      </c>
      <c r="AJ1155" s="39" t="str">
        <f>IF(OR($S1155="",Settings!$C$16=""),"",IF($S1155&lt;=Settings!$C$16,1,2))</f>
        <v/>
      </c>
      <c r="AK1155" s="39" t="str">
        <f>IF($C1155="","",IFERROR(IF(INDEX(Settings!$C$20:$C$59,MATCH($C1155,Settings!$B$20:$B$59,0))="",Settings!$C$10,INDEX(Settings!$C$20:$C$59,MATCH($C1155,Settings!$B$20:$B$59,0))),Settings!$C$10))</f>
        <v/>
      </c>
      <c r="AL1155" s="108">
        <f t="shared" si="336"/>
        <v>0</v>
      </c>
      <c r="AM1155" s="39" t="str">
        <f t="shared" si="337"/>
        <v/>
      </c>
      <c r="AN1155" s="39" t="str">
        <f t="shared" si="338"/>
        <v/>
      </c>
      <c r="AO1155" s="39" t="str">
        <f t="shared" si="339"/>
        <v/>
      </c>
      <c r="AP1155" s="39">
        <f t="shared" si="340"/>
        <v>0</v>
      </c>
      <c r="AQ1155" s="39">
        <f t="shared" si="341"/>
        <v>0</v>
      </c>
    </row>
    <row r="1156" spans="14:43" x14ac:dyDescent="0.25">
      <c r="N1156" s="105">
        <f t="shared" si="324"/>
        <v>0</v>
      </c>
      <c r="O1156" s="106" t="str">
        <f>IF($F1156="","",IF(ISNUMBER($F1156),$F1156+Settings!$C$7/24,IFERROR(DATEVALUE(LEFT($F1156,10))+TIMEVALUE(MID($F1156,12,8))+Settings!$C$7/24,"")))</f>
        <v/>
      </c>
      <c r="P1156" s="106" t="str">
        <f>IF($G1156="","",IF(ISNUMBER($G1156),$G1156+Settings!$C$7/24,IFERROR(DATEVALUE(LEFT($G1156,10))+TIMEVALUE(MID($G1156,12,8))+Settings!$C$7/24,"")))</f>
        <v/>
      </c>
      <c r="Q1156" s="39" t="str">
        <f t="shared" si="325"/>
        <v/>
      </c>
      <c r="R1156" s="39" t="str">
        <f t="shared" si="326"/>
        <v/>
      </c>
      <c r="S1156" s="107" t="str">
        <f t="shared" si="327"/>
        <v/>
      </c>
      <c r="T1156" s="39" t="str">
        <f>IF($C1156="","",IF(COUNTIF($C$2:$C1156,$C1156)=1,1,0))</f>
        <v/>
      </c>
      <c r="U1156" s="39" t="str">
        <f>IF($T1156=1,COUNTIF($T$2:$T1156,1),"")</f>
        <v/>
      </c>
      <c r="V1156" s="39" t="str">
        <f>IF($B1156="","",IF(COUNTIF($B$2:$B1156,$B1156)=1,1,0))</f>
        <v/>
      </c>
      <c r="W1156" s="39" t="str">
        <f>IF($V1156=1,COUNTIF($V$2:$V1156,1),"")</f>
        <v/>
      </c>
      <c r="X1156" s="39" t="str">
        <f>IF($A1156="","",IF(COUNTIF($A$2:$A1156,$A1156)=1,1,0))</f>
        <v/>
      </c>
      <c r="Y1156" s="39" t="str">
        <f>IF($X1156=1,COUNTIF($X$2:$X1156,1),"")</f>
        <v/>
      </c>
      <c r="Z1156" s="39">
        <f>IF(AND($E1156="timed",$N1156&gt;Settings!$C$8),1,0)</f>
        <v>0</v>
      </c>
      <c r="AA1156" s="39">
        <f t="shared" si="328"/>
        <v>0</v>
      </c>
      <c r="AB1156" s="39">
        <f t="shared" si="329"/>
        <v>0</v>
      </c>
      <c r="AC1156" s="39" t="str">
        <f t="shared" si="330"/>
        <v/>
      </c>
      <c r="AD1156" s="39" t="str">
        <f t="shared" si="331"/>
        <v/>
      </c>
      <c r="AE1156" s="39" t="str">
        <f t="shared" si="332"/>
        <v/>
      </c>
      <c r="AF1156" s="106" t="str">
        <f t="shared" si="333"/>
        <v/>
      </c>
      <c r="AG1156" s="39">
        <f t="shared" si="334"/>
        <v>0</v>
      </c>
      <c r="AH1156" s="39" t="str">
        <f t="shared" si="335"/>
        <v/>
      </c>
      <c r="AI1156" s="39">
        <f>IF(AND($E1156="timed",$N1156&gt;=Settings!$C$9),1,0)</f>
        <v>0</v>
      </c>
      <c r="AJ1156" s="39" t="str">
        <f>IF(OR($S1156="",Settings!$C$16=""),"",IF($S1156&lt;=Settings!$C$16,1,2))</f>
        <v/>
      </c>
      <c r="AK1156" s="39" t="str">
        <f>IF($C1156="","",IFERROR(IF(INDEX(Settings!$C$20:$C$59,MATCH($C1156,Settings!$B$20:$B$59,0))="",Settings!$C$10,INDEX(Settings!$C$20:$C$59,MATCH($C1156,Settings!$B$20:$B$59,0))),Settings!$C$10))</f>
        <v/>
      </c>
      <c r="AL1156" s="108">
        <f t="shared" si="336"/>
        <v>0</v>
      </c>
      <c r="AM1156" s="39" t="str">
        <f t="shared" si="337"/>
        <v/>
      </c>
      <c r="AN1156" s="39" t="str">
        <f t="shared" si="338"/>
        <v/>
      </c>
      <c r="AO1156" s="39" t="str">
        <f t="shared" si="339"/>
        <v/>
      </c>
      <c r="AP1156" s="39">
        <f t="shared" si="340"/>
        <v>0</v>
      </c>
      <c r="AQ1156" s="39">
        <f t="shared" si="341"/>
        <v>0</v>
      </c>
    </row>
    <row r="1157" spans="14:43" x14ac:dyDescent="0.25">
      <c r="N1157" s="105">
        <f t="shared" si="324"/>
        <v>0</v>
      </c>
      <c r="O1157" s="106" t="str">
        <f>IF($F1157="","",IF(ISNUMBER($F1157),$F1157+Settings!$C$7/24,IFERROR(DATEVALUE(LEFT($F1157,10))+TIMEVALUE(MID($F1157,12,8))+Settings!$C$7/24,"")))</f>
        <v/>
      </c>
      <c r="P1157" s="106" t="str">
        <f>IF($G1157="","",IF(ISNUMBER($G1157),$G1157+Settings!$C$7/24,IFERROR(DATEVALUE(LEFT($G1157,10))+TIMEVALUE(MID($G1157,12,8))+Settings!$C$7/24,"")))</f>
        <v/>
      </c>
      <c r="Q1157" s="39" t="str">
        <f t="shared" si="325"/>
        <v/>
      </c>
      <c r="R1157" s="39" t="str">
        <f t="shared" si="326"/>
        <v/>
      </c>
      <c r="S1157" s="107" t="str">
        <f t="shared" si="327"/>
        <v/>
      </c>
      <c r="T1157" s="39" t="str">
        <f>IF($C1157="","",IF(COUNTIF($C$2:$C1157,$C1157)=1,1,0))</f>
        <v/>
      </c>
      <c r="U1157" s="39" t="str">
        <f>IF($T1157=1,COUNTIF($T$2:$T1157,1),"")</f>
        <v/>
      </c>
      <c r="V1157" s="39" t="str">
        <f>IF($B1157="","",IF(COUNTIF($B$2:$B1157,$B1157)=1,1,0))</f>
        <v/>
      </c>
      <c r="W1157" s="39" t="str">
        <f>IF($V1157=1,COUNTIF($V$2:$V1157,1),"")</f>
        <v/>
      </c>
      <c r="X1157" s="39" t="str">
        <f>IF($A1157="","",IF(COUNTIF($A$2:$A1157,$A1157)=1,1,0))</f>
        <v/>
      </c>
      <c r="Y1157" s="39" t="str">
        <f>IF($X1157=1,COUNTIF($X$2:$X1157,1),"")</f>
        <v/>
      </c>
      <c r="Z1157" s="39">
        <f>IF(AND($E1157="timed",$N1157&gt;Settings!$C$8),1,0)</f>
        <v>0</v>
      </c>
      <c r="AA1157" s="39">
        <f t="shared" si="328"/>
        <v>0</v>
      </c>
      <c r="AB1157" s="39">
        <f t="shared" si="329"/>
        <v>0</v>
      </c>
      <c r="AC1157" s="39" t="str">
        <f t="shared" si="330"/>
        <v/>
      </c>
      <c r="AD1157" s="39" t="str">
        <f t="shared" si="331"/>
        <v/>
      </c>
      <c r="AE1157" s="39" t="str">
        <f t="shared" si="332"/>
        <v/>
      </c>
      <c r="AF1157" s="106" t="str">
        <f t="shared" si="333"/>
        <v/>
      </c>
      <c r="AG1157" s="39">
        <f t="shared" si="334"/>
        <v>0</v>
      </c>
      <c r="AH1157" s="39" t="str">
        <f t="shared" si="335"/>
        <v/>
      </c>
      <c r="AI1157" s="39">
        <f>IF(AND($E1157="timed",$N1157&gt;=Settings!$C$9),1,0)</f>
        <v>0</v>
      </c>
      <c r="AJ1157" s="39" t="str">
        <f>IF(OR($S1157="",Settings!$C$16=""),"",IF($S1157&lt;=Settings!$C$16,1,2))</f>
        <v/>
      </c>
      <c r="AK1157" s="39" t="str">
        <f>IF($C1157="","",IFERROR(IF(INDEX(Settings!$C$20:$C$59,MATCH($C1157,Settings!$B$20:$B$59,0))="",Settings!$C$10,INDEX(Settings!$C$20:$C$59,MATCH($C1157,Settings!$B$20:$B$59,0))),Settings!$C$10))</f>
        <v/>
      </c>
      <c r="AL1157" s="108">
        <f t="shared" si="336"/>
        <v>0</v>
      </c>
      <c r="AM1157" s="39" t="str">
        <f t="shared" si="337"/>
        <v/>
      </c>
      <c r="AN1157" s="39" t="str">
        <f t="shared" si="338"/>
        <v/>
      </c>
      <c r="AO1157" s="39" t="str">
        <f t="shared" si="339"/>
        <v/>
      </c>
      <c r="AP1157" s="39">
        <f t="shared" si="340"/>
        <v>0</v>
      </c>
      <c r="AQ1157" s="39">
        <f t="shared" si="341"/>
        <v>0</v>
      </c>
    </row>
    <row r="1158" spans="14:43" x14ac:dyDescent="0.25">
      <c r="N1158" s="105">
        <f t="shared" si="324"/>
        <v>0</v>
      </c>
      <c r="O1158" s="106" t="str">
        <f>IF($F1158="","",IF(ISNUMBER($F1158),$F1158+Settings!$C$7/24,IFERROR(DATEVALUE(LEFT($F1158,10))+TIMEVALUE(MID($F1158,12,8))+Settings!$C$7/24,"")))</f>
        <v/>
      </c>
      <c r="P1158" s="106" t="str">
        <f>IF($G1158="","",IF(ISNUMBER($G1158),$G1158+Settings!$C$7/24,IFERROR(DATEVALUE(LEFT($G1158,10))+TIMEVALUE(MID($G1158,12,8))+Settings!$C$7/24,"")))</f>
        <v/>
      </c>
      <c r="Q1158" s="39" t="str">
        <f t="shared" si="325"/>
        <v/>
      </c>
      <c r="R1158" s="39" t="str">
        <f t="shared" si="326"/>
        <v/>
      </c>
      <c r="S1158" s="107" t="str">
        <f t="shared" si="327"/>
        <v/>
      </c>
      <c r="T1158" s="39" t="str">
        <f>IF($C1158="","",IF(COUNTIF($C$2:$C1158,$C1158)=1,1,0))</f>
        <v/>
      </c>
      <c r="U1158" s="39" t="str">
        <f>IF($T1158=1,COUNTIF($T$2:$T1158,1),"")</f>
        <v/>
      </c>
      <c r="V1158" s="39" t="str">
        <f>IF($B1158="","",IF(COUNTIF($B$2:$B1158,$B1158)=1,1,0))</f>
        <v/>
      </c>
      <c r="W1158" s="39" t="str">
        <f>IF($V1158=1,COUNTIF($V$2:$V1158,1),"")</f>
        <v/>
      </c>
      <c r="X1158" s="39" t="str">
        <f>IF($A1158="","",IF(COUNTIF($A$2:$A1158,$A1158)=1,1,0))</f>
        <v/>
      </c>
      <c r="Y1158" s="39" t="str">
        <f>IF($X1158=1,COUNTIF($X$2:$X1158,1),"")</f>
        <v/>
      </c>
      <c r="Z1158" s="39">
        <f>IF(AND($E1158="timed",$N1158&gt;Settings!$C$8),1,0)</f>
        <v>0</v>
      </c>
      <c r="AA1158" s="39">
        <f t="shared" si="328"/>
        <v>0</v>
      </c>
      <c r="AB1158" s="39">
        <f t="shared" si="329"/>
        <v>0</v>
      </c>
      <c r="AC1158" s="39" t="str">
        <f t="shared" si="330"/>
        <v/>
      </c>
      <c r="AD1158" s="39" t="str">
        <f t="shared" si="331"/>
        <v/>
      </c>
      <c r="AE1158" s="39" t="str">
        <f t="shared" si="332"/>
        <v/>
      </c>
      <c r="AF1158" s="106" t="str">
        <f t="shared" si="333"/>
        <v/>
      </c>
      <c r="AG1158" s="39">
        <f t="shared" si="334"/>
        <v>0</v>
      </c>
      <c r="AH1158" s="39" t="str">
        <f t="shared" si="335"/>
        <v/>
      </c>
      <c r="AI1158" s="39">
        <f>IF(AND($E1158="timed",$N1158&gt;=Settings!$C$9),1,0)</f>
        <v>0</v>
      </c>
      <c r="AJ1158" s="39" t="str">
        <f>IF(OR($S1158="",Settings!$C$16=""),"",IF($S1158&lt;=Settings!$C$16,1,2))</f>
        <v/>
      </c>
      <c r="AK1158" s="39" t="str">
        <f>IF($C1158="","",IFERROR(IF(INDEX(Settings!$C$20:$C$59,MATCH($C1158,Settings!$B$20:$B$59,0))="",Settings!$C$10,INDEX(Settings!$C$20:$C$59,MATCH($C1158,Settings!$B$20:$B$59,0))),Settings!$C$10))</f>
        <v/>
      </c>
      <c r="AL1158" s="108">
        <f t="shared" si="336"/>
        <v>0</v>
      </c>
      <c r="AM1158" s="39" t="str">
        <f t="shared" si="337"/>
        <v/>
      </c>
      <c r="AN1158" s="39" t="str">
        <f t="shared" si="338"/>
        <v/>
      </c>
      <c r="AO1158" s="39" t="str">
        <f t="shared" si="339"/>
        <v/>
      </c>
      <c r="AP1158" s="39">
        <f t="shared" si="340"/>
        <v>0</v>
      </c>
      <c r="AQ1158" s="39">
        <f t="shared" si="341"/>
        <v>0</v>
      </c>
    </row>
    <row r="1159" spans="14:43" x14ac:dyDescent="0.25">
      <c r="N1159" s="105">
        <f t="shared" si="324"/>
        <v>0</v>
      </c>
      <c r="O1159" s="106" t="str">
        <f>IF($F1159="","",IF(ISNUMBER($F1159),$F1159+Settings!$C$7/24,IFERROR(DATEVALUE(LEFT($F1159,10))+TIMEVALUE(MID($F1159,12,8))+Settings!$C$7/24,"")))</f>
        <v/>
      </c>
      <c r="P1159" s="106" t="str">
        <f>IF($G1159="","",IF(ISNUMBER($G1159),$G1159+Settings!$C$7/24,IFERROR(DATEVALUE(LEFT($G1159,10))+TIMEVALUE(MID($G1159,12,8))+Settings!$C$7/24,"")))</f>
        <v/>
      </c>
      <c r="Q1159" s="39" t="str">
        <f t="shared" si="325"/>
        <v/>
      </c>
      <c r="R1159" s="39" t="str">
        <f t="shared" si="326"/>
        <v/>
      </c>
      <c r="S1159" s="107" t="str">
        <f t="shared" si="327"/>
        <v/>
      </c>
      <c r="T1159" s="39" t="str">
        <f>IF($C1159="","",IF(COUNTIF($C$2:$C1159,$C1159)=1,1,0))</f>
        <v/>
      </c>
      <c r="U1159" s="39" t="str">
        <f>IF($T1159=1,COUNTIF($T$2:$T1159,1),"")</f>
        <v/>
      </c>
      <c r="V1159" s="39" t="str">
        <f>IF($B1159="","",IF(COUNTIF($B$2:$B1159,$B1159)=1,1,0))</f>
        <v/>
      </c>
      <c r="W1159" s="39" t="str">
        <f>IF($V1159=1,COUNTIF($V$2:$V1159,1),"")</f>
        <v/>
      </c>
      <c r="X1159" s="39" t="str">
        <f>IF($A1159="","",IF(COUNTIF($A$2:$A1159,$A1159)=1,1,0))</f>
        <v/>
      </c>
      <c r="Y1159" s="39" t="str">
        <f>IF($X1159=1,COUNTIF($X$2:$X1159,1),"")</f>
        <v/>
      </c>
      <c r="Z1159" s="39">
        <f>IF(AND($E1159="timed",$N1159&gt;Settings!$C$8),1,0)</f>
        <v>0</v>
      </c>
      <c r="AA1159" s="39">
        <f t="shared" si="328"/>
        <v>0</v>
      </c>
      <c r="AB1159" s="39">
        <f t="shared" si="329"/>
        <v>0</v>
      </c>
      <c r="AC1159" s="39" t="str">
        <f t="shared" si="330"/>
        <v/>
      </c>
      <c r="AD1159" s="39" t="str">
        <f t="shared" si="331"/>
        <v/>
      </c>
      <c r="AE1159" s="39" t="str">
        <f t="shared" si="332"/>
        <v/>
      </c>
      <c r="AF1159" s="106" t="str">
        <f t="shared" si="333"/>
        <v/>
      </c>
      <c r="AG1159" s="39">
        <f t="shared" si="334"/>
        <v>0</v>
      </c>
      <c r="AH1159" s="39" t="str">
        <f t="shared" si="335"/>
        <v/>
      </c>
      <c r="AI1159" s="39">
        <f>IF(AND($E1159="timed",$N1159&gt;=Settings!$C$9),1,0)</f>
        <v>0</v>
      </c>
      <c r="AJ1159" s="39" t="str">
        <f>IF(OR($S1159="",Settings!$C$16=""),"",IF($S1159&lt;=Settings!$C$16,1,2))</f>
        <v/>
      </c>
      <c r="AK1159" s="39" t="str">
        <f>IF($C1159="","",IFERROR(IF(INDEX(Settings!$C$20:$C$59,MATCH($C1159,Settings!$B$20:$B$59,0))="",Settings!$C$10,INDEX(Settings!$C$20:$C$59,MATCH($C1159,Settings!$B$20:$B$59,0))),Settings!$C$10))</f>
        <v/>
      </c>
      <c r="AL1159" s="108">
        <f t="shared" si="336"/>
        <v>0</v>
      </c>
      <c r="AM1159" s="39" t="str">
        <f t="shared" si="337"/>
        <v/>
      </c>
      <c r="AN1159" s="39" t="str">
        <f t="shared" si="338"/>
        <v/>
      </c>
      <c r="AO1159" s="39" t="str">
        <f t="shared" si="339"/>
        <v/>
      </c>
      <c r="AP1159" s="39">
        <f t="shared" si="340"/>
        <v>0</v>
      </c>
      <c r="AQ1159" s="39">
        <f t="shared" si="341"/>
        <v>0</v>
      </c>
    </row>
    <row r="1160" spans="14:43" x14ac:dyDescent="0.25">
      <c r="N1160" s="105">
        <f t="shared" si="324"/>
        <v>0</v>
      </c>
      <c r="O1160" s="106" t="str">
        <f>IF($F1160="","",IF(ISNUMBER($F1160),$F1160+Settings!$C$7/24,IFERROR(DATEVALUE(LEFT($F1160,10))+TIMEVALUE(MID($F1160,12,8))+Settings!$C$7/24,"")))</f>
        <v/>
      </c>
      <c r="P1160" s="106" t="str">
        <f>IF($G1160="","",IF(ISNUMBER($G1160),$G1160+Settings!$C$7/24,IFERROR(DATEVALUE(LEFT($G1160,10))+TIMEVALUE(MID($G1160,12,8))+Settings!$C$7/24,"")))</f>
        <v/>
      </c>
      <c r="Q1160" s="39" t="str">
        <f t="shared" si="325"/>
        <v/>
      </c>
      <c r="R1160" s="39" t="str">
        <f t="shared" si="326"/>
        <v/>
      </c>
      <c r="S1160" s="107" t="str">
        <f t="shared" si="327"/>
        <v/>
      </c>
      <c r="T1160" s="39" t="str">
        <f>IF($C1160="","",IF(COUNTIF($C$2:$C1160,$C1160)=1,1,0))</f>
        <v/>
      </c>
      <c r="U1160" s="39" t="str">
        <f>IF($T1160=1,COUNTIF($T$2:$T1160,1),"")</f>
        <v/>
      </c>
      <c r="V1160" s="39" t="str">
        <f>IF($B1160="","",IF(COUNTIF($B$2:$B1160,$B1160)=1,1,0))</f>
        <v/>
      </c>
      <c r="W1160" s="39" t="str">
        <f>IF($V1160=1,COUNTIF($V$2:$V1160,1),"")</f>
        <v/>
      </c>
      <c r="X1160" s="39" t="str">
        <f>IF($A1160="","",IF(COUNTIF($A$2:$A1160,$A1160)=1,1,0))</f>
        <v/>
      </c>
      <c r="Y1160" s="39" t="str">
        <f>IF($X1160=1,COUNTIF($X$2:$X1160,1),"")</f>
        <v/>
      </c>
      <c r="Z1160" s="39">
        <f>IF(AND($E1160="timed",$N1160&gt;Settings!$C$8),1,0)</f>
        <v>0</v>
      </c>
      <c r="AA1160" s="39">
        <f t="shared" si="328"/>
        <v>0</v>
      </c>
      <c r="AB1160" s="39">
        <f t="shared" si="329"/>
        <v>0</v>
      </c>
      <c r="AC1160" s="39" t="str">
        <f t="shared" si="330"/>
        <v/>
      </c>
      <c r="AD1160" s="39" t="str">
        <f t="shared" si="331"/>
        <v/>
      </c>
      <c r="AE1160" s="39" t="str">
        <f t="shared" si="332"/>
        <v/>
      </c>
      <c r="AF1160" s="106" t="str">
        <f t="shared" si="333"/>
        <v/>
      </c>
      <c r="AG1160" s="39">
        <f t="shared" si="334"/>
        <v>0</v>
      </c>
      <c r="AH1160" s="39" t="str">
        <f t="shared" si="335"/>
        <v/>
      </c>
      <c r="AI1160" s="39">
        <f>IF(AND($E1160="timed",$N1160&gt;=Settings!$C$9),1,0)</f>
        <v>0</v>
      </c>
      <c r="AJ1160" s="39" t="str">
        <f>IF(OR($S1160="",Settings!$C$16=""),"",IF($S1160&lt;=Settings!$C$16,1,2))</f>
        <v/>
      </c>
      <c r="AK1160" s="39" t="str">
        <f>IF($C1160="","",IFERROR(IF(INDEX(Settings!$C$20:$C$59,MATCH($C1160,Settings!$B$20:$B$59,0))="",Settings!$C$10,INDEX(Settings!$C$20:$C$59,MATCH($C1160,Settings!$B$20:$B$59,0))),Settings!$C$10))</f>
        <v/>
      </c>
      <c r="AL1160" s="108">
        <f t="shared" si="336"/>
        <v>0</v>
      </c>
      <c r="AM1160" s="39" t="str">
        <f t="shared" si="337"/>
        <v/>
      </c>
      <c r="AN1160" s="39" t="str">
        <f t="shared" si="338"/>
        <v/>
      </c>
      <c r="AO1160" s="39" t="str">
        <f t="shared" si="339"/>
        <v/>
      </c>
      <c r="AP1160" s="39">
        <f t="shared" si="340"/>
        <v>0</v>
      </c>
      <c r="AQ1160" s="39">
        <f t="shared" si="341"/>
        <v>0</v>
      </c>
    </row>
    <row r="1161" spans="14:43" x14ac:dyDescent="0.25">
      <c r="N1161" s="105">
        <f t="shared" si="324"/>
        <v>0</v>
      </c>
      <c r="O1161" s="106" t="str">
        <f>IF($F1161="","",IF(ISNUMBER($F1161),$F1161+Settings!$C$7/24,IFERROR(DATEVALUE(LEFT($F1161,10))+TIMEVALUE(MID($F1161,12,8))+Settings!$C$7/24,"")))</f>
        <v/>
      </c>
      <c r="P1161" s="106" t="str">
        <f>IF($G1161="","",IF(ISNUMBER($G1161),$G1161+Settings!$C$7/24,IFERROR(DATEVALUE(LEFT($G1161,10))+TIMEVALUE(MID($G1161,12,8))+Settings!$C$7/24,"")))</f>
        <v/>
      </c>
      <c r="Q1161" s="39" t="str">
        <f t="shared" si="325"/>
        <v/>
      </c>
      <c r="R1161" s="39" t="str">
        <f t="shared" si="326"/>
        <v/>
      </c>
      <c r="S1161" s="107" t="str">
        <f t="shared" si="327"/>
        <v/>
      </c>
      <c r="T1161" s="39" t="str">
        <f>IF($C1161="","",IF(COUNTIF($C$2:$C1161,$C1161)=1,1,0))</f>
        <v/>
      </c>
      <c r="U1161" s="39" t="str">
        <f>IF($T1161=1,COUNTIF($T$2:$T1161,1),"")</f>
        <v/>
      </c>
      <c r="V1161" s="39" t="str">
        <f>IF($B1161="","",IF(COUNTIF($B$2:$B1161,$B1161)=1,1,0))</f>
        <v/>
      </c>
      <c r="W1161" s="39" t="str">
        <f>IF($V1161=1,COUNTIF($V$2:$V1161,1),"")</f>
        <v/>
      </c>
      <c r="X1161" s="39" t="str">
        <f>IF($A1161="","",IF(COUNTIF($A$2:$A1161,$A1161)=1,1,0))</f>
        <v/>
      </c>
      <c r="Y1161" s="39" t="str">
        <f>IF($X1161=1,COUNTIF($X$2:$X1161,1),"")</f>
        <v/>
      </c>
      <c r="Z1161" s="39">
        <f>IF(AND($E1161="timed",$N1161&gt;Settings!$C$8),1,0)</f>
        <v>0</v>
      </c>
      <c r="AA1161" s="39">
        <f t="shared" si="328"/>
        <v>0</v>
      </c>
      <c r="AB1161" s="39">
        <f t="shared" si="329"/>
        <v>0</v>
      </c>
      <c r="AC1161" s="39" t="str">
        <f t="shared" si="330"/>
        <v/>
      </c>
      <c r="AD1161" s="39" t="str">
        <f t="shared" si="331"/>
        <v/>
      </c>
      <c r="AE1161" s="39" t="str">
        <f t="shared" si="332"/>
        <v/>
      </c>
      <c r="AF1161" s="106" t="str">
        <f t="shared" si="333"/>
        <v/>
      </c>
      <c r="AG1161" s="39">
        <f t="shared" si="334"/>
        <v>0</v>
      </c>
      <c r="AH1161" s="39" t="str">
        <f t="shared" si="335"/>
        <v/>
      </c>
      <c r="AI1161" s="39">
        <f>IF(AND($E1161="timed",$N1161&gt;=Settings!$C$9),1,0)</f>
        <v>0</v>
      </c>
      <c r="AJ1161" s="39" t="str">
        <f>IF(OR($S1161="",Settings!$C$16=""),"",IF($S1161&lt;=Settings!$C$16,1,2))</f>
        <v/>
      </c>
      <c r="AK1161" s="39" t="str">
        <f>IF($C1161="","",IFERROR(IF(INDEX(Settings!$C$20:$C$59,MATCH($C1161,Settings!$B$20:$B$59,0))="",Settings!$C$10,INDEX(Settings!$C$20:$C$59,MATCH($C1161,Settings!$B$20:$B$59,0))),Settings!$C$10))</f>
        <v/>
      </c>
      <c r="AL1161" s="108">
        <f t="shared" si="336"/>
        <v>0</v>
      </c>
      <c r="AM1161" s="39" t="str">
        <f t="shared" si="337"/>
        <v/>
      </c>
      <c r="AN1161" s="39" t="str">
        <f t="shared" si="338"/>
        <v/>
      </c>
      <c r="AO1161" s="39" t="str">
        <f t="shared" si="339"/>
        <v/>
      </c>
      <c r="AP1161" s="39">
        <f t="shared" si="340"/>
        <v>0</v>
      </c>
      <c r="AQ1161" s="39">
        <f t="shared" si="341"/>
        <v>0</v>
      </c>
    </row>
    <row r="1162" spans="14:43" x14ac:dyDescent="0.25">
      <c r="N1162" s="105">
        <f t="shared" si="324"/>
        <v>0</v>
      </c>
      <c r="O1162" s="106" t="str">
        <f>IF($F1162="","",IF(ISNUMBER($F1162),$F1162+Settings!$C$7/24,IFERROR(DATEVALUE(LEFT($F1162,10))+TIMEVALUE(MID($F1162,12,8))+Settings!$C$7/24,"")))</f>
        <v/>
      </c>
      <c r="P1162" s="106" t="str">
        <f>IF($G1162="","",IF(ISNUMBER($G1162),$G1162+Settings!$C$7/24,IFERROR(DATEVALUE(LEFT($G1162,10))+TIMEVALUE(MID($G1162,12,8))+Settings!$C$7/24,"")))</f>
        <v/>
      </c>
      <c r="Q1162" s="39" t="str">
        <f t="shared" si="325"/>
        <v/>
      </c>
      <c r="R1162" s="39" t="str">
        <f t="shared" si="326"/>
        <v/>
      </c>
      <c r="S1162" s="107" t="str">
        <f t="shared" si="327"/>
        <v/>
      </c>
      <c r="T1162" s="39" t="str">
        <f>IF($C1162="","",IF(COUNTIF($C$2:$C1162,$C1162)=1,1,0))</f>
        <v/>
      </c>
      <c r="U1162" s="39" t="str">
        <f>IF($T1162=1,COUNTIF($T$2:$T1162,1),"")</f>
        <v/>
      </c>
      <c r="V1162" s="39" t="str">
        <f>IF($B1162="","",IF(COUNTIF($B$2:$B1162,$B1162)=1,1,0))</f>
        <v/>
      </c>
      <c r="W1162" s="39" t="str">
        <f>IF($V1162=1,COUNTIF($V$2:$V1162,1),"")</f>
        <v/>
      </c>
      <c r="X1162" s="39" t="str">
        <f>IF($A1162="","",IF(COUNTIF($A$2:$A1162,$A1162)=1,1,0))</f>
        <v/>
      </c>
      <c r="Y1162" s="39" t="str">
        <f>IF($X1162=1,COUNTIF($X$2:$X1162,1),"")</f>
        <v/>
      </c>
      <c r="Z1162" s="39">
        <f>IF(AND($E1162="timed",$N1162&gt;Settings!$C$8),1,0)</f>
        <v>0</v>
      </c>
      <c r="AA1162" s="39">
        <f t="shared" si="328"/>
        <v>0</v>
      </c>
      <c r="AB1162" s="39">
        <f t="shared" si="329"/>
        <v>0</v>
      </c>
      <c r="AC1162" s="39" t="str">
        <f t="shared" si="330"/>
        <v/>
      </c>
      <c r="AD1162" s="39" t="str">
        <f t="shared" si="331"/>
        <v/>
      </c>
      <c r="AE1162" s="39" t="str">
        <f t="shared" si="332"/>
        <v/>
      </c>
      <c r="AF1162" s="106" t="str">
        <f t="shared" si="333"/>
        <v/>
      </c>
      <c r="AG1162" s="39">
        <f t="shared" si="334"/>
        <v>0</v>
      </c>
      <c r="AH1162" s="39" t="str">
        <f t="shared" si="335"/>
        <v/>
      </c>
      <c r="AI1162" s="39">
        <f>IF(AND($E1162="timed",$N1162&gt;=Settings!$C$9),1,0)</f>
        <v>0</v>
      </c>
      <c r="AJ1162" s="39" t="str">
        <f>IF(OR($S1162="",Settings!$C$16=""),"",IF($S1162&lt;=Settings!$C$16,1,2))</f>
        <v/>
      </c>
      <c r="AK1162" s="39" t="str">
        <f>IF($C1162="","",IFERROR(IF(INDEX(Settings!$C$20:$C$59,MATCH($C1162,Settings!$B$20:$B$59,0))="",Settings!$C$10,INDEX(Settings!$C$20:$C$59,MATCH($C1162,Settings!$B$20:$B$59,0))),Settings!$C$10))</f>
        <v/>
      </c>
      <c r="AL1162" s="108">
        <f t="shared" si="336"/>
        <v>0</v>
      </c>
      <c r="AM1162" s="39" t="str">
        <f t="shared" si="337"/>
        <v/>
      </c>
      <c r="AN1162" s="39" t="str">
        <f t="shared" si="338"/>
        <v/>
      </c>
      <c r="AO1162" s="39" t="str">
        <f t="shared" si="339"/>
        <v/>
      </c>
      <c r="AP1162" s="39">
        <f t="shared" si="340"/>
        <v>0</v>
      </c>
      <c r="AQ1162" s="39">
        <f t="shared" si="341"/>
        <v>0</v>
      </c>
    </row>
    <row r="1163" spans="14:43" x14ac:dyDescent="0.25">
      <c r="N1163" s="105">
        <f t="shared" si="324"/>
        <v>0</v>
      </c>
      <c r="O1163" s="106" t="str">
        <f>IF($F1163="","",IF(ISNUMBER($F1163),$F1163+Settings!$C$7/24,IFERROR(DATEVALUE(LEFT($F1163,10))+TIMEVALUE(MID($F1163,12,8))+Settings!$C$7/24,"")))</f>
        <v/>
      </c>
      <c r="P1163" s="106" t="str">
        <f>IF($G1163="","",IF(ISNUMBER($G1163),$G1163+Settings!$C$7/24,IFERROR(DATEVALUE(LEFT($G1163,10))+TIMEVALUE(MID($G1163,12,8))+Settings!$C$7/24,"")))</f>
        <v/>
      </c>
      <c r="Q1163" s="39" t="str">
        <f t="shared" si="325"/>
        <v/>
      </c>
      <c r="R1163" s="39" t="str">
        <f t="shared" si="326"/>
        <v/>
      </c>
      <c r="S1163" s="107" t="str">
        <f t="shared" si="327"/>
        <v/>
      </c>
      <c r="T1163" s="39" t="str">
        <f>IF($C1163="","",IF(COUNTIF($C$2:$C1163,$C1163)=1,1,0))</f>
        <v/>
      </c>
      <c r="U1163" s="39" t="str">
        <f>IF($T1163=1,COUNTIF($T$2:$T1163,1),"")</f>
        <v/>
      </c>
      <c r="V1163" s="39" t="str">
        <f>IF($B1163="","",IF(COUNTIF($B$2:$B1163,$B1163)=1,1,0))</f>
        <v/>
      </c>
      <c r="W1163" s="39" t="str">
        <f>IF($V1163=1,COUNTIF($V$2:$V1163,1),"")</f>
        <v/>
      </c>
      <c r="X1163" s="39" t="str">
        <f>IF($A1163="","",IF(COUNTIF($A$2:$A1163,$A1163)=1,1,0))</f>
        <v/>
      </c>
      <c r="Y1163" s="39" t="str">
        <f>IF($X1163=1,COUNTIF($X$2:$X1163,1),"")</f>
        <v/>
      </c>
      <c r="Z1163" s="39">
        <f>IF(AND($E1163="timed",$N1163&gt;Settings!$C$8),1,0)</f>
        <v>0</v>
      </c>
      <c r="AA1163" s="39">
        <f t="shared" si="328"/>
        <v>0</v>
      </c>
      <c r="AB1163" s="39">
        <f t="shared" si="329"/>
        <v>0</v>
      </c>
      <c r="AC1163" s="39" t="str">
        <f t="shared" si="330"/>
        <v/>
      </c>
      <c r="AD1163" s="39" t="str">
        <f t="shared" si="331"/>
        <v/>
      </c>
      <c r="AE1163" s="39" t="str">
        <f t="shared" si="332"/>
        <v/>
      </c>
      <c r="AF1163" s="106" t="str">
        <f t="shared" si="333"/>
        <v/>
      </c>
      <c r="AG1163" s="39">
        <f t="shared" si="334"/>
        <v>0</v>
      </c>
      <c r="AH1163" s="39" t="str">
        <f t="shared" si="335"/>
        <v/>
      </c>
      <c r="AI1163" s="39">
        <f>IF(AND($E1163="timed",$N1163&gt;=Settings!$C$9),1,0)</f>
        <v>0</v>
      </c>
      <c r="AJ1163" s="39" t="str">
        <f>IF(OR($S1163="",Settings!$C$16=""),"",IF($S1163&lt;=Settings!$C$16,1,2))</f>
        <v/>
      </c>
      <c r="AK1163" s="39" t="str">
        <f>IF($C1163="","",IFERROR(IF(INDEX(Settings!$C$20:$C$59,MATCH($C1163,Settings!$B$20:$B$59,0))="",Settings!$C$10,INDEX(Settings!$C$20:$C$59,MATCH($C1163,Settings!$B$20:$B$59,0))),Settings!$C$10))</f>
        <v/>
      </c>
      <c r="AL1163" s="108">
        <f t="shared" si="336"/>
        <v>0</v>
      </c>
      <c r="AM1163" s="39" t="str">
        <f t="shared" si="337"/>
        <v/>
      </c>
      <c r="AN1163" s="39" t="str">
        <f t="shared" si="338"/>
        <v/>
      </c>
      <c r="AO1163" s="39" t="str">
        <f t="shared" si="339"/>
        <v/>
      </c>
      <c r="AP1163" s="39">
        <f t="shared" si="340"/>
        <v>0</v>
      </c>
      <c r="AQ1163" s="39">
        <f t="shared" si="341"/>
        <v>0</v>
      </c>
    </row>
    <row r="1164" spans="14:43" x14ac:dyDescent="0.25">
      <c r="N1164" s="105">
        <f t="shared" si="324"/>
        <v>0</v>
      </c>
      <c r="O1164" s="106" t="str">
        <f>IF($F1164="","",IF(ISNUMBER($F1164),$F1164+Settings!$C$7/24,IFERROR(DATEVALUE(LEFT($F1164,10))+TIMEVALUE(MID($F1164,12,8))+Settings!$C$7/24,"")))</f>
        <v/>
      </c>
      <c r="P1164" s="106" t="str">
        <f>IF($G1164="","",IF(ISNUMBER($G1164),$G1164+Settings!$C$7/24,IFERROR(DATEVALUE(LEFT($G1164,10))+TIMEVALUE(MID($G1164,12,8))+Settings!$C$7/24,"")))</f>
        <v/>
      </c>
      <c r="Q1164" s="39" t="str">
        <f t="shared" si="325"/>
        <v/>
      </c>
      <c r="R1164" s="39" t="str">
        <f t="shared" si="326"/>
        <v/>
      </c>
      <c r="S1164" s="107" t="str">
        <f t="shared" si="327"/>
        <v/>
      </c>
      <c r="T1164" s="39" t="str">
        <f>IF($C1164="","",IF(COUNTIF($C$2:$C1164,$C1164)=1,1,0))</f>
        <v/>
      </c>
      <c r="U1164" s="39" t="str">
        <f>IF($T1164=1,COUNTIF($T$2:$T1164,1),"")</f>
        <v/>
      </c>
      <c r="V1164" s="39" t="str">
        <f>IF($B1164="","",IF(COUNTIF($B$2:$B1164,$B1164)=1,1,0))</f>
        <v/>
      </c>
      <c r="W1164" s="39" t="str">
        <f>IF($V1164=1,COUNTIF($V$2:$V1164,1),"")</f>
        <v/>
      </c>
      <c r="X1164" s="39" t="str">
        <f>IF($A1164="","",IF(COUNTIF($A$2:$A1164,$A1164)=1,1,0))</f>
        <v/>
      </c>
      <c r="Y1164" s="39" t="str">
        <f>IF($X1164=1,COUNTIF($X$2:$X1164,1),"")</f>
        <v/>
      </c>
      <c r="Z1164" s="39">
        <f>IF(AND($E1164="timed",$N1164&gt;Settings!$C$8),1,0)</f>
        <v>0</v>
      </c>
      <c r="AA1164" s="39">
        <f t="shared" si="328"/>
        <v>0</v>
      </c>
      <c r="AB1164" s="39">
        <f t="shared" si="329"/>
        <v>0</v>
      </c>
      <c r="AC1164" s="39" t="str">
        <f t="shared" si="330"/>
        <v/>
      </c>
      <c r="AD1164" s="39" t="str">
        <f t="shared" si="331"/>
        <v/>
      </c>
      <c r="AE1164" s="39" t="str">
        <f t="shared" si="332"/>
        <v/>
      </c>
      <c r="AF1164" s="106" t="str">
        <f t="shared" si="333"/>
        <v/>
      </c>
      <c r="AG1164" s="39">
        <f t="shared" si="334"/>
        <v>0</v>
      </c>
      <c r="AH1164" s="39" t="str">
        <f t="shared" si="335"/>
        <v/>
      </c>
      <c r="AI1164" s="39">
        <f>IF(AND($E1164="timed",$N1164&gt;=Settings!$C$9),1,0)</f>
        <v>0</v>
      </c>
      <c r="AJ1164" s="39" t="str">
        <f>IF(OR($S1164="",Settings!$C$16=""),"",IF($S1164&lt;=Settings!$C$16,1,2))</f>
        <v/>
      </c>
      <c r="AK1164" s="39" t="str">
        <f>IF($C1164="","",IFERROR(IF(INDEX(Settings!$C$20:$C$59,MATCH($C1164,Settings!$B$20:$B$59,0))="",Settings!$C$10,INDEX(Settings!$C$20:$C$59,MATCH($C1164,Settings!$B$20:$B$59,0))),Settings!$C$10))</f>
        <v/>
      </c>
      <c r="AL1164" s="108">
        <f t="shared" si="336"/>
        <v>0</v>
      </c>
      <c r="AM1164" s="39" t="str">
        <f t="shared" si="337"/>
        <v/>
      </c>
      <c r="AN1164" s="39" t="str">
        <f t="shared" si="338"/>
        <v/>
      </c>
      <c r="AO1164" s="39" t="str">
        <f t="shared" si="339"/>
        <v/>
      </c>
      <c r="AP1164" s="39">
        <f t="shared" si="340"/>
        <v>0</v>
      </c>
      <c r="AQ1164" s="39">
        <f t="shared" si="341"/>
        <v>0</v>
      </c>
    </row>
    <row r="1165" spans="14:43" x14ac:dyDescent="0.25">
      <c r="N1165" s="105">
        <f t="shared" si="324"/>
        <v>0</v>
      </c>
      <c r="O1165" s="106" t="str">
        <f>IF($F1165="","",IF(ISNUMBER($F1165),$F1165+Settings!$C$7/24,IFERROR(DATEVALUE(LEFT($F1165,10))+TIMEVALUE(MID($F1165,12,8))+Settings!$C$7/24,"")))</f>
        <v/>
      </c>
      <c r="P1165" s="106" t="str">
        <f>IF($G1165="","",IF(ISNUMBER($G1165),$G1165+Settings!$C$7/24,IFERROR(DATEVALUE(LEFT($G1165,10))+TIMEVALUE(MID($G1165,12,8))+Settings!$C$7/24,"")))</f>
        <v/>
      </c>
      <c r="Q1165" s="39" t="str">
        <f t="shared" si="325"/>
        <v/>
      </c>
      <c r="R1165" s="39" t="str">
        <f t="shared" si="326"/>
        <v/>
      </c>
      <c r="S1165" s="107" t="str">
        <f t="shared" si="327"/>
        <v/>
      </c>
      <c r="T1165" s="39" t="str">
        <f>IF($C1165="","",IF(COUNTIF($C$2:$C1165,$C1165)=1,1,0))</f>
        <v/>
      </c>
      <c r="U1165" s="39" t="str">
        <f>IF($T1165=1,COUNTIF($T$2:$T1165,1),"")</f>
        <v/>
      </c>
      <c r="V1165" s="39" t="str">
        <f>IF($B1165="","",IF(COUNTIF($B$2:$B1165,$B1165)=1,1,0))</f>
        <v/>
      </c>
      <c r="W1165" s="39" t="str">
        <f>IF($V1165=1,COUNTIF($V$2:$V1165,1),"")</f>
        <v/>
      </c>
      <c r="X1165" s="39" t="str">
        <f>IF($A1165="","",IF(COUNTIF($A$2:$A1165,$A1165)=1,1,0))</f>
        <v/>
      </c>
      <c r="Y1165" s="39" t="str">
        <f>IF($X1165=1,COUNTIF($X$2:$X1165,1),"")</f>
        <v/>
      </c>
      <c r="Z1165" s="39">
        <f>IF(AND($E1165="timed",$N1165&gt;Settings!$C$8),1,0)</f>
        <v>0</v>
      </c>
      <c r="AA1165" s="39">
        <f t="shared" si="328"/>
        <v>0</v>
      </c>
      <c r="AB1165" s="39">
        <f t="shared" si="329"/>
        <v>0</v>
      </c>
      <c r="AC1165" s="39" t="str">
        <f t="shared" si="330"/>
        <v/>
      </c>
      <c r="AD1165" s="39" t="str">
        <f t="shared" si="331"/>
        <v/>
      </c>
      <c r="AE1165" s="39" t="str">
        <f t="shared" si="332"/>
        <v/>
      </c>
      <c r="AF1165" s="106" t="str">
        <f t="shared" si="333"/>
        <v/>
      </c>
      <c r="AG1165" s="39">
        <f t="shared" si="334"/>
        <v>0</v>
      </c>
      <c r="AH1165" s="39" t="str">
        <f t="shared" si="335"/>
        <v/>
      </c>
      <c r="AI1165" s="39">
        <f>IF(AND($E1165="timed",$N1165&gt;=Settings!$C$9),1,0)</f>
        <v>0</v>
      </c>
      <c r="AJ1165" s="39" t="str">
        <f>IF(OR($S1165="",Settings!$C$16=""),"",IF($S1165&lt;=Settings!$C$16,1,2))</f>
        <v/>
      </c>
      <c r="AK1165" s="39" t="str">
        <f>IF($C1165="","",IFERROR(IF(INDEX(Settings!$C$20:$C$59,MATCH($C1165,Settings!$B$20:$B$59,0))="",Settings!$C$10,INDEX(Settings!$C$20:$C$59,MATCH($C1165,Settings!$B$20:$B$59,0))),Settings!$C$10))</f>
        <v/>
      </c>
      <c r="AL1165" s="108">
        <f t="shared" si="336"/>
        <v>0</v>
      </c>
      <c r="AM1165" s="39" t="str">
        <f t="shared" si="337"/>
        <v/>
      </c>
      <c r="AN1165" s="39" t="str">
        <f t="shared" si="338"/>
        <v/>
      </c>
      <c r="AO1165" s="39" t="str">
        <f t="shared" si="339"/>
        <v/>
      </c>
      <c r="AP1165" s="39">
        <f t="shared" si="340"/>
        <v>0</v>
      </c>
      <c r="AQ1165" s="39">
        <f t="shared" si="341"/>
        <v>0</v>
      </c>
    </row>
    <row r="1166" spans="14:43" x14ac:dyDescent="0.25">
      <c r="N1166" s="105">
        <f t="shared" si="324"/>
        <v>0</v>
      </c>
      <c r="O1166" s="106" t="str">
        <f>IF($F1166="","",IF(ISNUMBER($F1166),$F1166+Settings!$C$7/24,IFERROR(DATEVALUE(LEFT($F1166,10))+TIMEVALUE(MID($F1166,12,8))+Settings!$C$7/24,"")))</f>
        <v/>
      </c>
      <c r="P1166" s="106" t="str">
        <f>IF($G1166="","",IF(ISNUMBER($G1166),$G1166+Settings!$C$7/24,IFERROR(DATEVALUE(LEFT($G1166,10))+TIMEVALUE(MID($G1166,12,8))+Settings!$C$7/24,"")))</f>
        <v/>
      </c>
      <c r="Q1166" s="39" t="str">
        <f t="shared" si="325"/>
        <v/>
      </c>
      <c r="R1166" s="39" t="str">
        <f t="shared" si="326"/>
        <v/>
      </c>
      <c r="S1166" s="107" t="str">
        <f t="shared" si="327"/>
        <v/>
      </c>
      <c r="T1166" s="39" t="str">
        <f>IF($C1166="","",IF(COUNTIF($C$2:$C1166,$C1166)=1,1,0))</f>
        <v/>
      </c>
      <c r="U1166" s="39" t="str">
        <f>IF($T1166=1,COUNTIF($T$2:$T1166,1),"")</f>
        <v/>
      </c>
      <c r="V1166" s="39" t="str">
        <f>IF($B1166="","",IF(COUNTIF($B$2:$B1166,$B1166)=1,1,0))</f>
        <v/>
      </c>
      <c r="W1166" s="39" t="str">
        <f>IF($V1166=1,COUNTIF($V$2:$V1166,1),"")</f>
        <v/>
      </c>
      <c r="X1166" s="39" t="str">
        <f>IF($A1166="","",IF(COUNTIF($A$2:$A1166,$A1166)=1,1,0))</f>
        <v/>
      </c>
      <c r="Y1166" s="39" t="str">
        <f>IF($X1166=1,COUNTIF($X$2:$X1166,1),"")</f>
        <v/>
      </c>
      <c r="Z1166" s="39">
        <f>IF(AND($E1166="timed",$N1166&gt;Settings!$C$8),1,0)</f>
        <v>0</v>
      </c>
      <c r="AA1166" s="39">
        <f t="shared" si="328"/>
        <v>0</v>
      </c>
      <c r="AB1166" s="39">
        <f t="shared" si="329"/>
        <v>0</v>
      </c>
      <c r="AC1166" s="39" t="str">
        <f t="shared" si="330"/>
        <v/>
      </c>
      <c r="AD1166" s="39" t="str">
        <f t="shared" si="331"/>
        <v/>
      </c>
      <c r="AE1166" s="39" t="str">
        <f t="shared" si="332"/>
        <v/>
      </c>
      <c r="AF1166" s="106" t="str">
        <f t="shared" si="333"/>
        <v/>
      </c>
      <c r="AG1166" s="39">
        <f t="shared" si="334"/>
        <v>0</v>
      </c>
      <c r="AH1166" s="39" t="str">
        <f t="shared" si="335"/>
        <v/>
      </c>
      <c r="AI1166" s="39">
        <f>IF(AND($E1166="timed",$N1166&gt;=Settings!$C$9),1,0)</f>
        <v>0</v>
      </c>
      <c r="AJ1166" s="39" t="str">
        <f>IF(OR($S1166="",Settings!$C$16=""),"",IF($S1166&lt;=Settings!$C$16,1,2))</f>
        <v/>
      </c>
      <c r="AK1166" s="39" t="str">
        <f>IF($C1166="","",IFERROR(IF(INDEX(Settings!$C$20:$C$59,MATCH($C1166,Settings!$B$20:$B$59,0))="",Settings!$C$10,INDEX(Settings!$C$20:$C$59,MATCH($C1166,Settings!$B$20:$B$59,0))),Settings!$C$10))</f>
        <v/>
      </c>
      <c r="AL1166" s="108">
        <f t="shared" si="336"/>
        <v>0</v>
      </c>
      <c r="AM1166" s="39" t="str">
        <f t="shared" si="337"/>
        <v/>
      </c>
      <c r="AN1166" s="39" t="str">
        <f t="shared" si="338"/>
        <v/>
      </c>
      <c r="AO1166" s="39" t="str">
        <f t="shared" si="339"/>
        <v/>
      </c>
      <c r="AP1166" s="39">
        <f t="shared" si="340"/>
        <v>0</v>
      </c>
      <c r="AQ1166" s="39">
        <f t="shared" si="341"/>
        <v>0</v>
      </c>
    </row>
    <row r="1167" spans="14:43" x14ac:dyDescent="0.25">
      <c r="N1167" s="105">
        <f t="shared" si="324"/>
        <v>0</v>
      </c>
      <c r="O1167" s="106" t="str">
        <f>IF($F1167="","",IF(ISNUMBER($F1167),$F1167+Settings!$C$7/24,IFERROR(DATEVALUE(LEFT($F1167,10))+TIMEVALUE(MID($F1167,12,8))+Settings!$C$7/24,"")))</f>
        <v/>
      </c>
      <c r="P1167" s="106" t="str">
        <f>IF($G1167="","",IF(ISNUMBER($G1167),$G1167+Settings!$C$7/24,IFERROR(DATEVALUE(LEFT($G1167,10))+TIMEVALUE(MID($G1167,12,8))+Settings!$C$7/24,"")))</f>
        <v/>
      </c>
      <c r="Q1167" s="39" t="str">
        <f t="shared" si="325"/>
        <v/>
      </c>
      <c r="R1167" s="39" t="str">
        <f t="shared" si="326"/>
        <v/>
      </c>
      <c r="S1167" s="107" t="str">
        <f t="shared" si="327"/>
        <v/>
      </c>
      <c r="T1167" s="39" t="str">
        <f>IF($C1167="","",IF(COUNTIF($C$2:$C1167,$C1167)=1,1,0))</f>
        <v/>
      </c>
      <c r="U1167" s="39" t="str">
        <f>IF($T1167=1,COUNTIF($T$2:$T1167,1),"")</f>
        <v/>
      </c>
      <c r="V1167" s="39" t="str">
        <f>IF($B1167="","",IF(COUNTIF($B$2:$B1167,$B1167)=1,1,0))</f>
        <v/>
      </c>
      <c r="W1167" s="39" t="str">
        <f>IF($V1167=1,COUNTIF($V$2:$V1167,1),"")</f>
        <v/>
      </c>
      <c r="X1167" s="39" t="str">
        <f>IF($A1167="","",IF(COUNTIF($A$2:$A1167,$A1167)=1,1,0))</f>
        <v/>
      </c>
      <c r="Y1167" s="39" t="str">
        <f>IF($X1167=1,COUNTIF($X$2:$X1167,1),"")</f>
        <v/>
      </c>
      <c r="Z1167" s="39">
        <f>IF(AND($E1167="timed",$N1167&gt;Settings!$C$8),1,0)</f>
        <v>0</v>
      </c>
      <c r="AA1167" s="39">
        <f t="shared" si="328"/>
        <v>0</v>
      </c>
      <c r="AB1167" s="39">
        <f t="shared" si="329"/>
        <v>0</v>
      </c>
      <c r="AC1167" s="39" t="str">
        <f t="shared" si="330"/>
        <v/>
      </c>
      <c r="AD1167" s="39" t="str">
        <f t="shared" si="331"/>
        <v/>
      </c>
      <c r="AE1167" s="39" t="str">
        <f t="shared" si="332"/>
        <v/>
      </c>
      <c r="AF1167" s="106" t="str">
        <f t="shared" si="333"/>
        <v/>
      </c>
      <c r="AG1167" s="39">
        <f t="shared" si="334"/>
        <v>0</v>
      </c>
      <c r="AH1167" s="39" t="str">
        <f t="shared" si="335"/>
        <v/>
      </c>
      <c r="AI1167" s="39">
        <f>IF(AND($E1167="timed",$N1167&gt;=Settings!$C$9),1,0)</f>
        <v>0</v>
      </c>
      <c r="AJ1167" s="39" t="str">
        <f>IF(OR($S1167="",Settings!$C$16=""),"",IF($S1167&lt;=Settings!$C$16,1,2))</f>
        <v/>
      </c>
      <c r="AK1167" s="39" t="str">
        <f>IF($C1167="","",IFERROR(IF(INDEX(Settings!$C$20:$C$59,MATCH($C1167,Settings!$B$20:$B$59,0))="",Settings!$C$10,INDEX(Settings!$C$20:$C$59,MATCH($C1167,Settings!$B$20:$B$59,0))),Settings!$C$10))</f>
        <v/>
      </c>
      <c r="AL1167" s="108">
        <f t="shared" si="336"/>
        <v>0</v>
      </c>
      <c r="AM1167" s="39" t="str">
        <f t="shared" si="337"/>
        <v/>
      </c>
      <c r="AN1167" s="39" t="str">
        <f t="shared" si="338"/>
        <v/>
      </c>
      <c r="AO1167" s="39" t="str">
        <f t="shared" si="339"/>
        <v/>
      </c>
      <c r="AP1167" s="39">
        <f t="shared" si="340"/>
        <v>0</v>
      </c>
      <c r="AQ1167" s="39">
        <f t="shared" si="341"/>
        <v>0</v>
      </c>
    </row>
    <row r="1168" spans="14:43" x14ac:dyDescent="0.25">
      <c r="N1168" s="105">
        <f t="shared" si="324"/>
        <v>0</v>
      </c>
      <c r="O1168" s="106" t="str">
        <f>IF($F1168="","",IF(ISNUMBER($F1168),$F1168+Settings!$C$7/24,IFERROR(DATEVALUE(LEFT($F1168,10))+TIMEVALUE(MID($F1168,12,8))+Settings!$C$7/24,"")))</f>
        <v/>
      </c>
      <c r="P1168" s="106" t="str">
        <f>IF($G1168="","",IF(ISNUMBER($G1168),$G1168+Settings!$C$7/24,IFERROR(DATEVALUE(LEFT($G1168,10))+TIMEVALUE(MID($G1168,12,8))+Settings!$C$7/24,"")))</f>
        <v/>
      </c>
      <c r="Q1168" s="39" t="str">
        <f t="shared" si="325"/>
        <v/>
      </c>
      <c r="R1168" s="39" t="str">
        <f t="shared" si="326"/>
        <v/>
      </c>
      <c r="S1168" s="107" t="str">
        <f t="shared" si="327"/>
        <v/>
      </c>
      <c r="T1168" s="39" t="str">
        <f>IF($C1168="","",IF(COUNTIF($C$2:$C1168,$C1168)=1,1,0))</f>
        <v/>
      </c>
      <c r="U1168" s="39" t="str">
        <f>IF($T1168=1,COUNTIF($T$2:$T1168,1),"")</f>
        <v/>
      </c>
      <c r="V1168" s="39" t="str">
        <f>IF($B1168="","",IF(COUNTIF($B$2:$B1168,$B1168)=1,1,0))</f>
        <v/>
      </c>
      <c r="W1168" s="39" t="str">
        <f>IF($V1168=1,COUNTIF($V$2:$V1168,1),"")</f>
        <v/>
      </c>
      <c r="X1168" s="39" t="str">
        <f>IF($A1168="","",IF(COUNTIF($A$2:$A1168,$A1168)=1,1,0))</f>
        <v/>
      </c>
      <c r="Y1168" s="39" t="str">
        <f>IF($X1168=1,COUNTIF($X$2:$X1168,1),"")</f>
        <v/>
      </c>
      <c r="Z1168" s="39">
        <f>IF(AND($E1168="timed",$N1168&gt;Settings!$C$8),1,0)</f>
        <v>0</v>
      </c>
      <c r="AA1168" s="39">
        <f t="shared" si="328"/>
        <v>0</v>
      </c>
      <c r="AB1168" s="39">
        <f t="shared" si="329"/>
        <v>0</v>
      </c>
      <c r="AC1168" s="39" t="str">
        <f t="shared" si="330"/>
        <v/>
      </c>
      <c r="AD1168" s="39" t="str">
        <f t="shared" si="331"/>
        <v/>
      </c>
      <c r="AE1168" s="39" t="str">
        <f t="shared" si="332"/>
        <v/>
      </c>
      <c r="AF1168" s="106" t="str">
        <f t="shared" si="333"/>
        <v/>
      </c>
      <c r="AG1168" s="39">
        <f t="shared" si="334"/>
        <v>0</v>
      </c>
      <c r="AH1168" s="39" t="str">
        <f t="shared" si="335"/>
        <v/>
      </c>
      <c r="AI1168" s="39">
        <f>IF(AND($E1168="timed",$N1168&gt;=Settings!$C$9),1,0)</f>
        <v>0</v>
      </c>
      <c r="AJ1168" s="39" t="str">
        <f>IF(OR($S1168="",Settings!$C$16=""),"",IF($S1168&lt;=Settings!$C$16,1,2))</f>
        <v/>
      </c>
      <c r="AK1168" s="39" t="str">
        <f>IF($C1168="","",IFERROR(IF(INDEX(Settings!$C$20:$C$59,MATCH($C1168,Settings!$B$20:$B$59,0))="",Settings!$C$10,INDEX(Settings!$C$20:$C$59,MATCH($C1168,Settings!$B$20:$B$59,0))),Settings!$C$10))</f>
        <v/>
      </c>
      <c r="AL1168" s="108">
        <f t="shared" si="336"/>
        <v>0</v>
      </c>
      <c r="AM1168" s="39" t="str">
        <f t="shared" si="337"/>
        <v/>
      </c>
      <c r="AN1168" s="39" t="str">
        <f t="shared" si="338"/>
        <v/>
      </c>
      <c r="AO1168" s="39" t="str">
        <f t="shared" si="339"/>
        <v/>
      </c>
      <c r="AP1168" s="39">
        <f t="shared" si="340"/>
        <v>0</v>
      </c>
      <c r="AQ1168" s="39">
        <f t="shared" si="341"/>
        <v>0</v>
      </c>
    </row>
    <row r="1169" spans="14:43" x14ac:dyDescent="0.25">
      <c r="N1169" s="105">
        <f t="shared" si="324"/>
        <v>0</v>
      </c>
      <c r="O1169" s="106" t="str">
        <f>IF($F1169="","",IF(ISNUMBER($F1169),$F1169+Settings!$C$7/24,IFERROR(DATEVALUE(LEFT($F1169,10))+TIMEVALUE(MID($F1169,12,8))+Settings!$C$7/24,"")))</f>
        <v/>
      </c>
      <c r="P1169" s="106" t="str">
        <f>IF($G1169="","",IF(ISNUMBER($G1169),$G1169+Settings!$C$7/24,IFERROR(DATEVALUE(LEFT($G1169,10))+TIMEVALUE(MID($G1169,12,8))+Settings!$C$7/24,"")))</f>
        <v/>
      </c>
      <c r="Q1169" s="39" t="str">
        <f t="shared" si="325"/>
        <v/>
      </c>
      <c r="R1169" s="39" t="str">
        <f t="shared" si="326"/>
        <v/>
      </c>
      <c r="S1169" s="107" t="str">
        <f t="shared" si="327"/>
        <v/>
      </c>
      <c r="T1169" s="39" t="str">
        <f>IF($C1169="","",IF(COUNTIF($C$2:$C1169,$C1169)=1,1,0))</f>
        <v/>
      </c>
      <c r="U1169" s="39" t="str">
        <f>IF($T1169=1,COUNTIF($T$2:$T1169,1),"")</f>
        <v/>
      </c>
      <c r="V1169" s="39" t="str">
        <f>IF($B1169="","",IF(COUNTIF($B$2:$B1169,$B1169)=1,1,0))</f>
        <v/>
      </c>
      <c r="W1169" s="39" t="str">
        <f>IF($V1169=1,COUNTIF($V$2:$V1169,1),"")</f>
        <v/>
      </c>
      <c r="X1169" s="39" t="str">
        <f>IF($A1169="","",IF(COUNTIF($A$2:$A1169,$A1169)=1,1,0))</f>
        <v/>
      </c>
      <c r="Y1169" s="39" t="str">
        <f>IF($X1169=1,COUNTIF($X$2:$X1169,1),"")</f>
        <v/>
      </c>
      <c r="Z1169" s="39">
        <f>IF(AND($E1169="timed",$N1169&gt;Settings!$C$8),1,0)</f>
        <v>0</v>
      </c>
      <c r="AA1169" s="39">
        <f t="shared" si="328"/>
        <v>0</v>
      </c>
      <c r="AB1169" s="39">
        <f t="shared" si="329"/>
        <v>0</v>
      </c>
      <c r="AC1169" s="39" t="str">
        <f t="shared" si="330"/>
        <v/>
      </c>
      <c r="AD1169" s="39" t="str">
        <f t="shared" si="331"/>
        <v/>
      </c>
      <c r="AE1169" s="39" t="str">
        <f t="shared" si="332"/>
        <v/>
      </c>
      <c r="AF1169" s="106" t="str">
        <f t="shared" si="333"/>
        <v/>
      </c>
      <c r="AG1169" s="39">
        <f t="shared" si="334"/>
        <v>0</v>
      </c>
      <c r="AH1169" s="39" t="str">
        <f t="shared" si="335"/>
        <v/>
      </c>
      <c r="AI1169" s="39">
        <f>IF(AND($E1169="timed",$N1169&gt;=Settings!$C$9),1,0)</f>
        <v>0</v>
      </c>
      <c r="AJ1169" s="39" t="str">
        <f>IF(OR($S1169="",Settings!$C$16=""),"",IF($S1169&lt;=Settings!$C$16,1,2))</f>
        <v/>
      </c>
      <c r="AK1169" s="39" t="str">
        <f>IF($C1169="","",IFERROR(IF(INDEX(Settings!$C$20:$C$59,MATCH($C1169,Settings!$B$20:$B$59,0))="",Settings!$C$10,INDEX(Settings!$C$20:$C$59,MATCH($C1169,Settings!$B$20:$B$59,0))),Settings!$C$10))</f>
        <v/>
      </c>
      <c r="AL1169" s="108">
        <f t="shared" si="336"/>
        <v>0</v>
      </c>
      <c r="AM1169" s="39" t="str">
        <f t="shared" si="337"/>
        <v/>
      </c>
      <c r="AN1169" s="39" t="str">
        <f t="shared" si="338"/>
        <v/>
      </c>
      <c r="AO1169" s="39" t="str">
        <f t="shared" si="339"/>
        <v/>
      </c>
      <c r="AP1169" s="39">
        <f t="shared" si="340"/>
        <v>0</v>
      </c>
      <c r="AQ1169" s="39">
        <f t="shared" si="341"/>
        <v>0</v>
      </c>
    </row>
    <row r="1170" spans="14:43" x14ac:dyDescent="0.25">
      <c r="N1170" s="105">
        <f t="shared" si="324"/>
        <v>0</v>
      </c>
      <c r="O1170" s="106" t="str">
        <f>IF($F1170="","",IF(ISNUMBER($F1170),$F1170+Settings!$C$7/24,IFERROR(DATEVALUE(LEFT($F1170,10))+TIMEVALUE(MID($F1170,12,8))+Settings!$C$7/24,"")))</f>
        <v/>
      </c>
      <c r="P1170" s="106" t="str">
        <f>IF($G1170="","",IF(ISNUMBER($G1170),$G1170+Settings!$C$7/24,IFERROR(DATEVALUE(LEFT($G1170,10))+TIMEVALUE(MID($G1170,12,8))+Settings!$C$7/24,"")))</f>
        <v/>
      </c>
      <c r="Q1170" s="39" t="str">
        <f t="shared" si="325"/>
        <v/>
      </c>
      <c r="R1170" s="39" t="str">
        <f t="shared" si="326"/>
        <v/>
      </c>
      <c r="S1170" s="107" t="str">
        <f t="shared" si="327"/>
        <v/>
      </c>
      <c r="T1170" s="39" t="str">
        <f>IF($C1170="","",IF(COUNTIF($C$2:$C1170,$C1170)=1,1,0))</f>
        <v/>
      </c>
      <c r="U1170" s="39" t="str">
        <f>IF($T1170=1,COUNTIF($T$2:$T1170,1),"")</f>
        <v/>
      </c>
      <c r="V1170" s="39" t="str">
        <f>IF($B1170="","",IF(COUNTIF($B$2:$B1170,$B1170)=1,1,0))</f>
        <v/>
      </c>
      <c r="W1170" s="39" t="str">
        <f>IF($V1170=1,COUNTIF($V$2:$V1170,1),"")</f>
        <v/>
      </c>
      <c r="X1170" s="39" t="str">
        <f>IF($A1170="","",IF(COUNTIF($A$2:$A1170,$A1170)=1,1,0))</f>
        <v/>
      </c>
      <c r="Y1170" s="39" t="str">
        <f>IF($X1170=1,COUNTIF($X$2:$X1170,1),"")</f>
        <v/>
      </c>
      <c r="Z1170" s="39">
        <f>IF(AND($E1170="timed",$N1170&gt;Settings!$C$8),1,0)</f>
        <v>0</v>
      </c>
      <c r="AA1170" s="39">
        <f t="shared" si="328"/>
        <v>0</v>
      </c>
      <c r="AB1170" s="39">
        <f t="shared" si="329"/>
        <v>0</v>
      </c>
      <c r="AC1170" s="39" t="str">
        <f t="shared" si="330"/>
        <v/>
      </c>
      <c r="AD1170" s="39" t="str">
        <f t="shared" si="331"/>
        <v/>
      </c>
      <c r="AE1170" s="39" t="str">
        <f t="shared" si="332"/>
        <v/>
      </c>
      <c r="AF1170" s="106" t="str">
        <f t="shared" si="333"/>
        <v/>
      </c>
      <c r="AG1170" s="39">
        <f t="shared" si="334"/>
        <v>0</v>
      </c>
      <c r="AH1170" s="39" t="str">
        <f t="shared" si="335"/>
        <v/>
      </c>
      <c r="AI1170" s="39">
        <f>IF(AND($E1170="timed",$N1170&gt;=Settings!$C$9),1,0)</f>
        <v>0</v>
      </c>
      <c r="AJ1170" s="39" t="str">
        <f>IF(OR($S1170="",Settings!$C$16=""),"",IF($S1170&lt;=Settings!$C$16,1,2))</f>
        <v/>
      </c>
      <c r="AK1170" s="39" t="str">
        <f>IF($C1170="","",IFERROR(IF(INDEX(Settings!$C$20:$C$59,MATCH($C1170,Settings!$B$20:$B$59,0))="",Settings!$C$10,INDEX(Settings!$C$20:$C$59,MATCH($C1170,Settings!$B$20:$B$59,0))),Settings!$C$10))</f>
        <v/>
      </c>
      <c r="AL1170" s="108">
        <f t="shared" si="336"/>
        <v>0</v>
      </c>
      <c r="AM1170" s="39" t="str">
        <f t="shared" si="337"/>
        <v/>
      </c>
      <c r="AN1170" s="39" t="str">
        <f t="shared" si="338"/>
        <v/>
      </c>
      <c r="AO1170" s="39" t="str">
        <f t="shared" si="339"/>
        <v/>
      </c>
      <c r="AP1170" s="39">
        <f t="shared" si="340"/>
        <v>0</v>
      </c>
      <c r="AQ1170" s="39">
        <f t="shared" si="341"/>
        <v>0</v>
      </c>
    </row>
    <row r="1171" spans="14:43" x14ac:dyDescent="0.25">
      <c r="N1171" s="105">
        <f t="shared" si="324"/>
        <v>0</v>
      </c>
      <c r="O1171" s="106" t="str">
        <f>IF($F1171="","",IF(ISNUMBER($F1171),$F1171+Settings!$C$7/24,IFERROR(DATEVALUE(LEFT($F1171,10))+TIMEVALUE(MID($F1171,12,8))+Settings!$C$7/24,"")))</f>
        <v/>
      </c>
      <c r="P1171" s="106" t="str">
        <f>IF($G1171="","",IF(ISNUMBER($G1171),$G1171+Settings!$C$7/24,IFERROR(DATEVALUE(LEFT($G1171,10))+TIMEVALUE(MID($G1171,12,8))+Settings!$C$7/24,"")))</f>
        <v/>
      </c>
      <c r="Q1171" s="39" t="str">
        <f t="shared" si="325"/>
        <v/>
      </c>
      <c r="R1171" s="39" t="str">
        <f t="shared" si="326"/>
        <v/>
      </c>
      <c r="S1171" s="107" t="str">
        <f t="shared" si="327"/>
        <v/>
      </c>
      <c r="T1171" s="39" t="str">
        <f>IF($C1171="","",IF(COUNTIF($C$2:$C1171,$C1171)=1,1,0))</f>
        <v/>
      </c>
      <c r="U1171" s="39" t="str">
        <f>IF($T1171=1,COUNTIF($T$2:$T1171,1),"")</f>
        <v/>
      </c>
      <c r="V1171" s="39" t="str">
        <f>IF($B1171="","",IF(COUNTIF($B$2:$B1171,$B1171)=1,1,0))</f>
        <v/>
      </c>
      <c r="W1171" s="39" t="str">
        <f>IF($V1171=1,COUNTIF($V$2:$V1171,1),"")</f>
        <v/>
      </c>
      <c r="X1171" s="39" t="str">
        <f>IF($A1171="","",IF(COUNTIF($A$2:$A1171,$A1171)=1,1,0))</f>
        <v/>
      </c>
      <c r="Y1171" s="39" t="str">
        <f>IF($X1171=1,COUNTIF($X$2:$X1171,1),"")</f>
        <v/>
      </c>
      <c r="Z1171" s="39">
        <f>IF(AND($E1171="timed",$N1171&gt;Settings!$C$8),1,0)</f>
        <v>0</v>
      </c>
      <c r="AA1171" s="39">
        <f t="shared" si="328"/>
        <v>0</v>
      </c>
      <c r="AB1171" s="39">
        <f t="shared" si="329"/>
        <v>0</v>
      </c>
      <c r="AC1171" s="39" t="str">
        <f t="shared" si="330"/>
        <v/>
      </c>
      <c r="AD1171" s="39" t="str">
        <f t="shared" si="331"/>
        <v/>
      </c>
      <c r="AE1171" s="39" t="str">
        <f t="shared" si="332"/>
        <v/>
      </c>
      <c r="AF1171" s="106" t="str">
        <f t="shared" si="333"/>
        <v/>
      </c>
      <c r="AG1171" s="39">
        <f t="shared" si="334"/>
        <v>0</v>
      </c>
      <c r="AH1171" s="39" t="str">
        <f t="shared" si="335"/>
        <v/>
      </c>
      <c r="AI1171" s="39">
        <f>IF(AND($E1171="timed",$N1171&gt;=Settings!$C$9),1,0)</f>
        <v>0</v>
      </c>
      <c r="AJ1171" s="39" t="str">
        <f>IF(OR($S1171="",Settings!$C$16=""),"",IF($S1171&lt;=Settings!$C$16,1,2))</f>
        <v/>
      </c>
      <c r="AK1171" s="39" t="str">
        <f>IF($C1171="","",IFERROR(IF(INDEX(Settings!$C$20:$C$59,MATCH($C1171,Settings!$B$20:$B$59,0))="",Settings!$C$10,INDEX(Settings!$C$20:$C$59,MATCH($C1171,Settings!$B$20:$B$59,0))),Settings!$C$10))</f>
        <v/>
      </c>
      <c r="AL1171" s="108">
        <f t="shared" si="336"/>
        <v>0</v>
      </c>
      <c r="AM1171" s="39" t="str">
        <f t="shared" si="337"/>
        <v/>
      </c>
      <c r="AN1171" s="39" t="str">
        <f t="shared" si="338"/>
        <v/>
      </c>
      <c r="AO1171" s="39" t="str">
        <f t="shared" si="339"/>
        <v/>
      </c>
      <c r="AP1171" s="39">
        <f t="shared" si="340"/>
        <v>0</v>
      </c>
      <c r="AQ1171" s="39">
        <f t="shared" si="341"/>
        <v>0</v>
      </c>
    </row>
    <row r="1172" spans="14:43" x14ac:dyDescent="0.25">
      <c r="N1172" s="105">
        <f t="shared" si="324"/>
        <v>0</v>
      </c>
      <c r="O1172" s="106" t="str">
        <f>IF($F1172="","",IF(ISNUMBER($F1172),$F1172+Settings!$C$7/24,IFERROR(DATEVALUE(LEFT($F1172,10))+TIMEVALUE(MID($F1172,12,8))+Settings!$C$7/24,"")))</f>
        <v/>
      </c>
      <c r="P1172" s="106" t="str">
        <f>IF($G1172="","",IF(ISNUMBER($G1172),$G1172+Settings!$C$7/24,IFERROR(DATEVALUE(LEFT($G1172,10))+TIMEVALUE(MID($G1172,12,8))+Settings!$C$7/24,"")))</f>
        <v/>
      </c>
      <c r="Q1172" s="39" t="str">
        <f t="shared" si="325"/>
        <v/>
      </c>
      <c r="R1172" s="39" t="str">
        <f t="shared" si="326"/>
        <v/>
      </c>
      <c r="S1172" s="107" t="str">
        <f t="shared" si="327"/>
        <v/>
      </c>
      <c r="T1172" s="39" t="str">
        <f>IF($C1172="","",IF(COUNTIF($C$2:$C1172,$C1172)=1,1,0))</f>
        <v/>
      </c>
      <c r="U1172" s="39" t="str">
        <f>IF($T1172=1,COUNTIF($T$2:$T1172,1),"")</f>
        <v/>
      </c>
      <c r="V1172" s="39" t="str">
        <f>IF($B1172="","",IF(COUNTIF($B$2:$B1172,$B1172)=1,1,0))</f>
        <v/>
      </c>
      <c r="W1172" s="39" t="str">
        <f>IF($V1172=1,COUNTIF($V$2:$V1172,1),"")</f>
        <v/>
      </c>
      <c r="X1172" s="39" t="str">
        <f>IF($A1172="","",IF(COUNTIF($A$2:$A1172,$A1172)=1,1,0))</f>
        <v/>
      </c>
      <c r="Y1172" s="39" t="str">
        <f>IF($X1172=1,COUNTIF($X$2:$X1172,1),"")</f>
        <v/>
      </c>
      <c r="Z1172" s="39">
        <f>IF(AND($E1172="timed",$N1172&gt;Settings!$C$8),1,0)</f>
        <v>0</v>
      </c>
      <c r="AA1172" s="39">
        <f t="shared" si="328"/>
        <v>0</v>
      </c>
      <c r="AB1172" s="39">
        <f t="shared" si="329"/>
        <v>0</v>
      </c>
      <c r="AC1172" s="39" t="str">
        <f t="shared" si="330"/>
        <v/>
      </c>
      <c r="AD1172" s="39" t="str">
        <f t="shared" si="331"/>
        <v/>
      </c>
      <c r="AE1172" s="39" t="str">
        <f t="shared" si="332"/>
        <v/>
      </c>
      <c r="AF1172" s="106" t="str">
        <f t="shared" si="333"/>
        <v/>
      </c>
      <c r="AG1172" s="39">
        <f t="shared" si="334"/>
        <v>0</v>
      </c>
      <c r="AH1172" s="39" t="str">
        <f t="shared" si="335"/>
        <v/>
      </c>
      <c r="AI1172" s="39">
        <f>IF(AND($E1172="timed",$N1172&gt;=Settings!$C$9),1,0)</f>
        <v>0</v>
      </c>
      <c r="AJ1172" s="39" t="str">
        <f>IF(OR($S1172="",Settings!$C$16=""),"",IF($S1172&lt;=Settings!$C$16,1,2))</f>
        <v/>
      </c>
      <c r="AK1172" s="39" t="str">
        <f>IF($C1172="","",IFERROR(IF(INDEX(Settings!$C$20:$C$59,MATCH($C1172,Settings!$B$20:$B$59,0))="",Settings!$C$10,INDEX(Settings!$C$20:$C$59,MATCH($C1172,Settings!$B$20:$B$59,0))),Settings!$C$10))</f>
        <v/>
      </c>
      <c r="AL1172" s="108">
        <f t="shared" si="336"/>
        <v>0</v>
      </c>
      <c r="AM1172" s="39" t="str">
        <f t="shared" si="337"/>
        <v/>
      </c>
      <c r="AN1172" s="39" t="str">
        <f t="shared" si="338"/>
        <v/>
      </c>
      <c r="AO1172" s="39" t="str">
        <f t="shared" si="339"/>
        <v/>
      </c>
      <c r="AP1172" s="39">
        <f t="shared" si="340"/>
        <v>0</v>
      </c>
      <c r="AQ1172" s="39">
        <f t="shared" si="341"/>
        <v>0</v>
      </c>
    </row>
    <row r="1173" spans="14:43" x14ac:dyDescent="0.25">
      <c r="N1173" s="105">
        <f t="shared" si="324"/>
        <v>0</v>
      </c>
      <c r="O1173" s="106" t="str">
        <f>IF($F1173="","",IF(ISNUMBER($F1173),$F1173+Settings!$C$7/24,IFERROR(DATEVALUE(LEFT($F1173,10))+TIMEVALUE(MID($F1173,12,8))+Settings!$C$7/24,"")))</f>
        <v/>
      </c>
      <c r="P1173" s="106" t="str">
        <f>IF($G1173="","",IF(ISNUMBER($G1173),$G1173+Settings!$C$7/24,IFERROR(DATEVALUE(LEFT($G1173,10))+TIMEVALUE(MID($G1173,12,8))+Settings!$C$7/24,"")))</f>
        <v/>
      </c>
      <c r="Q1173" s="39" t="str">
        <f t="shared" si="325"/>
        <v/>
      </c>
      <c r="R1173" s="39" t="str">
        <f t="shared" si="326"/>
        <v/>
      </c>
      <c r="S1173" s="107" t="str">
        <f t="shared" si="327"/>
        <v/>
      </c>
      <c r="T1173" s="39" t="str">
        <f>IF($C1173="","",IF(COUNTIF($C$2:$C1173,$C1173)=1,1,0))</f>
        <v/>
      </c>
      <c r="U1173" s="39" t="str">
        <f>IF($T1173=1,COUNTIF($T$2:$T1173,1),"")</f>
        <v/>
      </c>
      <c r="V1173" s="39" t="str">
        <f>IF($B1173="","",IF(COUNTIF($B$2:$B1173,$B1173)=1,1,0))</f>
        <v/>
      </c>
      <c r="W1173" s="39" t="str">
        <f>IF($V1173=1,COUNTIF($V$2:$V1173,1),"")</f>
        <v/>
      </c>
      <c r="X1173" s="39" t="str">
        <f>IF($A1173="","",IF(COUNTIF($A$2:$A1173,$A1173)=1,1,0))</f>
        <v/>
      </c>
      <c r="Y1173" s="39" t="str">
        <f>IF($X1173=1,COUNTIF($X$2:$X1173,1),"")</f>
        <v/>
      </c>
      <c r="Z1173" s="39">
        <f>IF(AND($E1173="timed",$N1173&gt;Settings!$C$8),1,0)</f>
        <v>0</v>
      </c>
      <c r="AA1173" s="39">
        <f t="shared" si="328"/>
        <v>0</v>
      </c>
      <c r="AB1173" s="39">
        <f t="shared" si="329"/>
        <v>0</v>
      </c>
      <c r="AC1173" s="39" t="str">
        <f t="shared" si="330"/>
        <v/>
      </c>
      <c r="AD1173" s="39" t="str">
        <f t="shared" si="331"/>
        <v/>
      </c>
      <c r="AE1173" s="39" t="str">
        <f t="shared" si="332"/>
        <v/>
      </c>
      <c r="AF1173" s="106" t="str">
        <f t="shared" si="333"/>
        <v/>
      </c>
      <c r="AG1173" s="39">
        <f t="shared" si="334"/>
        <v>0</v>
      </c>
      <c r="AH1173" s="39" t="str">
        <f t="shared" si="335"/>
        <v/>
      </c>
      <c r="AI1173" s="39">
        <f>IF(AND($E1173="timed",$N1173&gt;=Settings!$C$9),1,0)</f>
        <v>0</v>
      </c>
      <c r="AJ1173" s="39" t="str">
        <f>IF(OR($S1173="",Settings!$C$16=""),"",IF($S1173&lt;=Settings!$C$16,1,2))</f>
        <v/>
      </c>
      <c r="AK1173" s="39" t="str">
        <f>IF($C1173="","",IFERROR(IF(INDEX(Settings!$C$20:$C$59,MATCH($C1173,Settings!$B$20:$B$59,0))="",Settings!$C$10,INDEX(Settings!$C$20:$C$59,MATCH($C1173,Settings!$B$20:$B$59,0))),Settings!$C$10))</f>
        <v/>
      </c>
      <c r="AL1173" s="108">
        <f t="shared" si="336"/>
        <v>0</v>
      </c>
      <c r="AM1173" s="39" t="str">
        <f t="shared" si="337"/>
        <v/>
      </c>
      <c r="AN1173" s="39" t="str">
        <f t="shared" si="338"/>
        <v/>
      </c>
      <c r="AO1173" s="39" t="str">
        <f t="shared" si="339"/>
        <v/>
      </c>
      <c r="AP1173" s="39">
        <f t="shared" si="340"/>
        <v>0</v>
      </c>
      <c r="AQ1173" s="39">
        <f t="shared" si="341"/>
        <v>0</v>
      </c>
    </row>
    <row r="1174" spans="14:43" x14ac:dyDescent="0.25">
      <c r="N1174" s="105">
        <f t="shared" si="324"/>
        <v>0</v>
      </c>
      <c r="O1174" s="106" t="str">
        <f>IF($F1174="","",IF(ISNUMBER($F1174),$F1174+Settings!$C$7/24,IFERROR(DATEVALUE(LEFT($F1174,10))+TIMEVALUE(MID($F1174,12,8))+Settings!$C$7/24,"")))</f>
        <v/>
      </c>
      <c r="P1174" s="106" t="str">
        <f>IF($G1174="","",IF(ISNUMBER($G1174),$G1174+Settings!$C$7/24,IFERROR(DATEVALUE(LEFT($G1174,10))+TIMEVALUE(MID($G1174,12,8))+Settings!$C$7/24,"")))</f>
        <v/>
      </c>
      <c r="Q1174" s="39" t="str">
        <f t="shared" si="325"/>
        <v/>
      </c>
      <c r="R1174" s="39" t="str">
        <f t="shared" si="326"/>
        <v/>
      </c>
      <c r="S1174" s="107" t="str">
        <f t="shared" si="327"/>
        <v/>
      </c>
      <c r="T1174" s="39" t="str">
        <f>IF($C1174="","",IF(COUNTIF($C$2:$C1174,$C1174)=1,1,0))</f>
        <v/>
      </c>
      <c r="U1174" s="39" t="str">
        <f>IF($T1174=1,COUNTIF($T$2:$T1174,1),"")</f>
        <v/>
      </c>
      <c r="V1174" s="39" t="str">
        <f>IF($B1174="","",IF(COUNTIF($B$2:$B1174,$B1174)=1,1,0))</f>
        <v/>
      </c>
      <c r="W1174" s="39" t="str">
        <f>IF($V1174=1,COUNTIF($V$2:$V1174,1),"")</f>
        <v/>
      </c>
      <c r="X1174" s="39" t="str">
        <f>IF($A1174="","",IF(COUNTIF($A$2:$A1174,$A1174)=1,1,0))</f>
        <v/>
      </c>
      <c r="Y1174" s="39" t="str">
        <f>IF($X1174=1,COUNTIF($X$2:$X1174,1),"")</f>
        <v/>
      </c>
      <c r="Z1174" s="39">
        <f>IF(AND($E1174="timed",$N1174&gt;Settings!$C$8),1,0)</f>
        <v>0</v>
      </c>
      <c r="AA1174" s="39">
        <f t="shared" si="328"/>
        <v>0</v>
      </c>
      <c r="AB1174" s="39">
        <f t="shared" si="329"/>
        <v>0</v>
      </c>
      <c r="AC1174" s="39" t="str">
        <f t="shared" si="330"/>
        <v/>
      </c>
      <c r="AD1174" s="39" t="str">
        <f t="shared" si="331"/>
        <v/>
      </c>
      <c r="AE1174" s="39" t="str">
        <f t="shared" si="332"/>
        <v/>
      </c>
      <c r="AF1174" s="106" t="str">
        <f t="shared" si="333"/>
        <v/>
      </c>
      <c r="AG1174" s="39">
        <f t="shared" si="334"/>
        <v>0</v>
      </c>
      <c r="AH1174" s="39" t="str">
        <f t="shared" si="335"/>
        <v/>
      </c>
      <c r="AI1174" s="39">
        <f>IF(AND($E1174="timed",$N1174&gt;=Settings!$C$9),1,0)</f>
        <v>0</v>
      </c>
      <c r="AJ1174" s="39" t="str">
        <f>IF(OR($S1174="",Settings!$C$16=""),"",IF($S1174&lt;=Settings!$C$16,1,2))</f>
        <v/>
      </c>
      <c r="AK1174" s="39" t="str">
        <f>IF($C1174="","",IFERROR(IF(INDEX(Settings!$C$20:$C$59,MATCH($C1174,Settings!$B$20:$B$59,0))="",Settings!$C$10,INDEX(Settings!$C$20:$C$59,MATCH($C1174,Settings!$B$20:$B$59,0))),Settings!$C$10))</f>
        <v/>
      </c>
      <c r="AL1174" s="108">
        <f t="shared" si="336"/>
        <v>0</v>
      </c>
      <c r="AM1174" s="39" t="str">
        <f t="shared" si="337"/>
        <v/>
      </c>
      <c r="AN1174" s="39" t="str">
        <f t="shared" si="338"/>
        <v/>
      </c>
      <c r="AO1174" s="39" t="str">
        <f t="shared" si="339"/>
        <v/>
      </c>
      <c r="AP1174" s="39">
        <f t="shared" si="340"/>
        <v>0</v>
      </c>
      <c r="AQ1174" s="39">
        <f t="shared" si="341"/>
        <v>0</v>
      </c>
    </row>
    <row r="1175" spans="14:43" x14ac:dyDescent="0.25">
      <c r="N1175" s="105">
        <f t="shared" si="324"/>
        <v>0</v>
      </c>
      <c r="O1175" s="106" t="str">
        <f>IF($F1175="","",IF(ISNUMBER($F1175),$F1175+Settings!$C$7/24,IFERROR(DATEVALUE(LEFT($F1175,10))+TIMEVALUE(MID($F1175,12,8))+Settings!$C$7/24,"")))</f>
        <v/>
      </c>
      <c r="P1175" s="106" t="str">
        <f>IF($G1175="","",IF(ISNUMBER($G1175),$G1175+Settings!$C$7/24,IFERROR(DATEVALUE(LEFT($G1175,10))+TIMEVALUE(MID($G1175,12,8))+Settings!$C$7/24,"")))</f>
        <v/>
      </c>
      <c r="Q1175" s="39" t="str">
        <f t="shared" si="325"/>
        <v/>
      </c>
      <c r="R1175" s="39" t="str">
        <f t="shared" si="326"/>
        <v/>
      </c>
      <c r="S1175" s="107" t="str">
        <f t="shared" si="327"/>
        <v/>
      </c>
      <c r="T1175" s="39" t="str">
        <f>IF($C1175="","",IF(COUNTIF($C$2:$C1175,$C1175)=1,1,0))</f>
        <v/>
      </c>
      <c r="U1175" s="39" t="str">
        <f>IF($T1175=1,COUNTIF($T$2:$T1175,1),"")</f>
        <v/>
      </c>
      <c r="V1175" s="39" t="str">
        <f>IF($B1175="","",IF(COUNTIF($B$2:$B1175,$B1175)=1,1,0))</f>
        <v/>
      </c>
      <c r="W1175" s="39" t="str">
        <f>IF($V1175=1,COUNTIF($V$2:$V1175,1),"")</f>
        <v/>
      </c>
      <c r="X1175" s="39" t="str">
        <f>IF($A1175="","",IF(COUNTIF($A$2:$A1175,$A1175)=1,1,0))</f>
        <v/>
      </c>
      <c r="Y1175" s="39" t="str">
        <f>IF($X1175=1,COUNTIF($X$2:$X1175,1),"")</f>
        <v/>
      </c>
      <c r="Z1175" s="39">
        <f>IF(AND($E1175="timed",$N1175&gt;Settings!$C$8),1,0)</f>
        <v>0</v>
      </c>
      <c r="AA1175" s="39">
        <f t="shared" si="328"/>
        <v>0</v>
      </c>
      <c r="AB1175" s="39">
        <f t="shared" si="329"/>
        <v>0</v>
      </c>
      <c r="AC1175" s="39" t="str">
        <f t="shared" si="330"/>
        <v/>
      </c>
      <c r="AD1175" s="39" t="str">
        <f t="shared" si="331"/>
        <v/>
      </c>
      <c r="AE1175" s="39" t="str">
        <f t="shared" si="332"/>
        <v/>
      </c>
      <c r="AF1175" s="106" t="str">
        <f t="shared" si="333"/>
        <v/>
      </c>
      <c r="AG1175" s="39">
        <f t="shared" si="334"/>
        <v>0</v>
      </c>
      <c r="AH1175" s="39" t="str">
        <f t="shared" si="335"/>
        <v/>
      </c>
      <c r="AI1175" s="39">
        <f>IF(AND($E1175="timed",$N1175&gt;=Settings!$C$9),1,0)</f>
        <v>0</v>
      </c>
      <c r="AJ1175" s="39" t="str">
        <f>IF(OR($S1175="",Settings!$C$16=""),"",IF($S1175&lt;=Settings!$C$16,1,2))</f>
        <v/>
      </c>
      <c r="AK1175" s="39" t="str">
        <f>IF($C1175="","",IFERROR(IF(INDEX(Settings!$C$20:$C$59,MATCH($C1175,Settings!$B$20:$B$59,0))="",Settings!$C$10,INDEX(Settings!$C$20:$C$59,MATCH($C1175,Settings!$B$20:$B$59,0))),Settings!$C$10))</f>
        <v/>
      </c>
      <c r="AL1175" s="108">
        <f t="shared" si="336"/>
        <v>0</v>
      </c>
      <c r="AM1175" s="39" t="str">
        <f t="shared" si="337"/>
        <v/>
      </c>
      <c r="AN1175" s="39" t="str">
        <f t="shared" si="338"/>
        <v/>
      </c>
      <c r="AO1175" s="39" t="str">
        <f t="shared" si="339"/>
        <v/>
      </c>
      <c r="AP1175" s="39">
        <f t="shared" si="340"/>
        <v>0</v>
      </c>
      <c r="AQ1175" s="39">
        <f t="shared" si="341"/>
        <v>0</v>
      </c>
    </row>
    <row r="1176" spans="14:43" x14ac:dyDescent="0.25">
      <c r="N1176" s="105">
        <f t="shared" si="324"/>
        <v>0</v>
      </c>
      <c r="O1176" s="106" t="str">
        <f>IF($F1176="","",IF(ISNUMBER($F1176),$F1176+Settings!$C$7/24,IFERROR(DATEVALUE(LEFT($F1176,10))+TIMEVALUE(MID($F1176,12,8))+Settings!$C$7/24,"")))</f>
        <v/>
      </c>
      <c r="P1176" s="106" t="str">
        <f>IF($G1176="","",IF(ISNUMBER($G1176),$G1176+Settings!$C$7/24,IFERROR(DATEVALUE(LEFT($G1176,10))+TIMEVALUE(MID($G1176,12,8))+Settings!$C$7/24,"")))</f>
        <v/>
      </c>
      <c r="Q1176" s="39" t="str">
        <f t="shared" si="325"/>
        <v/>
      </c>
      <c r="R1176" s="39" t="str">
        <f t="shared" si="326"/>
        <v/>
      </c>
      <c r="S1176" s="107" t="str">
        <f t="shared" si="327"/>
        <v/>
      </c>
      <c r="T1176" s="39" t="str">
        <f>IF($C1176="","",IF(COUNTIF($C$2:$C1176,$C1176)=1,1,0))</f>
        <v/>
      </c>
      <c r="U1176" s="39" t="str">
        <f>IF($T1176=1,COUNTIF($T$2:$T1176,1),"")</f>
        <v/>
      </c>
      <c r="V1176" s="39" t="str">
        <f>IF($B1176="","",IF(COUNTIF($B$2:$B1176,$B1176)=1,1,0))</f>
        <v/>
      </c>
      <c r="W1176" s="39" t="str">
        <f>IF($V1176=1,COUNTIF($V$2:$V1176,1),"")</f>
        <v/>
      </c>
      <c r="X1176" s="39" t="str">
        <f>IF($A1176="","",IF(COUNTIF($A$2:$A1176,$A1176)=1,1,0))</f>
        <v/>
      </c>
      <c r="Y1176" s="39" t="str">
        <f>IF($X1176=1,COUNTIF($X$2:$X1176,1),"")</f>
        <v/>
      </c>
      <c r="Z1176" s="39">
        <f>IF(AND($E1176="timed",$N1176&gt;Settings!$C$8),1,0)</f>
        <v>0</v>
      </c>
      <c r="AA1176" s="39">
        <f t="shared" si="328"/>
        <v>0</v>
      </c>
      <c r="AB1176" s="39">
        <f t="shared" si="329"/>
        <v>0</v>
      </c>
      <c r="AC1176" s="39" t="str">
        <f t="shared" si="330"/>
        <v/>
      </c>
      <c r="AD1176" s="39" t="str">
        <f t="shared" si="331"/>
        <v/>
      </c>
      <c r="AE1176" s="39" t="str">
        <f t="shared" si="332"/>
        <v/>
      </c>
      <c r="AF1176" s="106" t="str">
        <f t="shared" si="333"/>
        <v/>
      </c>
      <c r="AG1176" s="39">
        <f t="shared" si="334"/>
        <v>0</v>
      </c>
      <c r="AH1176" s="39" t="str">
        <f t="shared" si="335"/>
        <v/>
      </c>
      <c r="AI1176" s="39">
        <f>IF(AND($E1176="timed",$N1176&gt;=Settings!$C$9),1,0)</f>
        <v>0</v>
      </c>
      <c r="AJ1176" s="39" t="str">
        <f>IF(OR($S1176="",Settings!$C$16=""),"",IF($S1176&lt;=Settings!$C$16,1,2))</f>
        <v/>
      </c>
      <c r="AK1176" s="39" t="str">
        <f>IF($C1176="","",IFERROR(IF(INDEX(Settings!$C$20:$C$59,MATCH($C1176,Settings!$B$20:$B$59,0))="",Settings!$C$10,INDEX(Settings!$C$20:$C$59,MATCH($C1176,Settings!$B$20:$B$59,0))),Settings!$C$10))</f>
        <v/>
      </c>
      <c r="AL1176" s="108">
        <f t="shared" si="336"/>
        <v>0</v>
      </c>
      <c r="AM1176" s="39" t="str">
        <f t="shared" si="337"/>
        <v/>
      </c>
      <c r="AN1176" s="39" t="str">
        <f t="shared" si="338"/>
        <v/>
      </c>
      <c r="AO1176" s="39" t="str">
        <f t="shared" si="339"/>
        <v/>
      </c>
      <c r="AP1176" s="39">
        <f t="shared" si="340"/>
        <v>0</v>
      </c>
      <c r="AQ1176" s="39">
        <f t="shared" si="341"/>
        <v>0</v>
      </c>
    </row>
    <row r="1177" spans="14:43" x14ac:dyDescent="0.25">
      <c r="N1177" s="105">
        <f t="shared" si="324"/>
        <v>0</v>
      </c>
      <c r="O1177" s="106" t="str">
        <f>IF($F1177="","",IF(ISNUMBER($F1177),$F1177+Settings!$C$7/24,IFERROR(DATEVALUE(LEFT($F1177,10))+TIMEVALUE(MID($F1177,12,8))+Settings!$C$7/24,"")))</f>
        <v/>
      </c>
      <c r="P1177" s="106" t="str">
        <f>IF($G1177="","",IF(ISNUMBER($G1177),$G1177+Settings!$C$7/24,IFERROR(DATEVALUE(LEFT($G1177,10))+TIMEVALUE(MID($G1177,12,8))+Settings!$C$7/24,"")))</f>
        <v/>
      </c>
      <c r="Q1177" s="39" t="str">
        <f t="shared" si="325"/>
        <v/>
      </c>
      <c r="R1177" s="39" t="str">
        <f t="shared" si="326"/>
        <v/>
      </c>
      <c r="S1177" s="107" t="str">
        <f t="shared" si="327"/>
        <v/>
      </c>
      <c r="T1177" s="39" t="str">
        <f>IF($C1177="","",IF(COUNTIF($C$2:$C1177,$C1177)=1,1,0))</f>
        <v/>
      </c>
      <c r="U1177" s="39" t="str">
        <f>IF($T1177=1,COUNTIF($T$2:$T1177,1),"")</f>
        <v/>
      </c>
      <c r="V1177" s="39" t="str">
        <f>IF($B1177="","",IF(COUNTIF($B$2:$B1177,$B1177)=1,1,0))</f>
        <v/>
      </c>
      <c r="W1177" s="39" t="str">
        <f>IF($V1177=1,COUNTIF($V$2:$V1177,1),"")</f>
        <v/>
      </c>
      <c r="X1177" s="39" t="str">
        <f>IF($A1177="","",IF(COUNTIF($A$2:$A1177,$A1177)=1,1,0))</f>
        <v/>
      </c>
      <c r="Y1177" s="39" t="str">
        <f>IF($X1177=1,COUNTIF($X$2:$X1177,1),"")</f>
        <v/>
      </c>
      <c r="Z1177" s="39">
        <f>IF(AND($E1177="timed",$N1177&gt;Settings!$C$8),1,0)</f>
        <v>0</v>
      </c>
      <c r="AA1177" s="39">
        <f t="shared" si="328"/>
        <v>0</v>
      </c>
      <c r="AB1177" s="39">
        <f t="shared" si="329"/>
        <v>0</v>
      </c>
      <c r="AC1177" s="39" t="str">
        <f t="shared" si="330"/>
        <v/>
      </c>
      <c r="AD1177" s="39" t="str">
        <f t="shared" si="331"/>
        <v/>
      </c>
      <c r="AE1177" s="39" t="str">
        <f t="shared" si="332"/>
        <v/>
      </c>
      <c r="AF1177" s="106" t="str">
        <f t="shared" si="333"/>
        <v/>
      </c>
      <c r="AG1177" s="39">
        <f t="shared" si="334"/>
        <v>0</v>
      </c>
      <c r="AH1177" s="39" t="str">
        <f t="shared" si="335"/>
        <v/>
      </c>
      <c r="AI1177" s="39">
        <f>IF(AND($E1177="timed",$N1177&gt;=Settings!$C$9),1,0)</f>
        <v>0</v>
      </c>
      <c r="AJ1177" s="39" t="str">
        <f>IF(OR($S1177="",Settings!$C$16=""),"",IF($S1177&lt;=Settings!$C$16,1,2))</f>
        <v/>
      </c>
      <c r="AK1177" s="39" t="str">
        <f>IF($C1177="","",IFERROR(IF(INDEX(Settings!$C$20:$C$59,MATCH($C1177,Settings!$B$20:$B$59,0))="",Settings!$C$10,INDEX(Settings!$C$20:$C$59,MATCH($C1177,Settings!$B$20:$B$59,0))),Settings!$C$10))</f>
        <v/>
      </c>
      <c r="AL1177" s="108">
        <f t="shared" si="336"/>
        <v>0</v>
      </c>
      <c r="AM1177" s="39" t="str">
        <f t="shared" si="337"/>
        <v/>
      </c>
      <c r="AN1177" s="39" t="str">
        <f t="shared" si="338"/>
        <v/>
      </c>
      <c r="AO1177" s="39" t="str">
        <f t="shared" si="339"/>
        <v/>
      </c>
      <c r="AP1177" s="39">
        <f t="shared" si="340"/>
        <v>0</v>
      </c>
      <c r="AQ1177" s="39">
        <f t="shared" si="341"/>
        <v>0</v>
      </c>
    </row>
    <row r="1178" spans="14:43" x14ac:dyDescent="0.25">
      <c r="N1178" s="105">
        <f t="shared" si="324"/>
        <v>0</v>
      </c>
      <c r="O1178" s="106" t="str">
        <f>IF($F1178="","",IF(ISNUMBER($F1178),$F1178+Settings!$C$7/24,IFERROR(DATEVALUE(LEFT($F1178,10))+TIMEVALUE(MID($F1178,12,8))+Settings!$C$7/24,"")))</f>
        <v/>
      </c>
      <c r="P1178" s="106" t="str">
        <f>IF($G1178="","",IF(ISNUMBER($G1178),$G1178+Settings!$C$7/24,IFERROR(DATEVALUE(LEFT($G1178,10))+TIMEVALUE(MID($G1178,12,8))+Settings!$C$7/24,"")))</f>
        <v/>
      </c>
      <c r="Q1178" s="39" t="str">
        <f t="shared" si="325"/>
        <v/>
      </c>
      <c r="R1178" s="39" t="str">
        <f t="shared" si="326"/>
        <v/>
      </c>
      <c r="S1178" s="107" t="str">
        <f t="shared" si="327"/>
        <v/>
      </c>
      <c r="T1178" s="39" t="str">
        <f>IF($C1178="","",IF(COUNTIF($C$2:$C1178,$C1178)=1,1,0))</f>
        <v/>
      </c>
      <c r="U1178" s="39" t="str">
        <f>IF($T1178=1,COUNTIF($T$2:$T1178,1),"")</f>
        <v/>
      </c>
      <c r="V1178" s="39" t="str">
        <f>IF($B1178="","",IF(COUNTIF($B$2:$B1178,$B1178)=1,1,0))</f>
        <v/>
      </c>
      <c r="W1178" s="39" t="str">
        <f>IF($V1178=1,COUNTIF($V$2:$V1178,1),"")</f>
        <v/>
      </c>
      <c r="X1178" s="39" t="str">
        <f>IF($A1178="","",IF(COUNTIF($A$2:$A1178,$A1178)=1,1,0))</f>
        <v/>
      </c>
      <c r="Y1178" s="39" t="str">
        <f>IF($X1178=1,COUNTIF($X$2:$X1178,1),"")</f>
        <v/>
      </c>
      <c r="Z1178" s="39">
        <f>IF(AND($E1178="timed",$N1178&gt;Settings!$C$8),1,0)</f>
        <v>0</v>
      </c>
      <c r="AA1178" s="39">
        <f t="shared" si="328"/>
        <v>0</v>
      </c>
      <c r="AB1178" s="39">
        <f t="shared" si="329"/>
        <v>0</v>
      </c>
      <c r="AC1178" s="39" t="str">
        <f t="shared" si="330"/>
        <v/>
      </c>
      <c r="AD1178" s="39" t="str">
        <f t="shared" si="331"/>
        <v/>
      </c>
      <c r="AE1178" s="39" t="str">
        <f t="shared" si="332"/>
        <v/>
      </c>
      <c r="AF1178" s="106" t="str">
        <f t="shared" si="333"/>
        <v/>
      </c>
      <c r="AG1178" s="39">
        <f t="shared" si="334"/>
        <v>0</v>
      </c>
      <c r="AH1178" s="39" t="str">
        <f t="shared" si="335"/>
        <v/>
      </c>
      <c r="AI1178" s="39">
        <f>IF(AND($E1178="timed",$N1178&gt;=Settings!$C$9),1,0)</f>
        <v>0</v>
      </c>
      <c r="AJ1178" s="39" t="str">
        <f>IF(OR($S1178="",Settings!$C$16=""),"",IF($S1178&lt;=Settings!$C$16,1,2))</f>
        <v/>
      </c>
      <c r="AK1178" s="39" t="str">
        <f>IF($C1178="","",IFERROR(IF(INDEX(Settings!$C$20:$C$59,MATCH($C1178,Settings!$B$20:$B$59,0))="",Settings!$C$10,INDEX(Settings!$C$20:$C$59,MATCH($C1178,Settings!$B$20:$B$59,0))),Settings!$C$10))</f>
        <v/>
      </c>
      <c r="AL1178" s="108">
        <f t="shared" si="336"/>
        <v>0</v>
      </c>
      <c r="AM1178" s="39" t="str">
        <f t="shared" si="337"/>
        <v/>
      </c>
      <c r="AN1178" s="39" t="str">
        <f t="shared" si="338"/>
        <v/>
      </c>
      <c r="AO1178" s="39" t="str">
        <f t="shared" si="339"/>
        <v/>
      </c>
      <c r="AP1178" s="39">
        <f t="shared" si="340"/>
        <v>0</v>
      </c>
      <c r="AQ1178" s="39">
        <f t="shared" si="341"/>
        <v>0</v>
      </c>
    </row>
    <row r="1179" spans="14:43" x14ac:dyDescent="0.25">
      <c r="N1179" s="105">
        <f t="shared" si="324"/>
        <v>0</v>
      </c>
      <c r="O1179" s="106" t="str">
        <f>IF($F1179="","",IF(ISNUMBER($F1179),$F1179+Settings!$C$7/24,IFERROR(DATEVALUE(LEFT($F1179,10))+TIMEVALUE(MID($F1179,12,8))+Settings!$C$7/24,"")))</f>
        <v/>
      </c>
      <c r="P1179" s="106" t="str">
        <f>IF($G1179="","",IF(ISNUMBER($G1179),$G1179+Settings!$C$7/24,IFERROR(DATEVALUE(LEFT($G1179,10))+TIMEVALUE(MID($G1179,12,8))+Settings!$C$7/24,"")))</f>
        <v/>
      </c>
      <c r="Q1179" s="39" t="str">
        <f t="shared" si="325"/>
        <v/>
      </c>
      <c r="R1179" s="39" t="str">
        <f t="shared" si="326"/>
        <v/>
      </c>
      <c r="S1179" s="107" t="str">
        <f t="shared" si="327"/>
        <v/>
      </c>
      <c r="T1179" s="39" t="str">
        <f>IF($C1179="","",IF(COUNTIF($C$2:$C1179,$C1179)=1,1,0))</f>
        <v/>
      </c>
      <c r="U1179" s="39" t="str">
        <f>IF($T1179=1,COUNTIF($T$2:$T1179,1),"")</f>
        <v/>
      </c>
      <c r="V1179" s="39" t="str">
        <f>IF($B1179="","",IF(COUNTIF($B$2:$B1179,$B1179)=1,1,0))</f>
        <v/>
      </c>
      <c r="W1179" s="39" t="str">
        <f>IF($V1179=1,COUNTIF($V$2:$V1179,1),"")</f>
        <v/>
      </c>
      <c r="X1179" s="39" t="str">
        <f>IF($A1179="","",IF(COUNTIF($A$2:$A1179,$A1179)=1,1,0))</f>
        <v/>
      </c>
      <c r="Y1179" s="39" t="str">
        <f>IF($X1179=1,COUNTIF($X$2:$X1179,1),"")</f>
        <v/>
      </c>
      <c r="Z1179" s="39">
        <f>IF(AND($E1179="timed",$N1179&gt;Settings!$C$8),1,0)</f>
        <v>0</v>
      </c>
      <c r="AA1179" s="39">
        <f t="shared" si="328"/>
        <v>0</v>
      </c>
      <c r="AB1179" s="39">
        <f t="shared" si="329"/>
        <v>0</v>
      </c>
      <c r="AC1179" s="39" t="str">
        <f t="shared" si="330"/>
        <v/>
      </c>
      <c r="AD1179" s="39" t="str">
        <f t="shared" si="331"/>
        <v/>
      </c>
      <c r="AE1179" s="39" t="str">
        <f t="shared" si="332"/>
        <v/>
      </c>
      <c r="AF1179" s="106" t="str">
        <f t="shared" si="333"/>
        <v/>
      </c>
      <c r="AG1179" s="39">
        <f t="shared" si="334"/>
        <v>0</v>
      </c>
      <c r="AH1179" s="39" t="str">
        <f t="shared" si="335"/>
        <v/>
      </c>
      <c r="AI1179" s="39">
        <f>IF(AND($E1179="timed",$N1179&gt;=Settings!$C$9),1,0)</f>
        <v>0</v>
      </c>
      <c r="AJ1179" s="39" t="str">
        <f>IF(OR($S1179="",Settings!$C$16=""),"",IF($S1179&lt;=Settings!$C$16,1,2))</f>
        <v/>
      </c>
      <c r="AK1179" s="39" t="str">
        <f>IF($C1179="","",IFERROR(IF(INDEX(Settings!$C$20:$C$59,MATCH($C1179,Settings!$B$20:$B$59,0))="",Settings!$C$10,INDEX(Settings!$C$20:$C$59,MATCH($C1179,Settings!$B$20:$B$59,0))),Settings!$C$10))</f>
        <v/>
      </c>
      <c r="AL1179" s="108">
        <f t="shared" si="336"/>
        <v>0</v>
      </c>
      <c r="AM1179" s="39" t="str">
        <f t="shared" si="337"/>
        <v/>
      </c>
      <c r="AN1179" s="39" t="str">
        <f t="shared" si="338"/>
        <v/>
      </c>
      <c r="AO1179" s="39" t="str">
        <f t="shared" si="339"/>
        <v/>
      </c>
      <c r="AP1179" s="39">
        <f t="shared" si="340"/>
        <v>0</v>
      </c>
      <c r="AQ1179" s="39">
        <f t="shared" si="341"/>
        <v>0</v>
      </c>
    </row>
    <row r="1180" spans="14:43" x14ac:dyDescent="0.25">
      <c r="N1180" s="105">
        <f t="shared" si="324"/>
        <v>0</v>
      </c>
      <c r="O1180" s="106" t="str">
        <f>IF($F1180="","",IF(ISNUMBER($F1180),$F1180+Settings!$C$7/24,IFERROR(DATEVALUE(LEFT($F1180,10))+TIMEVALUE(MID($F1180,12,8))+Settings!$C$7/24,"")))</f>
        <v/>
      </c>
      <c r="P1180" s="106" t="str">
        <f>IF($G1180="","",IF(ISNUMBER($G1180),$G1180+Settings!$C$7/24,IFERROR(DATEVALUE(LEFT($G1180,10))+TIMEVALUE(MID($G1180,12,8))+Settings!$C$7/24,"")))</f>
        <v/>
      </c>
      <c r="Q1180" s="39" t="str">
        <f t="shared" si="325"/>
        <v/>
      </c>
      <c r="R1180" s="39" t="str">
        <f t="shared" si="326"/>
        <v/>
      </c>
      <c r="S1180" s="107" t="str">
        <f t="shared" si="327"/>
        <v/>
      </c>
      <c r="T1180" s="39" t="str">
        <f>IF($C1180="","",IF(COUNTIF($C$2:$C1180,$C1180)=1,1,0))</f>
        <v/>
      </c>
      <c r="U1180" s="39" t="str">
        <f>IF($T1180=1,COUNTIF($T$2:$T1180,1),"")</f>
        <v/>
      </c>
      <c r="V1180" s="39" t="str">
        <f>IF($B1180="","",IF(COUNTIF($B$2:$B1180,$B1180)=1,1,0))</f>
        <v/>
      </c>
      <c r="W1180" s="39" t="str">
        <f>IF($V1180=1,COUNTIF($V$2:$V1180,1),"")</f>
        <v/>
      </c>
      <c r="X1180" s="39" t="str">
        <f>IF($A1180="","",IF(COUNTIF($A$2:$A1180,$A1180)=1,1,0))</f>
        <v/>
      </c>
      <c r="Y1180" s="39" t="str">
        <f>IF($X1180=1,COUNTIF($X$2:$X1180,1),"")</f>
        <v/>
      </c>
      <c r="Z1180" s="39">
        <f>IF(AND($E1180="timed",$N1180&gt;Settings!$C$8),1,0)</f>
        <v>0</v>
      </c>
      <c r="AA1180" s="39">
        <f t="shared" si="328"/>
        <v>0</v>
      </c>
      <c r="AB1180" s="39">
        <f t="shared" si="329"/>
        <v>0</v>
      </c>
      <c r="AC1180" s="39" t="str">
        <f t="shared" si="330"/>
        <v/>
      </c>
      <c r="AD1180" s="39" t="str">
        <f t="shared" si="331"/>
        <v/>
      </c>
      <c r="AE1180" s="39" t="str">
        <f t="shared" si="332"/>
        <v/>
      </c>
      <c r="AF1180" s="106" t="str">
        <f t="shared" si="333"/>
        <v/>
      </c>
      <c r="AG1180" s="39">
        <f t="shared" si="334"/>
        <v>0</v>
      </c>
      <c r="AH1180" s="39" t="str">
        <f t="shared" si="335"/>
        <v/>
      </c>
      <c r="AI1180" s="39">
        <f>IF(AND($E1180="timed",$N1180&gt;=Settings!$C$9),1,0)</f>
        <v>0</v>
      </c>
      <c r="AJ1180" s="39" t="str">
        <f>IF(OR($S1180="",Settings!$C$16=""),"",IF($S1180&lt;=Settings!$C$16,1,2))</f>
        <v/>
      </c>
      <c r="AK1180" s="39" t="str">
        <f>IF($C1180="","",IFERROR(IF(INDEX(Settings!$C$20:$C$59,MATCH($C1180,Settings!$B$20:$B$59,0))="",Settings!$C$10,INDEX(Settings!$C$20:$C$59,MATCH($C1180,Settings!$B$20:$B$59,0))),Settings!$C$10))</f>
        <v/>
      </c>
      <c r="AL1180" s="108">
        <f t="shared" si="336"/>
        <v>0</v>
      </c>
      <c r="AM1180" s="39" t="str">
        <f t="shared" si="337"/>
        <v/>
      </c>
      <c r="AN1180" s="39" t="str">
        <f t="shared" si="338"/>
        <v/>
      </c>
      <c r="AO1180" s="39" t="str">
        <f t="shared" si="339"/>
        <v/>
      </c>
      <c r="AP1180" s="39">
        <f t="shared" si="340"/>
        <v>0</v>
      </c>
      <c r="AQ1180" s="39">
        <f t="shared" si="341"/>
        <v>0</v>
      </c>
    </row>
    <row r="1181" spans="14:43" x14ac:dyDescent="0.25">
      <c r="N1181" s="105">
        <f t="shared" si="324"/>
        <v>0</v>
      </c>
      <c r="O1181" s="106" t="str">
        <f>IF($F1181="","",IF(ISNUMBER($F1181),$F1181+Settings!$C$7/24,IFERROR(DATEVALUE(LEFT($F1181,10))+TIMEVALUE(MID($F1181,12,8))+Settings!$C$7/24,"")))</f>
        <v/>
      </c>
      <c r="P1181" s="106" t="str">
        <f>IF($G1181="","",IF(ISNUMBER($G1181),$G1181+Settings!$C$7/24,IFERROR(DATEVALUE(LEFT($G1181,10))+TIMEVALUE(MID($G1181,12,8))+Settings!$C$7/24,"")))</f>
        <v/>
      </c>
      <c r="Q1181" s="39" t="str">
        <f t="shared" si="325"/>
        <v/>
      </c>
      <c r="R1181" s="39" t="str">
        <f t="shared" si="326"/>
        <v/>
      </c>
      <c r="S1181" s="107" t="str">
        <f t="shared" si="327"/>
        <v/>
      </c>
      <c r="T1181" s="39" t="str">
        <f>IF($C1181="","",IF(COUNTIF($C$2:$C1181,$C1181)=1,1,0))</f>
        <v/>
      </c>
      <c r="U1181" s="39" t="str">
        <f>IF($T1181=1,COUNTIF($T$2:$T1181,1),"")</f>
        <v/>
      </c>
      <c r="V1181" s="39" t="str">
        <f>IF($B1181="","",IF(COUNTIF($B$2:$B1181,$B1181)=1,1,0))</f>
        <v/>
      </c>
      <c r="W1181" s="39" t="str">
        <f>IF($V1181=1,COUNTIF($V$2:$V1181,1),"")</f>
        <v/>
      </c>
      <c r="X1181" s="39" t="str">
        <f>IF($A1181="","",IF(COUNTIF($A$2:$A1181,$A1181)=1,1,0))</f>
        <v/>
      </c>
      <c r="Y1181" s="39" t="str">
        <f>IF($X1181=1,COUNTIF($X$2:$X1181,1),"")</f>
        <v/>
      </c>
      <c r="Z1181" s="39">
        <f>IF(AND($E1181="timed",$N1181&gt;Settings!$C$8),1,0)</f>
        <v>0</v>
      </c>
      <c r="AA1181" s="39">
        <f t="shared" si="328"/>
        <v>0</v>
      </c>
      <c r="AB1181" s="39">
        <f t="shared" si="329"/>
        <v>0</v>
      </c>
      <c r="AC1181" s="39" t="str">
        <f t="shared" si="330"/>
        <v/>
      </c>
      <c r="AD1181" s="39" t="str">
        <f t="shared" si="331"/>
        <v/>
      </c>
      <c r="AE1181" s="39" t="str">
        <f t="shared" si="332"/>
        <v/>
      </c>
      <c r="AF1181" s="106" t="str">
        <f t="shared" si="333"/>
        <v/>
      </c>
      <c r="AG1181" s="39">
        <f t="shared" si="334"/>
        <v>0</v>
      </c>
      <c r="AH1181" s="39" t="str">
        <f t="shared" si="335"/>
        <v/>
      </c>
      <c r="AI1181" s="39">
        <f>IF(AND($E1181="timed",$N1181&gt;=Settings!$C$9),1,0)</f>
        <v>0</v>
      </c>
      <c r="AJ1181" s="39" t="str">
        <f>IF(OR($S1181="",Settings!$C$16=""),"",IF($S1181&lt;=Settings!$C$16,1,2))</f>
        <v/>
      </c>
      <c r="AK1181" s="39" t="str">
        <f>IF($C1181="","",IFERROR(IF(INDEX(Settings!$C$20:$C$59,MATCH($C1181,Settings!$B$20:$B$59,0))="",Settings!$C$10,INDEX(Settings!$C$20:$C$59,MATCH($C1181,Settings!$B$20:$B$59,0))),Settings!$C$10))</f>
        <v/>
      </c>
      <c r="AL1181" s="108">
        <f t="shared" si="336"/>
        <v>0</v>
      </c>
      <c r="AM1181" s="39" t="str">
        <f t="shared" si="337"/>
        <v/>
      </c>
      <c r="AN1181" s="39" t="str">
        <f t="shared" si="338"/>
        <v/>
      </c>
      <c r="AO1181" s="39" t="str">
        <f t="shared" si="339"/>
        <v/>
      </c>
      <c r="AP1181" s="39">
        <f t="shared" si="340"/>
        <v>0</v>
      </c>
      <c r="AQ1181" s="39">
        <f t="shared" si="341"/>
        <v>0</v>
      </c>
    </row>
    <row r="1182" spans="14:43" x14ac:dyDescent="0.25">
      <c r="N1182" s="105">
        <f t="shared" si="324"/>
        <v>0</v>
      </c>
      <c r="O1182" s="106" t="str">
        <f>IF($F1182="","",IF(ISNUMBER($F1182),$F1182+Settings!$C$7/24,IFERROR(DATEVALUE(LEFT($F1182,10))+TIMEVALUE(MID($F1182,12,8))+Settings!$C$7/24,"")))</f>
        <v/>
      </c>
      <c r="P1182" s="106" t="str">
        <f>IF($G1182="","",IF(ISNUMBER($G1182),$G1182+Settings!$C$7/24,IFERROR(DATEVALUE(LEFT($G1182,10))+TIMEVALUE(MID($G1182,12,8))+Settings!$C$7/24,"")))</f>
        <v/>
      </c>
      <c r="Q1182" s="39" t="str">
        <f t="shared" si="325"/>
        <v/>
      </c>
      <c r="R1182" s="39" t="str">
        <f t="shared" si="326"/>
        <v/>
      </c>
      <c r="S1182" s="107" t="str">
        <f t="shared" si="327"/>
        <v/>
      </c>
      <c r="T1182" s="39" t="str">
        <f>IF($C1182="","",IF(COUNTIF($C$2:$C1182,$C1182)=1,1,0))</f>
        <v/>
      </c>
      <c r="U1182" s="39" t="str">
        <f>IF($T1182=1,COUNTIF($T$2:$T1182,1),"")</f>
        <v/>
      </c>
      <c r="V1182" s="39" t="str">
        <f>IF($B1182="","",IF(COUNTIF($B$2:$B1182,$B1182)=1,1,0))</f>
        <v/>
      </c>
      <c r="W1182" s="39" t="str">
        <f>IF($V1182=1,COUNTIF($V$2:$V1182,1),"")</f>
        <v/>
      </c>
      <c r="X1182" s="39" t="str">
        <f>IF($A1182="","",IF(COUNTIF($A$2:$A1182,$A1182)=1,1,0))</f>
        <v/>
      </c>
      <c r="Y1182" s="39" t="str">
        <f>IF($X1182=1,COUNTIF($X$2:$X1182,1),"")</f>
        <v/>
      </c>
      <c r="Z1182" s="39">
        <f>IF(AND($E1182="timed",$N1182&gt;Settings!$C$8),1,0)</f>
        <v>0</v>
      </c>
      <c r="AA1182" s="39">
        <f t="shared" si="328"/>
        <v>0</v>
      </c>
      <c r="AB1182" s="39">
        <f t="shared" si="329"/>
        <v>0</v>
      </c>
      <c r="AC1182" s="39" t="str">
        <f t="shared" si="330"/>
        <v/>
      </c>
      <c r="AD1182" s="39" t="str">
        <f t="shared" si="331"/>
        <v/>
      </c>
      <c r="AE1182" s="39" t="str">
        <f t="shared" si="332"/>
        <v/>
      </c>
      <c r="AF1182" s="106" t="str">
        <f t="shared" si="333"/>
        <v/>
      </c>
      <c r="AG1182" s="39">
        <f t="shared" si="334"/>
        <v>0</v>
      </c>
      <c r="AH1182" s="39" t="str">
        <f t="shared" si="335"/>
        <v/>
      </c>
      <c r="AI1182" s="39">
        <f>IF(AND($E1182="timed",$N1182&gt;=Settings!$C$9),1,0)</f>
        <v>0</v>
      </c>
      <c r="AJ1182" s="39" t="str">
        <f>IF(OR($S1182="",Settings!$C$16=""),"",IF($S1182&lt;=Settings!$C$16,1,2))</f>
        <v/>
      </c>
      <c r="AK1182" s="39" t="str">
        <f>IF($C1182="","",IFERROR(IF(INDEX(Settings!$C$20:$C$59,MATCH($C1182,Settings!$B$20:$B$59,0))="",Settings!$C$10,INDEX(Settings!$C$20:$C$59,MATCH($C1182,Settings!$B$20:$B$59,0))),Settings!$C$10))</f>
        <v/>
      </c>
      <c r="AL1182" s="108">
        <f t="shared" si="336"/>
        <v>0</v>
      </c>
      <c r="AM1182" s="39" t="str">
        <f t="shared" si="337"/>
        <v/>
      </c>
      <c r="AN1182" s="39" t="str">
        <f t="shared" si="338"/>
        <v/>
      </c>
      <c r="AO1182" s="39" t="str">
        <f t="shared" si="339"/>
        <v/>
      </c>
      <c r="AP1182" s="39">
        <f t="shared" si="340"/>
        <v>0</v>
      </c>
      <c r="AQ1182" s="39">
        <f t="shared" si="341"/>
        <v>0</v>
      </c>
    </row>
    <row r="1183" spans="14:43" x14ac:dyDescent="0.25">
      <c r="N1183" s="105">
        <f t="shared" si="324"/>
        <v>0</v>
      </c>
      <c r="O1183" s="106" t="str">
        <f>IF($F1183="","",IF(ISNUMBER($F1183),$F1183+Settings!$C$7/24,IFERROR(DATEVALUE(LEFT($F1183,10))+TIMEVALUE(MID($F1183,12,8))+Settings!$C$7/24,"")))</f>
        <v/>
      </c>
      <c r="P1183" s="106" t="str">
        <f>IF($G1183="","",IF(ISNUMBER($G1183),$G1183+Settings!$C$7/24,IFERROR(DATEVALUE(LEFT($G1183,10))+TIMEVALUE(MID($G1183,12,8))+Settings!$C$7/24,"")))</f>
        <v/>
      </c>
      <c r="Q1183" s="39" t="str">
        <f t="shared" si="325"/>
        <v/>
      </c>
      <c r="R1183" s="39" t="str">
        <f t="shared" si="326"/>
        <v/>
      </c>
      <c r="S1183" s="107" t="str">
        <f t="shared" si="327"/>
        <v/>
      </c>
      <c r="T1183" s="39" t="str">
        <f>IF($C1183="","",IF(COUNTIF($C$2:$C1183,$C1183)=1,1,0))</f>
        <v/>
      </c>
      <c r="U1183" s="39" t="str">
        <f>IF($T1183=1,COUNTIF($T$2:$T1183,1),"")</f>
        <v/>
      </c>
      <c r="V1183" s="39" t="str">
        <f>IF($B1183="","",IF(COUNTIF($B$2:$B1183,$B1183)=1,1,0))</f>
        <v/>
      </c>
      <c r="W1183" s="39" t="str">
        <f>IF($V1183=1,COUNTIF($V$2:$V1183,1),"")</f>
        <v/>
      </c>
      <c r="X1183" s="39" t="str">
        <f>IF($A1183="","",IF(COUNTIF($A$2:$A1183,$A1183)=1,1,0))</f>
        <v/>
      </c>
      <c r="Y1183" s="39" t="str">
        <f>IF($X1183=1,COUNTIF($X$2:$X1183,1),"")</f>
        <v/>
      </c>
      <c r="Z1183" s="39">
        <f>IF(AND($E1183="timed",$N1183&gt;Settings!$C$8),1,0)</f>
        <v>0</v>
      </c>
      <c r="AA1183" s="39">
        <f t="shared" si="328"/>
        <v>0</v>
      </c>
      <c r="AB1183" s="39">
        <f t="shared" si="329"/>
        <v>0</v>
      </c>
      <c r="AC1183" s="39" t="str">
        <f t="shared" si="330"/>
        <v/>
      </c>
      <c r="AD1183" s="39" t="str">
        <f t="shared" si="331"/>
        <v/>
      </c>
      <c r="AE1183" s="39" t="str">
        <f t="shared" si="332"/>
        <v/>
      </c>
      <c r="AF1183" s="106" t="str">
        <f t="shared" si="333"/>
        <v/>
      </c>
      <c r="AG1183" s="39">
        <f t="shared" si="334"/>
        <v>0</v>
      </c>
      <c r="AH1183" s="39" t="str">
        <f t="shared" si="335"/>
        <v/>
      </c>
      <c r="AI1183" s="39">
        <f>IF(AND($E1183="timed",$N1183&gt;=Settings!$C$9),1,0)</f>
        <v>0</v>
      </c>
      <c r="AJ1183" s="39" t="str">
        <f>IF(OR($S1183="",Settings!$C$16=""),"",IF($S1183&lt;=Settings!$C$16,1,2))</f>
        <v/>
      </c>
      <c r="AK1183" s="39" t="str">
        <f>IF($C1183="","",IFERROR(IF(INDEX(Settings!$C$20:$C$59,MATCH($C1183,Settings!$B$20:$B$59,0))="",Settings!$C$10,INDEX(Settings!$C$20:$C$59,MATCH($C1183,Settings!$B$20:$B$59,0))),Settings!$C$10))</f>
        <v/>
      </c>
      <c r="AL1183" s="108">
        <f t="shared" si="336"/>
        <v>0</v>
      </c>
      <c r="AM1183" s="39" t="str">
        <f t="shared" si="337"/>
        <v/>
      </c>
      <c r="AN1183" s="39" t="str">
        <f t="shared" si="338"/>
        <v/>
      </c>
      <c r="AO1183" s="39" t="str">
        <f t="shared" si="339"/>
        <v/>
      </c>
      <c r="AP1183" s="39">
        <f t="shared" si="340"/>
        <v>0</v>
      </c>
      <c r="AQ1183" s="39">
        <f t="shared" si="341"/>
        <v>0</v>
      </c>
    </row>
    <row r="1184" spans="14:43" x14ac:dyDescent="0.25">
      <c r="N1184" s="105">
        <f t="shared" si="324"/>
        <v>0</v>
      </c>
      <c r="O1184" s="106" t="str">
        <f>IF($F1184="","",IF(ISNUMBER($F1184),$F1184+Settings!$C$7/24,IFERROR(DATEVALUE(LEFT($F1184,10))+TIMEVALUE(MID($F1184,12,8))+Settings!$C$7/24,"")))</f>
        <v/>
      </c>
      <c r="P1184" s="106" t="str">
        <f>IF($G1184="","",IF(ISNUMBER($G1184),$G1184+Settings!$C$7/24,IFERROR(DATEVALUE(LEFT($G1184,10))+TIMEVALUE(MID($G1184,12,8))+Settings!$C$7/24,"")))</f>
        <v/>
      </c>
      <c r="Q1184" s="39" t="str">
        <f t="shared" si="325"/>
        <v/>
      </c>
      <c r="R1184" s="39" t="str">
        <f t="shared" si="326"/>
        <v/>
      </c>
      <c r="S1184" s="107" t="str">
        <f t="shared" si="327"/>
        <v/>
      </c>
      <c r="T1184" s="39" t="str">
        <f>IF($C1184="","",IF(COUNTIF($C$2:$C1184,$C1184)=1,1,0))</f>
        <v/>
      </c>
      <c r="U1184" s="39" t="str">
        <f>IF($T1184=1,COUNTIF($T$2:$T1184,1),"")</f>
        <v/>
      </c>
      <c r="V1184" s="39" t="str">
        <f>IF($B1184="","",IF(COUNTIF($B$2:$B1184,$B1184)=1,1,0))</f>
        <v/>
      </c>
      <c r="W1184" s="39" t="str">
        <f>IF($V1184=1,COUNTIF($V$2:$V1184,1),"")</f>
        <v/>
      </c>
      <c r="X1184" s="39" t="str">
        <f>IF($A1184="","",IF(COUNTIF($A$2:$A1184,$A1184)=1,1,0))</f>
        <v/>
      </c>
      <c r="Y1184" s="39" t="str">
        <f>IF($X1184=1,COUNTIF($X$2:$X1184,1),"")</f>
        <v/>
      </c>
      <c r="Z1184" s="39">
        <f>IF(AND($E1184="timed",$N1184&gt;Settings!$C$8),1,0)</f>
        <v>0</v>
      </c>
      <c r="AA1184" s="39">
        <f t="shared" si="328"/>
        <v>0</v>
      </c>
      <c r="AB1184" s="39">
        <f t="shared" si="329"/>
        <v>0</v>
      </c>
      <c r="AC1184" s="39" t="str">
        <f t="shared" si="330"/>
        <v/>
      </c>
      <c r="AD1184" s="39" t="str">
        <f t="shared" si="331"/>
        <v/>
      </c>
      <c r="AE1184" s="39" t="str">
        <f t="shared" si="332"/>
        <v/>
      </c>
      <c r="AF1184" s="106" t="str">
        <f t="shared" si="333"/>
        <v/>
      </c>
      <c r="AG1184" s="39">
        <f t="shared" si="334"/>
        <v>0</v>
      </c>
      <c r="AH1184" s="39" t="str">
        <f t="shared" si="335"/>
        <v/>
      </c>
      <c r="AI1184" s="39">
        <f>IF(AND($E1184="timed",$N1184&gt;=Settings!$C$9),1,0)</f>
        <v>0</v>
      </c>
      <c r="AJ1184" s="39" t="str">
        <f>IF(OR($S1184="",Settings!$C$16=""),"",IF($S1184&lt;=Settings!$C$16,1,2))</f>
        <v/>
      </c>
      <c r="AK1184" s="39" t="str">
        <f>IF($C1184="","",IFERROR(IF(INDEX(Settings!$C$20:$C$59,MATCH($C1184,Settings!$B$20:$B$59,0))="",Settings!$C$10,INDEX(Settings!$C$20:$C$59,MATCH($C1184,Settings!$B$20:$B$59,0))),Settings!$C$10))</f>
        <v/>
      </c>
      <c r="AL1184" s="108">
        <f t="shared" si="336"/>
        <v>0</v>
      </c>
      <c r="AM1184" s="39" t="str">
        <f t="shared" si="337"/>
        <v/>
      </c>
      <c r="AN1184" s="39" t="str">
        <f t="shared" si="338"/>
        <v/>
      </c>
      <c r="AO1184" s="39" t="str">
        <f t="shared" si="339"/>
        <v/>
      </c>
      <c r="AP1184" s="39">
        <f t="shared" si="340"/>
        <v>0</v>
      </c>
      <c r="AQ1184" s="39">
        <f t="shared" si="341"/>
        <v>0</v>
      </c>
    </row>
    <row r="1185" spans="14:43" x14ac:dyDescent="0.25">
      <c r="N1185" s="105">
        <f t="shared" si="324"/>
        <v>0</v>
      </c>
      <c r="O1185" s="106" t="str">
        <f>IF($F1185="","",IF(ISNUMBER($F1185),$F1185+Settings!$C$7/24,IFERROR(DATEVALUE(LEFT($F1185,10))+TIMEVALUE(MID($F1185,12,8))+Settings!$C$7/24,"")))</f>
        <v/>
      </c>
      <c r="P1185" s="106" t="str">
        <f>IF($G1185="","",IF(ISNUMBER($G1185),$G1185+Settings!$C$7/24,IFERROR(DATEVALUE(LEFT($G1185,10))+TIMEVALUE(MID($G1185,12,8))+Settings!$C$7/24,"")))</f>
        <v/>
      </c>
      <c r="Q1185" s="39" t="str">
        <f t="shared" si="325"/>
        <v/>
      </c>
      <c r="R1185" s="39" t="str">
        <f t="shared" si="326"/>
        <v/>
      </c>
      <c r="S1185" s="107" t="str">
        <f t="shared" si="327"/>
        <v/>
      </c>
      <c r="T1185" s="39" t="str">
        <f>IF($C1185="","",IF(COUNTIF($C$2:$C1185,$C1185)=1,1,0))</f>
        <v/>
      </c>
      <c r="U1185" s="39" t="str">
        <f>IF($T1185=1,COUNTIF($T$2:$T1185,1),"")</f>
        <v/>
      </c>
      <c r="V1185" s="39" t="str">
        <f>IF($B1185="","",IF(COUNTIF($B$2:$B1185,$B1185)=1,1,0))</f>
        <v/>
      </c>
      <c r="W1185" s="39" t="str">
        <f>IF($V1185=1,COUNTIF($V$2:$V1185,1),"")</f>
        <v/>
      </c>
      <c r="X1185" s="39" t="str">
        <f>IF($A1185="","",IF(COUNTIF($A$2:$A1185,$A1185)=1,1,0))</f>
        <v/>
      </c>
      <c r="Y1185" s="39" t="str">
        <f>IF($X1185=1,COUNTIF($X$2:$X1185,1),"")</f>
        <v/>
      </c>
      <c r="Z1185" s="39">
        <f>IF(AND($E1185="timed",$N1185&gt;Settings!$C$8),1,0)</f>
        <v>0</v>
      </c>
      <c r="AA1185" s="39">
        <f t="shared" si="328"/>
        <v>0</v>
      </c>
      <c r="AB1185" s="39">
        <f t="shared" si="329"/>
        <v>0</v>
      </c>
      <c r="AC1185" s="39" t="str">
        <f t="shared" si="330"/>
        <v/>
      </c>
      <c r="AD1185" s="39" t="str">
        <f t="shared" si="331"/>
        <v/>
      </c>
      <c r="AE1185" s="39" t="str">
        <f t="shared" si="332"/>
        <v/>
      </c>
      <c r="AF1185" s="106" t="str">
        <f t="shared" si="333"/>
        <v/>
      </c>
      <c r="AG1185" s="39">
        <f t="shared" si="334"/>
        <v>0</v>
      </c>
      <c r="AH1185" s="39" t="str">
        <f t="shared" si="335"/>
        <v/>
      </c>
      <c r="AI1185" s="39">
        <f>IF(AND($E1185="timed",$N1185&gt;=Settings!$C$9),1,0)</f>
        <v>0</v>
      </c>
      <c r="AJ1185" s="39" t="str">
        <f>IF(OR($S1185="",Settings!$C$16=""),"",IF($S1185&lt;=Settings!$C$16,1,2))</f>
        <v/>
      </c>
      <c r="AK1185" s="39" t="str">
        <f>IF($C1185="","",IFERROR(IF(INDEX(Settings!$C$20:$C$59,MATCH($C1185,Settings!$B$20:$B$59,0))="",Settings!$C$10,INDEX(Settings!$C$20:$C$59,MATCH($C1185,Settings!$B$20:$B$59,0))),Settings!$C$10))</f>
        <v/>
      </c>
      <c r="AL1185" s="108">
        <f t="shared" si="336"/>
        <v>0</v>
      </c>
      <c r="AM1185" s="39" t="str">
        <f t="shared" si="337"/>
        <v/>
      </c>
      <c r="AN1185" s="39" t="str">
        <f t="shared" si="338"/>
        <v/>
      </c>
      <c r="AO1185" s="39" t="str">
        <f t="shared" si="339"/>
        <v/>
      </c>
      <c r="AP1185" s="39">
        <f t="shared" si="340"/>
        <v>0</v>
      </c>
      <c r="AQ1185" s="39">
        <f t="shared" si="341"/>
        <v>0</v>
      </c>
    </row>
    <row r="1186" spans="14:43" x14ac:dyDescent="0.25">
      <c r="N1186" s="105">
        <f t="shared" si="324"/>
        <v>0</v>
      </c>
      <c r="O1186" s="106" t="str">
        <f>IF($F1186="","",IF(ISNUMBER($F1186),$F1186+Settings!$C$7/24,IFERROR(DATEVALUE(LEFT($F1186,10))+TIMEVALUE(MID($F1186,12,8))+Settings!$C$7/24,"")))</f>
        <v/>
      </c>
      <c r="P1186" s="106" t="str">
        <f>IF($G1186="","",IF(ISNUMBER($G1186),$G1186+Settings!$C$7/24,IFERROR(DATEVALUE(LEFT($G1186,10))+TIMEVALUE(MID($G1186,12,8))+Settings!$C$7/24,"")))</f>
        <v/>
      </c>
      <c r="Q1186" s="39" t="str">
        <f t="shared" si="325"/>
        <v/>
      </c>
      <c r="R1186" s="39" t="str">
        <f t="shared" si="326"/>
        <v/>
      </c>
      <c r="S1186" s="107" t="str">
        <f t="shared" si="327"/>
        <v/>
      </c>
      <c r="T1186" s="39" t="str">
        <f>IF($C1186="","",IF(COUNTIF($C$2:$C1186,$C1186)=1,1,0))</f>
        <v/>
      </c>
      <c r="U1186" s="39" t="str">
        <f>IF($T1186=1,COUNTIF($T$2:$T1186,1),"")</f>
        <v/>
      </c>
      <c r="V1186" s="39" t="str">
        <f>IF($B1186="","",IF(COUNTIF($B$2:$B1186,$B1186)=1,1,0))</f>
        <v/>
      </c>
      <c r="W1186" s="39" t="str">
        <f>IF($V1186=1,COUNTIF($V$2:$V1186,1),"")</f>
        <v/>
      </c>
      <c r="X1186" s="39" t="str">
        <f>IF($A1186="","",IF(COUNTIF($A$2:$A1186,$A1186)=1,1,0))</f>
        <v/>
      </c>
      <c r="Y1186" s="39" t="str">
        <f>IF($X1186=1,COUNTIF($X$2:$X1186,1),"")</f>
        <v/>
      </c>
      <c r="Z1186" s="39">
        <f>IF(AND($E1186="timed",$N1186&gt;Settings!$C$8),1,0)</f>
        <v>0</v>
      </c>
      <c r="AA1186" s="39">
        <f t="shared" si="328"/>
        <v>0</v>
      </c>
      <c r="AB1186" s="39">
        <f t="shared" si="329"/>
        <v>0</v>
      </c>
      <c r="AC1186" s="39" t="str">
        <f t="shared" si="330"/>
        <v/>
      </c>
      <c r="AD1186" s="39" t="str">
        <f t="shared" si="331"/>
        <v/>
      </c>
      <c r="AE1186" s="39" t="str">
        <f t="shared" si="332"/>
        <v/>
      </c>
      <c r="AF1186" s="106" t="str">
        <f t="shared" si="333"/>
        <v/>
      </c>
      <c r="AG1186" s="39">
        <f t="shared" si="334"/>
        <v>0</v>
      </c>
      <c r="AH1186" s="39" t="str">
        <f t="shared" si="335"/>
        <v/>
      </c>
      <c r="AI1186" s="39">
        <f>IF(AND($E1186="timed",$N1186&gt;=Settings!$C$9),1,0)</f>
        <v>0</v>
      </c>
      <c r="AJ1186" s="39" t="str">
        <f>IF(OR($S1186="",Settings!$C$16=""),"",IF($S1186&lt;=Settings!$C$16,1,2))</f>
        <v/>
      </c>
      <c r="AK1186" s="39" t="str">
        <f>IF($C1186="","",IFERROR(IF(INDEX(Settings!$C$20:$C$59,MATCH($C1186,Settings!$B$20:$B$59,0))="",Settings!$C$10,INDEX(Settings!$C$20:$C$59,MATCH($C1186,Settings!$B$20:$B$59,0))),Settings!$C$10))</f>
        <v/>
      </c>
      <c r="AL1186" s="108">
        <f t="shared" si="336"/>
        <v>0</v>
      </c>
      <c r="AM1186" s="39" t="str">
        <f t="shared" si="337"/>
        <v/>
      </c>
      <c r="AN1186" s="39" t="str">
        <f t="shared" si="338"/>
        <v/>
      </c>
      <c r="AO1186" s="39" t="str">
        <f t="shared" si="339"/>
        <v/>
      </c>
      <c r="AP1186" s="39">
        <f t="shared" si="340"/>
        <v>0</v>
      </c>
      <c r="AQ1186" s="39">
        <f t="shared" si="341"/>
        <v>0</v>
      </c>
    </row>
    <row r="1187" spans="14:43" x14ac:dyDescent="0.25">
      <c r="N1187" s="105">
        <f t="shared" si="324"/>
        <v>0</v>
      </c>
      <c r="O1187" s="106" t="str">
        <f>IF($F1187="","",IF(ISNUMBER($F1187),$F1187+Settings!$C$7/24,IFERROR(DATEVALUE(LEFT($F1187,10))+TIMEVALUE(MID($F1187,12,8))+Settings!$C$7/24,"")))</f>
        <v/>
      </c>
      <c r="P1187" s="106" t="str">
        <f>IF($G1187="","",IF(ISNUMBER($G1187),$G1187+Settings!$C$7/24,IFERROR(DATEVALUE(LEFT($G1187,10))+TIMEVALUE(MID($G1187,12,8))+Settings!$C$7/24,"")))</f>
        <v/>
      </c>
      <c r="Q1187" s="39" t="str">
        <f t="shared" si="325"/>
        <v/>
      </c>
      <c r="R1187" s="39" t="str">
        <f t="shared" si="326"/>
        <v/>
      </c>
      <c r="S1187" s="107" t="str">
        <f t="shared" si="327"/>
        <v/>
      </c>
      <c r="T1187" s="39" t="str">
        <f>IF($C1187="","",IF(COUNTIF($C$2:$C1187,$C1187)=1,1,0))</f>
        <v/>
      </c>
      <c r="U1187" s="39" t="str">
        <f>IF($T1187=1,COUNTIF($T$2:$T1187,1),"")</f>
        <v/>
      </c>
      <c r="V1187" s="39" t="str">
        <f>IF($B1187="","",IF(COUNTIF($B$2:$B1187,$B1187)=1,1,0))</f>
        <v/>
      </c>
      <c r="W1187" s="39" t="str">
        <f>IF($V1187=1,COUNTIF($V$2:$V1187,1),"")</f>
        <v/>
      </c>
      <c r="X1187" s="39" t="str">
        <f>IF($A1187="","",IF(COUNTIF($A$2:$A1187,$A1187)=1,1,0))</f>
        <v/>
      </c>
      <c r="Y1187" s="39" t="str">
        <f>IF($X1187=1,COUNTIF($X$2:$X1187,1),"")</f>
        <v/>
      </c>
      <c r="Z1187" s="39">
        <f>IF(AND($E1187="timed",$N1187&gt;Settings!$C$8),1,0)</f>
        <v>0</v>
      </c>
      <c r="AA1187" s="39">
        <f t="shared" si="328"/>
        <v>0</v>
      </c>
      <c r="AB1187" s="39">
        <f t="shared" si="329"/>
        <v>0</v>
      </c>
      <c r="AC1187" s="39" t="str">
        <f t="shared" si="330"/>
        <v/>
      </c>
      <c r="AD1187" s="39" t="str">
        <f t="shared" si="331"/>
        <v/>
      </c>
      <c r="AE1187" s="39" t="str">
        <f t="shared" si="332"/>
        <v/>
      </c>
      <c r="AF1187" s="106" t="str">
        <f t="shared" si="333"/>
        <v/>
      </c>
      <c r="AG1187" s="39">
        <f t="shared" si="334"/>
        <v>0</v>
      </c>
      <c r="AH1187" s="39" t="str">
        <f t="shared" si="335"/>
        <v/>
      </c>
      <c r="AI1187" s="39">
        <f>IF(AND($E1187="timed",$N1187&gt;=Settings!$C$9),1,0)</f>
        <v>0</v>
      </c>
      <c r="AJ1187" s="39" t="str">
        <f>IF(OR($S1187="",Settings!$C$16=""),"",IF($S1187&lt;=Settings!$C$16,1,2))</f>
        <v/>
      </c>
      <c r="AK1187" s="39" t="str">
        <f>IF($C1187="","",IFERROR(IF(INDEX(Settings!$C$20:$C$59,MATCH($C1187,Settings!$B$20:$B$59,0))="",Settings!$C$10,INDEX(Settings!$C$20:$C$59,MATCH($C1187,Settings!$B$20:$B$59,0))),Settings!$C$10))</f>
        <v/>
      </c>
      <c r="AL1187" s="108">
        <f t="shared" si="336"/>
        <v>0</v>
      </c>
      <c r="AM1187" s="39" t="str">
        <f t="shared" si="337"/>
        <v/>
      </c>
      <c r="AN1187" s="39" t="str">
        <f t="shared" si="338"/>
        <v/>
      </c>
      <c r="AO1187" s="39" t="str">
        <f t="shared" si="339"/>
        <v/>
      </c>
      <c r="AP1187" s="39">
        <f t="shared" si="340"/>
        <v>0</v>
      </c>
      <c r="AQ1187" s="39">
        <f t="shared" si="341"/>
        <v>0</v>
      </c>
    </row>
    <row r="1188" spans="14:43" x14ac:dyDescent="0.25">
      <c r="N1188" s="105">
        <f t="shared" si="324"/>
        <v>0</v>
      </c>
      <c r="O1188" s="106" t="str">
        <f>IF($F1188="","",IF(ISNUMBER($F1188),$F1188+Settings!$C$7/24,IFERROR(DATEVALUE(LEFT($F1188,10))+TIMEVALUE(MID($F1188,12,8))+Settings!$C$7/24,"")))</f>
        <v/>
      </c>
      <c r="P1188" s="106" t="str">
        <f>IF($G1188="","",IF(ISNUMBER($G1188),$G1188+Settings!$C$7/24,IFERROR(DATEVALUE(LEFT($G1188,10))+TIMEVALUE(MID($G1188,12,8))+Settings!$C$7/24,"")))</f>
        <v/>
      </c>
      <c r="Q1188" s="39" t="str">
        <f t="shared" si="325"/>
        <v/>
      </c>
      <c r="R1188" s="39" t="str">
        <f t="shared" si="326"/>
        <v/>
      </c>
      <c r="S1188" s="107" t="str">
        <f t="shared" si="327"/>
        <v/>
      </c>
      <c r="T1188" s="39" t="str">
        <f>IF($C1188="","",IF(COUNTIF($C$2:$C1188,$C1188)=1,1,0))</f>
        <v/>
      </c>
      <c r="U1188" s="39" t="str">
        <f>IF($T1188=1,COUNTIF($T$2:$T1188,1),"")</f>
        <v/>
      </c>
      <c r="V1188" s="39" t="str">
        <f>IF($B1188="","",IF(COUNTIF($B$2:$B1188,$B1188)=1,1,0))</f>
        <v/>
      </c>
      <c r="W1188" s="39" t="str">
        <f>IF($V1188=1,COUNTIF($V$2:$V1188,1),"")</f>
        <v/>
      </c>
      <c r="X1188" s="39" t="str">
        <f>IF($A1188="","",IF(COUNTIF($A$2:$A1188,$A1188)=1,1,0))</f>
        <v/>
      </c>
      <c r="Y1188" s="39" t="str">
        <f>IF($X1188=1,COUNTIF($X$2:$X1188,1),"")</f>
        <v/>
      </c>
      <c r="Z1188" s="39">
        <f>IF(AND($E1188="timed",$N1188&gt;Settings!$C$8),1,0)</f>
        <v>0</v>
      </c>
      <c r="AA1188" s="39">
        <f t="shared" si="328"/>
        <v>0</v>
      </c>
      <c r="AB1188" s="39">
        <f t="shared" si="329"/>
        <v>0</v>
      </c>
      <c r="AC1188" s="39" t="str">
        <f t="shared" si="330"/>
        <v/>
      </c>
      <c r="AD1188" s="39" t="str">
        <f t="shared" si="331"/>
        <v/>
      </c>
      <c r="AE1188" s="39" t="str">
        <f t="shared" si="332"/>
        <v/>
      </c>
      <c r="AF1188" s="106" t="str">
        <f t="shared" si="333"/>
        <v/>
      </c>
      <c r="AG1188" s="39">
        <f t="shared" si="334"/>
        <v>0</v>
      </c>
      <c r="AH1188" s="39" t="str">
        <f t="shared" si="335"/>
        <v/>
      </c>
      <c r="AI1188" s="39">
        <f>IF(AND($E1188="timed",$N1188&gt;=Settings!$C$9),1,0)</f>
        <v>0</v>
      </c>
      <c r="AJ1188" s="39" t="str">
        <f>IF(OR($S1188="",Settings!$C$16=""),"",IF($S1188&lt;=Settings!$C$16,1,2))</f>
        <v/>
      </c>
      <c r="AK1188" s="39" t="str">
        <f>IF($C1188="","",IFERROR(IF(INDEX(Settings!$C$20:$C$59,MATCH($C1188,Settings!$B$20:$B$59,0))="",Settings!$C$10,INDEX(Settings!$C$20:$C$59,MATCH($C1188,Settings!$B$20:$B$59,0))),Settings!$C$10))</f>
        <v/>
      </c>
      <c r="AL1188" s="108">
        <f t="shared" si="336"/>
        <v>0</v>
      </c>
      <c r="AM1188" s="39" t="str">
        <f t="shared" si="337"/>
        <v/>
      </c>
      <c r="AN1188" s="39" t="str">
        <f t="shared" si="338"/>
        <v/>
      </c>
      <c r="AO1188" s="39" t="str">
        <f t="shared" si="339"/>
        <v/>
      </c>
      <c r="AP1188" s="39">
        <f t="shared" si="340"/>
        <v>0</v>
      </c>
      <c r="AQ1188" s="39">
        <f t="shared" si="341"/>
        <v>0</v>
      </c>
    </row>
    <row r="1189" spans="14:43" x14ac:dyDescent="0.25">
      <c r="N1189" s="105">
        <f t="shared" si="324"/>
        <v>0</v>
      </c>
      <c r="O1189" s="106" t="str">
        <f>IF($F1189="","",IF(ISNUMBER($F1189),$F1189+Settings!$C$7/24,IFERROR(DATEVALUE(LEFT($F1189,10))+TIMEVALUE(MID($F1189,12,8))+Settings!$C$7/24,"")))</f>
        <v/>
      </c>
      <c r="P1189" s="106" t="str">
        <f>IF($G1189="","",IF(ISNUMBER($G1189),$G1189+Settings!$C$7/24,IFERROR(DATEVALUE(LEFT($G1189,10))+TIMEVALUE(MID($G1189,12,8))+Settings!$C$7/24,"")))</f>
        <v/>
      </c>
      <c r="Q1189" s="39" t="str">
        <f t="shared" si="325"/>
        <v/>
      </c>
      <c r="R1189" s="39" t="str">
        <f t="shared" si="326"/>
        <v/>
      </c>
      <c r="S1189" s="107" t="str">
        <f t="shared" si="327"/>
        <v/>
      </c>
      <c r="T1189" s="39" t="str">
        <f>IF($C1189="","",IF(COUNTIF($C$2:$C1189,$C1189)=1,1,0))</f>
        <v/>
      </c>
      <c r="U1189" s="39" t="str">
        <f>IF($T1189=1,COUNTIF($T$2:$T1189,1),"")</f>
        <v/>
      </c>
      <c r="V1189" s="39" t="str">
        <f>IF($B1189="","",IF(COUNTIF($B$2:$B1189,$B1189)=1,1,0))</f>
        <v/>
      </c>
      <c r="W1189" s="39" t="str">
        <f>IF($V1189=1,COUNTIF($V$2:$V1189,1),"")</f>
        <v/>
      </c>
      <c r="X1189" s="39" t="str">
        <f>IF($A1189="","",IF(COUNTIF($A$2:$A1189,$A1189)=1,1,0))</f>
        <v/>
      </c>
      <c r="Y1189" s="39" t="str">
        <f>IF($X1189=1,COUNTIF($X$2:$X1189,1),"")</f>
        <v/>
      </c>
      <c r="Z1189" s="39">
        <f>IF(AND($E1189="timed",$N1189&gt;Settings!$C$8),1,0)</f>
        <v>0</v>
      </c>
      <c r="AA1189" s="39">
        <f t="shared" si="328"/>
        <v>0</v>
      </c>
      <c r="AB1189" s="39">
        <f t="shared" si="329"/>
        <v>0</v>
      </c>
      <c r="AC1189" s="39" t="str">
        <f t="shared" si="330"/>
        <v/>
      </c>
      <c r="AD1189" s="39" t="str">
        <f t="shared" si="331"/>
        <v/>
      </c>
      <c r="AE1189" s="39" t="str">
        <f t="shared" si="332"/>
        <v/>
      </c>
      <c r="AF1189" s="106" t="str">
        <f t="shared" si="333"/>
        <v/>
      </c>
      <c r="AG1189" s="39">
        <f t="shared" si="334"/>
        <v>0</v>
      </c>
      <c r="AH1189" s="39" t="str">
        <f t="shared" si="335"/>
        <v/>
      </c>
      <c r="AI1189" s="39">
        <f>IF(AND($E1189="timed",$N1189&gt;=Settings!$C$9),1,0)</f>
        <v>0</v>
      </c>
      <c r="AJ1189" s="39" t="str">
        <f>IF(OR($S1189="",Settings!$C$16=""),"",IF($S1189&lt;=Settings!$C$16,1,2))</f>
        <v/>
      </c>
      <c r="AK1189" s="39" t="str">
        <f>IF($C1189="","",IFERROR(IF(INDEX(Settings!$C$20:$C$59,MATCH($C1189,Settings!$B$20:$B$59,0))="",Settings!$C$10,INDEX(Settings!$C$20:$C$59,MATCH($C1189,Settings!$B$20:$B$59,0))),Settings!$C$10))</f>
        <v/>
      </c>
      <c r="AL1189" s="108">
        <f t="shared" si="336"/>
        <v>0</v>
      </c>
      <c r="AM1189" s="39" t="str">
        <f t="shared" si="337"/>
        <v/>
      </c>
      <c r="AN1189" s="39" t="str">
        <f t="shared" si="338"/>
        <v/>
      </c>
      <c r="AO1189" s="39" t="str">
        <f t="shared" si="339"/>
        <v/>
      </c>
      <c r="AP1189" s="39">
        <f t="shared" si="340"/>
        <v>0</v>
      </c>
      <c r="AQ1189" s="39">
        <f t="shared" si="341"/>
        <v>0</v>
      </c>
    </row>
    <row r="1190" spans="14:43" x14ac:dyDescent="0.25">
      <c r="N1190" s="105">
        <f t="shared" si="324"/>
        <v>0</v>
      </c>
      <c r="O1190" s="106" t="str">
        <f>IF($F1190="","",IF(ISNUMBER($F1190),$F1190+Settings!$C$7/24,IFERROR(DATEVALUE(LEFT($F1190,10))+TIMEVALUE(MID($F1190,12,8))+Settings!$C$7/24,"")))</f>
        <v/>
      </c>
      <c r="P1190" s="106" t="str">
        <f>IF($G1190="","",IF(ISNUMBER($G1190),$G1190+Settings!$C$7/24,IFERROR(DATEVALUE(LEFT($G1190,10))+TIMEVALUE(MID($G1190,12,8))+Settings!$C$7/24,"")))</f>
        <v/>
      </c>
      <c r="Q1190" s="39" t="str">
        <f t="shared" si="325"/>
        <v/>
      </c>
      <c r="R1190" s="39" t="str">
        <f t="shared" si="326"/>
        <v/>
      </c>
      <c r="S1190" s="107" t="str">
        <f t="shared" si="327"/>
        <v/>
      </c>
      <c r="T1190" s="39" t="str">
        <f>IF($C1190="","",IF(COUNTIF($C$2:$C1190,$C1190)=1,1,0))</f>
        <v/>
      </c>
      <c r="U1190" s="39" t="str">
        <f>IF($T1190=1,COUNTIF($T$2:$T1190,1),"")</f>
        <v/>
      </c>
      <c r="V1190" s="39" t="str">
        <f>IF($B1190="","",IF(COUNTIF($B$2:$B1190,$B1190)=1,1,0))</f>
        <v/>
      </c>
      <c r="W1190" s="39" t="str">
        <f>IF($V1190=1,COUNTIF($V$2:$V1190,1),"")</f>
        <v/>
      </c>
      <c r="X1190" s="39" t="str">
        <f>IF($A1190="","",IF(COUNTIF($A$2:$A1190,$A1190)=1,1,0))</f>
        <v/>
      </c>
      <c r="Y1190" s="39" t="str">
        <f>IF($X1190=1,COUNTIF($X$2:$X1190,1),"")</f>
        <v/>
      </c>
      <c r="Z1190" s="39">
        <f>IF(AND($E1190="timed",$N1190&gt;Settings!$C$8),1,0)</f>
        <v>0</v>
      </c>
      <c r="AA1190" s="39">
        <f t="shared" si="328"/>
        <v>0</v>
      </c>
      <c r="AB1190" s="39">
        <f t="shared" si="329"/>
        <v>0</v>
      </c>
      <c r="AC1190" s="39" t="str">
        <f t="shared" si="330"/>
        <v/>
      </c>
      <c r="AD1190" s="39" t="str">
        <f t="shared" si="331"/>
        <v/>
      </c>
      <c r="AE1190" s="39" t="str">
        <f t="shared" si="332"/>
        <v/>
      </c>
      <c r="AF1190" s="106" t="str">
        <f t="shared" si="333"/>
        <v/>
      </c>
      <c r="AG1190" s="39">
        <f t="shared" si="334"/>
        <v>0</v>
      </c>
      <c r="AH1190" s="39" t="str">
        <f t="shared" si="335"/>
        <v/>
      </c>
      <c r="AI1190" s="39">
        <f>IF(AND($E1190="timed",$N1190&gt;=Settings!$C$9),1,0)</f>
        <v>0</v>
      </c>
      <c r="AJ1190" s="39" t="str">
        <f>IF(OR($S1190="",Settings!$C$16=""),"",IF($S1190&lt;=Settings!$C$16,1,2))</f>
        <v/>
      </c>
      <c r="AK1190" s="39" t="str">
        <f>IF($C1190="","",IFERROR(IF(INDEX(Settings!$C$20:$C$59,MATCH($C1190,Settings!$B$20:$B$59,0))="",Settings!$C$10,INDEX(Settings!$C$20:$C$59,MATCH($C1190,Settings!$B$20:$B$59,0))),Settings!$C$10))</f>
        <v/>
      </c>
      <c r="AL1190" s="108">
        <f t="shared" si="336"/>
        <v>0</v>
      </c>
      <c r="AM1190" s="39" t="str">
        <f t="shared" si="337"/>
        <v/>
      </c>
      <c r="AN1190" s="39" t="str">
        <f t="shared" si="338"/>
        <v/>
      </c>
      <c r="AO1190" s="39" t="str">
        <f t="shared" si="339"/>
        <v/>
      </c>
      <c r="AP1190" s="39">
        <f t="shared" si="340"/>
        <v>0</v>
      </c>
      <c r="AQ1190" s="39">
        <f t="shared" si="341"/>
        <v>0</v>
      </c>
    </row>
    <row r="1191" spans="14:43" x14ac:dyDescent="0.25">
      <c r="N1191" s="105">
        <f t="shared" si="324"/>
        <v>0</v>
      </c>
      <c r="O1191" s="106" t="str">
        <f>IF($F1191="","",IF(ISNUMBER($F1191),$F1191+Settings!$C$7/24,IFERROR(DATEVALUE(LEFT($F1191,10))+TIMEVALUE(MID($F1191,12,8))+Settings!$C$7/24,"")))</f>
        <v/>
      </c>
      <c r="P1191" s="106" t="str">
        <f>IF($G1191="","",IF(ISNUMBER($G1191),$G1191+Settings!$C$7/24,IFERROR(DATEVALUE(LEFT($G1191,10))+TIMEVALUE(MID($G1191,12,8))+Settings!$C$7/24,"")))</f>
        <v/>
      </c>
      <c r="Q1191" s="39" t="str">
        <f t="shared" si="325"/>
        <v/>
      </c>
      <c r="R1191" s="39" t="str">
        <f t="shared" si="326"/>
        <v/>
      </c>
      <c r="S1191" s="107" t="str">
        <f t="shared" si="327"/>
        <v/>
      </c>
      <c r="T1191" s="39" t="str">
        <f>IF($C1191="","",IF(COUNTIF($C$2:$C1191,$C1191)=1,1,0))</f>
        <v/>
      </c>
      <c r="U1191" s="39" t="str">
        <f>IF($T1191=1,COUNTIF($T$2:$T1191,1),"")</f>
        <v/>
      </c>
      <c r="V1191" s="39" t="str">
        <f>IF($B1191="","",IF(COUNTIF($B$2:$B1191,$B1191)=1,1,0))</f>
        <v/>
      </c>
      <c r="W1191" s="39" t="str">
        <f>IF($V1191=1,COUNTIF($V$2:$V1191,1),"")</f>
        <v/>
      </c>
      <c r="X1191" s="39" t="str">
        <f>IF($A1191="","",IF(COUNTIF($A$2:$A1191,$A1191)=1,1,0))</f>
        <v/>
      </c>
      <c r="Y1191" s="39" t="str">
        <f>IF($X1191=1,COUNTIF($X$2:$X1191,1),"")</f>
        <v/>
      </c>
      <c r="Z1191" s="39">
        <f>IF(AND($E1191="timed",$N1191&gt;Settings!$C$8),1,0)</f>
        <v>0</v>
      </c>
      <c r="AA1191" s="39">
        <f t="shared" si="328"/>
        <v>0</v>
      </c>
      <c r="AB1191" s="39">
        <f t="shared" si="329"/>
        <v>0</v>
      </c>
      <c r="AC1191" s="39" t="str">
        <f t="shared" si="330"/>
        <v/>
      </c>
      <c r="AD1191" s="39" t="str">
        <f t="shared" si="331"/>
        <v/>
      </c>
      <c r="AE1191" s="39" t="str">
        <f t="shared" si="332"/>
        <v/>
      </c>
      <c r="AF1191" s="106" t="str">
        <f t="shared" si="333"/>
        <v/>
      </c>
      <c r="AG1191" s="39">
        <f t="shared" si="334"/>
        <v>0</v>
      </c>
      <c r="AH1191" s="39" t="str">
        <f t="shared" si="335"/>
        <v/>
      </c>
      <c r="AI1191" s="39">
        <f>IF(AND($E1191="timed",$N1191&gt;=Settings!$C$9),1,0)</f>
        <v>0</v>
      </c>
      <c r="AJ1191" s="39" t="str">
        <f>IF(OR($S1191="",Settings!$C$16=""),"",IF($S1191&lt;=Settings!$C$16,1,2))</f>
        <v/>
      </c>
      <c r="AK1191" s="39" t="str">
        <f>IF($C1191="","",IFERROR(IF(INDEX(Settings!$C$20:$C$59,MATCH($C1191,Settings!$B$20:$B$59,0))="",Settings!$C$10,INDEX(Settings!$C$20:$C$59,MATCH($C1191,Settings!$B$20:$B$59,0))),Settings!$C$10))</f>
        <v/>
      </c>
      <c r="AL1191" s="108">
        <f t="shared" si="336"/>
        <v>0</v>
      </c>
      <c r="AM1191" s="39" t="str">
        <f t="shared" si="337"/>
        <v/>
      </c>
      <c r="AN1191" s="39" t="str">
        <f t="shared" si="338"/>
        <v/>
      </c>
      <c r="AO1191" s="39" t="str">
        <f t="shared" si="339"/>
        <v/>
      </c>
      <c r="AP1191" s="39">
        <f t="shared" si="340"/>
        <v>0</v>
      </c>
      <c r="AQ1191" s="39">
        <f t="shared" si="341"/>
        <v>0</v>
      </c>
    </row>
    <row r="1192" spans="14:43" x14ac:dyDescent="0.25">
      <c r="N1192" s="105">
        <f t="shared" si="324"/>
        <v>0</v>
      </c>
      <c r="O1192" s="106" t="str">
        <f>IF($F1192="","",IF(ISNUMBER($F1192),$F1192+Settings!$C$7/24,IFERROR(DATEVALUE(LEFT($F1192,10))+TIMEVALUE(MID($F1192,12,8))+Settings!$C$7/24,"")))</f>
        <v/>
      </c>
      <c r="P1192" s="106" t="str">
        <f>IF($G1192="","",IF(ISNUMBER($G1192),$G1192+Settings!$C$7/24,IFERROR(DATEVALUE(LEFT($G1192,10))+TIMEVALUE(MID($G1192,12,8))+Settings!$C$7/24,"")))</f>
        <v/>
      </c>
      <c r="Q1192" s="39" t="str">
        <f t="shared" si="325"/>
        <v/>
      </c>
      <c r="R1192" s="39" t="str">
        <f t="shared" si="326"/>
        <v/>
      </c>
      <c r="S1192" s="107" t="str">
        <f t="shared" si="327"/>
        <v/>
      </c>
      <c r="T1192" s="39" t="str">
        <f>IF($C1192="","",IF(COUNTIF($C$2:$C1192,$C1192)=1,1,0))</f>
        <v/>
      </c>
      <c r="U1192" s="39" t="str">
        <f>IF($T1192=1,COUNTIF($T$2:$T1192,1),"")</f>
        <v/>
      </c>
      <c r="V1192" s="39" t="str">
        <f>IF($B1192="","",IF(COUNTIF($B$2:$B1192,$B1192)=1,1,0))</f>
        <v/>
      </c>
      <c r="W1192" s="39" t="str">
        <f>IF($V1192=1,COUNTIF($V$2:$V1192,1),"")</f>
        <v/>
      </c>
      <c r="X1192" s="39" t="str">
        <f>IF($A1192="","",IF(COUNTIF($A$2:$A1192,$A1192)=1,1,0))</f>
        <v/>
      </c>
      <c r="Y1192" s="39" t="str">
        <f>IF($X1192=1,COUNTIF($X$2:$X1192,1),"")</f>
        <v/>
      </c>
      <c r="Z1192" s="39">
        <f>IF(AND($E1192="timed",$N1192&gt;Settings!$C$8),1,0)</f>
        <v>0</v>
      </c>
      <c r="AA1192" s="39">
        <f t="shared" si="328"/>
        <v>0</v>
      </c>
      <c r="AB1192" s="39">
        <f t="shared" si="329"/>
        <v>0</v>
      </c>
      <c r="AC1192" s="39" t="str">
        <f t="shared" si="330"/>
        <v/>
      </c>
      <c r="AD1192" s="39" t="str">
        <f t="shared" si="331"/>
        <v/>
      </c>
      <c r="AE1192" s="39" t="str">
        <f t="shared" si="332"/>
        <v/>
      </c>
      <c r="AF1192" s="106" t="str">
        <f t="shared" si="333"/>
        <v/>
      </c>
      <c r="AG1192" s="39">
        <f t="shared" si="334"/>
        <v>0</v>
      </c>
      <c r="AH1192" s="39" t="str">
        <f t="shared" si="335"/>
        <v/>
      </c>
      <c r="AI1192" s="39">
        <f>IF(AND($E1192="timed",$N1192&gt;=Settings!$C$9),1,0)</f>
        <v>0</v>
      </c>
      <c r="AJ1192" s="39" t="str">
        <f>IF(OR($S1192="",Settings!$C$16=""),"",IF($S1192&lt;=Settings!$C$16,1,2))</f>
        <v/>
      </c>
      <c r="AK1192" s="39" t="str">
        <f>IF($C1192="","",IFERROR(IF(INDEX(Settings!$C$20:$C$59,MATCH($C1192,Settings!$B$20:$B$59,0))="",Settings!$C$10,INDEX(Settings!$C$20:$C$59,MATCH($C1192,Settings!$B$20:$B$59,0))),Settings!$C$10))</f>
        <v/>
      </c>
      <c r="AL1192" s="108">
        <f t="shared" si="336"/>
        <v>0</v>
      </c>
      <c r="AM1192" s="39" t="str">
        <f t="shared" si="337"/>
        <v/>
      </c>
      <c r="AN1192" s="39" t="str">
        <f t="shared" si="338"/>
        <v/>
      </c>
      <c r="AO1192" s="39" t="str">
        <f t="shared" si="339"/>
        <v/>
      </c>
      <c r="AP1192" s="39">
        <f t="shared" si="340"/>
        <v>0</v>
      </c>
      <c r="AQ1192" s="39">
        <f t="shared" si="341"/>
        <v>0</v>
      </c>
    </row>
    <row r="1193" spans="14:43" x14ac:dyDescent="0.25">
      <c r="N1193" s="105">
        <f t="shared" si="324"/>
        <v>0</v>
      </c>
      <c r="O1193" s="106" t="str">
        <f>IF($F1193="","",IF(ISNUMBER($F1193),$F1193+Settings!$C$7/24,IFERROR(DATEVALUE(LEFT($F1193,10))+TIMEVALUE(MID($F1193,12,8))+Settings!$C$7/24,"")))</f>
        <v/>
      </c>
      <c r="P1193" s="106" t="str">
        <f>IF($G1193="","",IF(ISNUMBER($G1193),$G1193+Settings!$C$7/24,IFERROR(DATEVALUE(LEFT($G1193,10))+TIMEVALUE(MID($G1193,12,8))+Settings!$C$7/24,"")))</f>
        <v/>
      </c>
      <c r="Q1193" s="39" t="str">
        <f t="shared" si="325"/>
        <v/>
      </c>
      <c r="R1193" s="39" t="str">
        <f t="shared" si="326"/>
        <v/>
      </c>
      <c r="S1193" s="107" t="str">
        <f t="shared" si="327"/>
        <v/>
      </c>
      <c r="T1193" s="39" t="str">
        <f>IF($C1193="","",IF(COUNTIF($C$2:$C1193,$C1193)=1,1,0))</f>
        <v/>
      </c>
      <c r="U1193" s="39" t="str">
        <f>IF($T1193=1,COUNTIF($T$2:$T1193,1),"")</f>
        <v/>
      </c>
      <c r="V1193" s="39" t="str">
        <f>IF($B1193="","",IF(COUNTIF($B$2:$B1193,$B1193)=1,1,0))</f>
        <v/>
      </c>
      <c r="W1193" s="39" t="str">
        <f>IF($V1193=1,COUNTIF($V$2:$V1193,1),"")</f>
        <v/>
      </c>
      <c r="X1193" s="39" t="str">
        <f>IF($A1193="","",IF(COUNTIF($A$2:$A1193,$A1193)=1,1,0))</f>
        <v/>
      </c>
      <c r="Y1193" s="39" t="str">
        <f>IF($X1193=1,COUNTIF($X$2:$X1193,1),"")</f>
        <v/>
      </c>
      <c r="Z1193" s="39">
        <f>IF(AND($E1193="timed",$N1193&gt;Settings!$C$8),1,0)</f>
        <v>0</v>
      </c>
      <c r="AA1193" s="39">
        <f t="shared" si="328"/>
        <v>0</v>
      </c>
      <c r="AB1193" s="39">
        <f t="shared" si="329"/>
        <v>0</v>
      </c>
      <c r="AC1193" s="39" t="str">
        <f t="shared" si="330"/>
        <v/>
      </c>
      <c r="AD1193" s="39" t="str">
        <f t="shared" si="331"/>
        <v/>
      </c>
      <c r="AE1193" s="39" t="str">
        <f t="shared" si="332"/>
        <v/>
      </c>
      <c r="AF1193" s="106" t="str">
        <f t="shared" si="333"/>
        <v/>
      </c>
      <c r="AG1193" s="39">
        <f t="shared" si="334"/>
        <v>0</v>
      </c>
      <c r="AH1193" s="39" t="str">
        <f t="shared" si="335"/>
        <v/>
      </c>
      <c r="AI1193" s="39">
        <f>IF(AND($E1193="timed",$N1193&gt;=Settings!$C$9),1,0)</f>
        <v>0</v>
      </c>
      <c r="AJ1193" s="39" t="str">
        <f>IF(OR($S1193="",Settings!$C$16=""),"",IF($S1193&lt;=Settings!$C$16,1,2))</f>
        <v/>
      </c>
      <c r="AK1193" s="39" t="str">
        <f>IF($C1193="","",IFERROR(IF(INDEX(Settings!$C$20:$C$59,MATCH($C1193,Settings!$B$20:$B$59,0))="",Settings!$C$10,INDEX(Settings!$C$20:$C$59,MATCH($C1193,Settings!$B$20:$B$59,0))),Settings!$C$10))</f>
        <v/>
      </c>
      <c r="AL1193" s="108">
        <f t="shared" si="336"/>
        <v>0</v>
      </c>
      <c r="AM1193" s="39" t="str">
        <f t="shared" si="337"/>
        <v/>
      </c>
      <c r="AN1193" s="39" t="str">
        <f t="shared" si="338"/>
        <v/>
      </c>
      <c r="AO1193" s="39" t="str">
        <f t="shared" si="339"/>
        <v/>
      </c>
      <c r="AP1193" s="39">
        <f t="shared" si="340"/>
        <v>0</v>
      </c>
      <c r="AQ1193" s="39">
        <f t="shared" si="341"/>
        <v>0</v>
      </c>
    </row>
    <row r="1194" spans="14:43" x14ac:dyDescent="0.25">
      <c r="N1194" s="105">
        <f t="shared" si="324"/>
        <v>0</v>
      </c>
      <c r="O1194" s="106" t="str">
        <f>IF($F1194="","",IF(ISNUMBER($F1194),$F1194+Settings!$C$7/24,IFERROR(DATEVALUE(LEFT($F1194,10))+TIMEVALUE(MID($F1194,12,8))+Settings!$C$7/24,"")))</f>
        <v/>
      </c>
      <c r="P1194" s="106" t="str">
        <f>IF($G1194="","",IF(ISNUMBER($G1194),$G1194+Settings!$C$7/24,IFERROR(DATEVALUE(LEFT($G1194,10))+TIMEVALUE(MID($G1194,12,8))+Settings!$C$7/24,"")))</f>
        <v/>
      </c>
      <c r="Q1194" s="39" t="str">
        <f t="shared" si="325"/>
        <v/>
      </c>
      <c r="R1194" s="39" t="str">
        <f t="shared" si="326"/>
        <v/>
      </c>
      <c r="S1194" s="107" t="str">
        <f t="shared" si="327"/>
        <v/>
      </c>
      <c r="T1194" s="39" t="str">
        <f>IF($C1194="","",IF(COUNTIF($C$2:$C1194,$C1194)=1,1,0))</f>
        <v/>
      </c>
      <c r="U1194" s="39" t="str">
        <f>IF($T1194=1,COUNTIF($T$2:$T1194,1),"")</f>
        <v/>
      </c>
      <c r="V1194" s="39" t="str">
        <f>IF($B1194="","",IF(COUNTIF($B$2:$B1194,$B1194)=1,1,0))</f>
        <v/>
      </c>
      <c r="W1194" s="39" t="str">
        <f>IF($V1194=1,COUNTIF($V$2:$V1194,1),"")</f>
        <v/>
      </c>
      <c r="X1194" s="39" t="str">
        <f>IF($A1194="","",IF(COUNTIF($A$2:$A1194,$A1194)=1,1,0))</f>
        <v/>
      </c>
      <c r="Y1194" s="39" t="str">
        <f>IF($X1194=1,COUNTIF($X$2:$X1194,1),"")</f>
        <v/>
      </c>
      <c r="Z1194" s="39">
        <f>IF(AND($E1194="timed",$N1194&gt;Settings!$C$8),1,0)</f>
        <v>0</v>
      </c>
      <c r="AA1194" s="39">
        <f t="shared" si="328"/>
        <v>0</v>
      </c>
      <c r="AB1194" s="39">
        <f t="shared" si="329"/>
        <v>0</v>
      </c>
      <c r="AC1194" s="39" t="str">
        <f t="shared" si="330"/>
        <v/>
      </c>
      <c r="AD1194" s="39" t="str">
        <f t="shared" si="331"/>
        <v/>
      </c>
      <c r="AE1194" s="39" t="str">
        <f t="shared" si="332"/>
        <v/>
      </c>
      <c r="AF1194" s="106" t="str">
        <f t="shared" si="333"/>
        <v/>
      </c>
      <c r="AG1194" s="39">
        <f t="shared" si="334"/>
        <v>0</v>
      </c>
      <c r="AH1194" s="39" t="str">
        <f t="shared" si="335"/>
        <v/>
      </c>
      <c r="AI1194" s="39">
        <f>IF(AND($E1194="timed",$N1194&gt;=Settings!$C$9),1,0)</f>
        <v>0</v>
      </c>
      <c r="AJ1194" s="39" t="str">
        <f>IF(OR($S1194="",Settings!$C$16=""),"",IF($S1194&lt;=Settings!$C$16,1,2))</f>
        <v/>
      </c>
      <c r="AK1194" s="39" t="str">
        <f>IF($C1194="","",IFERROR(IF(INDEX(Settings!$C$20:$C$59,MATCH($C1194,Settings!$B$20:$B$59,0))="",Settings!$C$10,INDEX(Settings!$C$20:$C$59,MATCH($C1194,Settings!$B$20:$B$59,0))),Settings!$C$10))</f>
        <v/>
      </c>
      <c r="AL1194" s="108">
        <f t="shared" si="336"/>
        <v>0</v>
      </c>
      <c r="AM1194" s="39" t="str">
        <f t="shared" si="337"/>
        <v/>
      </c>
      <c r="AN1194" s="39" t="str">
        <f t="shared" si="338"/>
        <v/>
      </c>
      <c r="AO1194" s="39" t="str">
        <f t="shared" si="339"/>
        <v/>
      </c>
      <c r="AP1194" s="39">
        <f t="shared" si="340"/>
        <v>0</v>
      </c>
      <c r="AQ1194" s="39">
        <f t="shared" si="341"/>
        <v>0</v>
      </c>
    </row>
    <row r="1195" spans="14:43" x14ac:dyDescent="0.25">
      <c r="N1195" s="105">
        <f t="shared" si="324"/>
        <v>0</v>
      </c>
      <c r="O1195" s="106" t="str">
        <f>IF($F1195="","",IF(ISNUMBER($F1195),$F1195+Settings!$C$7/24,IFERROR(DATEVALUE(LEFT($F1195,10))+TIMEVALUE(MID($F1195,12,8))+Settings!$C$7/24,"")))</f>
        <v/>
      </c>
      <c r="P1195" s="106" t="str">
        <f>IF($G1195="","",IF(ISNUMBER($G1195),$G1195+Settings!$C$7/24,IFERROR(DATEVALUE(LEFT($G1195,10))+TIMEVALUE(MID($G1195,12,8))+Settings!$C$7/24,"")))</f>
        <v/>
      </c>
      <c r="Q1195" s="39" t="str">
        <f t="shared" si="325"/>
        <v/>
      </c>
      <c r="R1195" s="39" t="str">
        <f t="shared" si="326"/>
        <v/>
      </c>
      <c r="S1195" s="107" t="str">
        <f t="shared" si="327"/>
        <v/>
      </c>
      <c r="T1195" s="39" t="str">
        <f>IF($C1195="","",IF(COUNTIF($C$2:$C1195,$C1195)=1,1,0))</f>
        <v/>
      </c>
      <c r="U1195" s="39" t="str">
        <f>IF($T1195=1,COUNTIF($T$2:$T1195,1),"")</f>
        <v/>
      </c>
      <c r="V1195" s="39" t="str">
        <f>IF($B1195="","",IF(COUNTIF($B$2:$B1195,$B1195)=1,1,0))</f>
        <v/>
      </c>
      <c r="W1195" s="39" t="str">
        <f>IF($V1195=1,COUNTIF($V$2:$V1195,1),"")</f>
        <v/>
      </c>
      <c r="X1195" s="39" t="str">
        <f>IF($A1195="","",IF(COUNTIF($A$2:$A1195,$A1195)=1,1,0))</f>
        <v/>
      </c>
      <c r="Y1195" s="39" t="str">
        <f>IF($X1195=1,COUNTIF($X$2:$X1195,1),"")</f>
        <v/>
      </c>
      <c r="Z1195" s="39">
        <f>IF(AND($E1195="timed",$N1195&gt;Settings!$C$8),1,0)</f>
        <v>0</v>
      </c>
      <c r="AA1195" s="39">
        <f t="shared" si="328"/>
        <v>0</v>
      </c>
      <c r="AB1195" s="39">
        <f t="shared" si="329"/>
        <v>0</v>
      </c>
      <c r="AC1195" s="39" t="str">
        <f t="shared" si="330"/>
        <v/>
      </c>
      <c r="AD1195" s="39" t="str">
        <f t="shared" si="331"/>
        <v/>
      </c>
      <c r="AE1195" s="39" t="str">
        <f t="shared" si="332"/>
        <v/>
      </c>
      <c r="AF1195" s="106" t="str">
        <f t="shared" si="333"/>
        <v/>
      </c>
      <c r="AG1195" s="39">
        <f t="shared" si="334"/>
        <v>0</v>
      </c>
      <c r="AH1195" s="39" t="str">
        <f t="shared" si="335"/>
        <v/>
      </c>
      <c r="AI1195" s="39">
        <f>IF(AND($E1195="timed",$N1195&gt;=Settings!$C$9),1,0)</f>
        <v>0</v>
      </c>
      <c r="AJ1195" s="39" t="str">
        <f>IF(OR($S1195="",Settings!$C$16=""),"",IF($S1195&lt;=Settings!$C$16,1,2))</f>
        <v/>
      </c>
      <c r="AK1195" s="39" t="str">
        <f>IF($C1195="","",IFERROR(IF(INDEX(Settings!$C$20:$C$59,MATCH($C1195,Settings!$B$20:$B$59,0))="",Settings!$C$10,INDEX(Settings!$C$20:$C$59,MATCH($C1195,Settings!$B$20:$B$59,0))),Settings!$C$10))</f>
        <v/>
      </c>
      <c r="AL1195" s="108">
        <f t="shared" si="336"/>
        <v>0</v>
      </c>
      <c r="AM1195" s="39" t="str">
        <f t="shared" si="337"/>
        <v/>
      </c>
      <c r="AN1195" s="39" t="str">
        <f t="shared" si="338"/>
        <v/>
      </c>
      <c r="AO1195" s="39" t="str">
        <f t="shared" si="339"/>
        <v/>
      </c>
      <c r="AP1195" s="39">
        <f t="shared" si="340"/>
        <v>0</v>
      </c>
      <c r="AQ1195" s="39">
        <f t="shared" si="341"/>
        <v>0</v>
      </c>
    </row>
    <row r="1196" spans="14:43" x14ac:dyDescent="0.25">
      <c r="N1196" s="105">
        <f t="shared" si="324"/>
        <v>0</v>
      </c>
      <c r="O1196" s="106" t="str">
        <f>IF($F1196="","",IF(ISNUMBER($F1196),$F1196+Settings!$C$7/24,IFERROR(DATEVALUE(LEFT($F1196,10))+TIMEVALUE(MID($F1196,12,8))+Settings!$C$7/24,"")))</f>
        <v/>
      </c>
      <c r="P1196" s="106" t="str">
        <f>IF($G1196="","",IF(ISNUMBER($G1196),$G1196+Settings!$C$7/24,IFERROR(DATEVALUE(LEFT($G1196,10))+TIMEVALUE(MID($G1196,12,8))+Settings!$C$7/24,"")))</f>
        <v/>
      </c>
      <c r="Q1196" s="39" t="str">
        <f t="shared" si="325"/>
        <v/>
      </c>
      <c r="R1196" s="39" t="str">
        <f t="shared" si="326"/>
        <v/>
      </c>
      <c r="S1196" s="107" t="str">
        <f t="shared" si="327"/>
        <v/>
      </c>
      <c r="T1196" s="39" t="str">
        <f>IF($C1196="","",IF(COUNTIF($C$2:$C1196,$C1196)=1,1,0))</f>
        <v/>
      </c>
      <c r="U1196" s="39" t="str">
        <f>IF($T1196=1,COUNTIF($T$2:$T1196,1),"")</f>
        <v/>
      </c>
      <c r="V1196" s="39" t="str">
        <f>IF($B1196="","",IF(COUNTIF($B$2:$B1196,$B1196)=1,1,0))</f>
        <v/>
      </c>
      <c r="W1196" s="39" t="str">
        <f>IF($V1196=1,COUNTIF($V$2:$V1196,1),"")</f>
        <v/>
      </c>
      <c r="X1196" s="39" t="str">
        <f>IF($A1196="","",IF(COUNTIF($A$2:$A1196,$A1196)=1,1,0))</f>
        <v/>
      </c>
      <c r="Y1196" s="39" t="str">
        <f>IF($X1196=1,COUNTIF($X$2:$X1196,1),"")</f>
        <v/>
      </c>
      <c r="Z1196" s="39">
        <f>IF(AND($E1196="timed",$N1196&gt;Settings!$C$8),1,0)</f>
        <v>0</v>
      </c>
      <c r="AA1196" s="39">
        <f t="shared" si="328"/>
        <v>0</v>
      </c>
      <c r="AB1196" s="39">
        <f t="shared" si="329"/>
        <v>0</v>
      </c>
      <c r="AC1196" s="39" t="str">
        <f t="shared" si="330"/>
        <v/>
      </c>
      <c r="AD1196" s="39" t="str">
        <f t="shared" si="331"/>
        <v/>
      </c>
      <c r="AE1196" s="39" t="str">
        <f t="shared" si="332"/>
        <v/>
      </c>
      <c r="AF1196" s="106" t="str">
        <f t="shared" si="333"/>
        <v/>
      </c>
      <c r="AG1196" s="39">
        <f t="shared" si="334"/>
        <v>0</v>
      </c>
      <c r="AH1196" s="39" t="str">
        <f t="shared" si="335"/>
        <v/>
      </c>
      <c r="AI1196" s="39">
        <f>IF(AND($E1196="timed",$N1196&gt;=Settings!$C$9),1,0)</f>
        <v>0</v>
      </c>
      <c r="AJ1196" s="39" t="str">
        <f>IF(OR($S1196="",Settings!$C$16=""),"",IF($S1196&lt;=Settings!$C$16,1,2))</f>
        <v/>
      </c>
      <c r="AK1196" s="39" t="str">
        <f>IF($C1196="","",IFERROR(IF(INDEX(Settings!$C$20:$C$59,MATCH($C1196,Settings!$B$20:$B$59,0))="",Settings!$C$10,INDEX(Settings!$C$20:$C$59,MATCH($C1196,Settings!$B$20:$B$59,0))),Settings!$C$10))</f>
        <v/>
      </c>
      <c r="AL1196" s="108">
        <f t="shared" si="336"/>
        <v>0</v>
      </c>
      <c r="AM1196" s="39" t="str">
        <f t="shared" si="337"/>
        <v/>
      </c>
      <c r="AN1196" s="39" t="str">
        <f t="shared" si="338"/>
        <v/>
      </c>
      <c r="AO1196" s="39" t="str">
        <f t="shared" si="339"/>
        <v/>
      </c>
      <c r="AP1196" s="39">
        <f t="shared" si="340"/>
        <v>0</v>
      </c>
      <c r="AQ1196" s="39">
        <f t="shared" si="341"/>
        <v>0</v>
      </c>
    </row>
    <row r="1197" spans="14:43" x14ac:dyDescent="0.25">
      <c r="N1197" s="105">
        <f t="shared" si="324"/>
        <v>0</v>
      </c>
      <c r="O1197" s="106" t="str">
        <f>IF($F1197="","",IF(ISNUMBER($F1197),$F1197+Settings!$C$7/24,IFERROR(DATEVALUE(LEFT($F1197,10))+TIMEVALUE(MID($F1197,12,8))+Settings!$C$7/24,"")))</f>
        <v/>
      </c>
      <c r="P1197" s="106" t="str">
        <f>IF($G1197="","",IF(ISNUMBER($G1197),$G1197+Settings!$C$7/24,IFERROR(DATEVALUE(LEFT($G1197,10))+TIMEVALUE(MID($G1197,12,8))+Settings!$C$7/24,"")))</f>
        <v/>
      </c>
      <c r="Q1197" s="39" t="str">
        <f t="shared" si="325"/>
        <v/>
      </c>
      <c r="R1197" s="39" t="str">
        <f t="shared" si="326"/>
        <v/>
      </c>
      <c r="S1197" s="107" t="str">
        <f t="shared" si="327"/>
        <v/>
      </c>
      <c r="T1197" s="39" t="str">
        <f>IF($C1197="","",IF(COUNTIF($C$2:$C1197,$C1197)=1,1,0))</f>
        <v/>
      </c>
      <c r="U1197" s="39" t="str">
        <f>IF($T1197=1,COUNTIF($T$2:$T1197,1),"")</f>
        <v/>
      </c>
      <c r="V1197" s="39" t="str">
        <f>IF($B1197="","",IF(COUNTIF($B$2:$B1197,$B1197)=1,1,0))</f>
        <v/>
      </c>
      <c r="W1197" s="39" t="str">
        <f>IF($V1197=1,COUNTIF($V$2:$V1197,1),"")</f>
        <v/>
      </c>
      <c r="X1197" s="39" t="str">
        <f>IF($A1197="","",IF(COUNTIF($A$2:$A1197,$A1197)=1,1,0))</f>
        <v/>
      </c>
      <c r="Y1197" s="39" t="str">
        <f>IF($X1197=1,COUNTIF($X$2:$X1197,1),"")</f>
        <v/>
      </c>
      <c r="Z1197" s="39">
        <f>IF(AND($E1197="timed",$N1197&gt;Settings!$C$8),1,0)</f>
        <v>0</v>
      </c>
      <c r="AA1197" s="39">
        <f t="shared" si="328"/>
        <v>0</v>
      </c>
      <c r="AB1197" s="39">
        <f t="shared" si="329"/>
        <v>0</v>
      </c>
      <c r="AC1197" s="39" t="str">
        <f t="shared" si="330"/>
        <v/>
      </c>
      <c r="AD1197" s="39" t="str">
        <f t="shared" si="331"/>
        <v/>
      </c>
      <c r="AE1197" s="39" t="str">
        <f t="shared" si="332"/>
        <v/>
      </c>
      <c r="AF1197" s="106" t="str">
        <f t="shared" si="333"/>
        <v/>
      </c>
      <c r="AG1197" s="39">
        <f t="shared" si="334"/>
        <v>0</v>
      </c>
      <c r="AH1197" s="39" t="str">
        <f t="shared" si="335"/>
        <v/>
      </c>
      <c r="AI1197" s="39">
        <f>IF(AND($E1197="timed",$N1197&gt;=Settings!$C$9),1,0)</f>
        <v>0</v>
      </c>
      <c r="AJ1197" s="39" t="str">
        <f>IF(OR($S1197="",Settings!$C$16=""),"",IF($S1197&lt;=Settings!$C$16,1,2))</f>
        <v/>
      </c>
      <c r="AK1197" s="39" t="str">
        <f>IF($C1197="","",IFERROR(IF(INDEX(Settings!$C$20:$C$59,MATCH($C1197,Settings!$B$20:$B$59,0))="",Settings!$C$10,INDEX(Settings!$C$20:$C$59,MATCH($C1197,Settings!$B$20:$B$59,0))),Settings!$C$10))</f>
        <v/>
      </c>
      <c r="AL1197" s="108">
        <f t="shared" si="336"/>
        <v>0</v>
      </c>
      <c r="AM1197" s="39" t="str">
        <f t="shared" si="337"/>
        <v/>
      </c>
      <c r="AN1197" s="39" t="str">
        <f t="shared" si="338"/>
        <v/>
      </c>
      <c r="AO1197" s="39" t="str">
        <f t="shared" si="339"/>
        <v/>
      </c>
      <c r="AP1197" s="39">
        <f t="shared" si="340"/>
        <v>0</v>
      </c>
      <c r="AQ1197" s="39">
        <f t="shared" si="341"/>
        <v>0</v>
      </c>
    </row>
    <row r="1198" spans="14:43" x14ac:dyDescent="0.25">
      <c r="N1198" s="105">
        <f t="shared" si="324"/>
        <v>0</v>
      </c>
      <c r="O1198" s="106" t="str">
        <f>IF($F1198="","",IF(ISNUMBER($F1198),$F1198+Settings!$C$7/24,IFERROR(DATEVALUE(LEFT($F1198,10))+TIMEVALUE(MID($F1198,12,8))+Settings!$C$7/24,"")))</f>
        <v/>
      </c>
      <c r="P1198" s="106" t="str">
        <f>IF($G1198="","",IF(ISNUMBER($G1198),$G1198+Settings!$C$7/24,IFERROR(DATEVALUE(LEFT($G1198,10))+TIMEVALUE(MID($G1198,12,8))+Settings!$C$7/24,"")))</f>
        <v/>
      </c>
      <c r="Q1198" s="39" t="str">
        <f t="shared" si="325"/>
        <v/>
      </c>
      <c r="R1198" s="39" t="str">
        <f t="shared" si="326"/>
        <v/>
      </c>
      <c r="S1198" s="107" t="str">
        <f t="shared" si="327"/>
        <v/>
      </c>
      <c r="T1198" s="39" t="str">
        <f>IF($C1198="","",IF(COUNTIF($C$2:$C1198,$C1198)=1,1,0))</f>
        <v/>
      </c>
      <c r="U1198" s="39" t="str">
        <f>IF($T1198=1,COUNTIF($T$2:$T1198,1),"")</f>
        <v/>
      </c>
      <c r="V1198" s="39" t="str">
        <f>IF($B1198="","",IF(COUNTIF($B$2:$B1198,$B1198)=1,1,0))</f>
        <v/>
      </c>
      <c r="W1198" s="39" t="str">
        <f>IF($V1198=1,COUNTIF($V$2:$V1198,1),"")</f>
        <v/>
      </c>
      <c r="X1198" s="39" t="str">
        <f>IF($A1198="","",IF(COUNTIF($A$2:$A1198,$A1198)=1,1,0))</f>
        <v/>
      </c>
      <c r="Y1198" s="39" t="str">
        <f>IF($X1198=1,COUNTIF($X$2:$X1198,1),"")</f>
        <v/>
      </c>
      <c r="Z1198" s="39">
        <f>IF(AND($E1198="timed",$N1198&gt;Settings!$C$8),1,0)</f>
        <v>0</v>
      </c>
      <c r="AA1198" s="39">
        <f t="shared" si="328"/>
        <v>0</v>
      </c>
      <c r="AB1198" s="39">
        <f t="shared" si="329"/>
        <v>0</v>
      </c>
      <c r="AC1198" s="39" t="str">
        <f t="shared" si="330"/>
        <v/>
      </c>
      <c r="AD1198" s="39" t="str">
        <f t="shared" si="331"/>
        <v/>
      </c>
      <c r="AE1198" s="39" t="str">
        <f t="shared" si="332"/>
        <v/>
      </c>
      <c r="AF1198" s="106" t="str">
        <f t="shared" si="333"/>
        <v/>
      </c>
      <c r="AG1198" s="39">
        <f t="shared" si="334"/>
        <v>0</v>
      </c>
      <c r="AH1198" s="39" t="str">
        <f t="shared" si="335"/>
        <v/>
      </c>
      <c r="AI1198" s="39">
        <f>IF(AND($E1198="timed",$N1198&gt;=Settings!$C$9),1,0)</f>
        <v>0</v>
      </c>
      <c r="AJ1198" s="39" t="str">
        <f>IF(OR($S1198="",Settings!$C$16=""),"",IF($S1198&lt;=Settings!$C$16,1,2))</f>
        <v/>
      </c>
      <c r="AK1198" s="39" t="str">
        <f>IF($C1198="","",IFERROR(IF(INDEX(Settings!$C$20:$C$59,MATCH($C1198,Settings!$B$20:$B$59,0))="",Settings!$C$10,INDEX(Settings!$C$20:$C$59,MATCH($C1198,Settings!$B$20:$B$59,0))),Settings!$C$10))</f>
        <v/>
      </c>
      <c r="AL1198" s="108">
        <f t="shared" si="336"/>
        <v>0</v>
      </c>
      <c r="AM1198" s="39" t="str">
        <f t="shared" si="337"/>
        <v/>
      </c>
      <c r="AN1198" s="39" t="str">
        <f t="shared" si="338"/>
        <v/>
      </c>
      <c r="AO1198" s="39" t="str">
        <f t="shared" si="339"/>
        <v/>
      </c>
      <c r="AP1198" s="39">
        <f t="shared" si="340"/>
        <v>0</v>
      </c>
      <c r="AQ1198" s="39">
        <f t="shared" si="341"/>
        <v>0</v>
      </c>
    </row>
    <row r="1199" spans="14:43" x14ac:dyDescent="0.25">
      <c r="N1199" s="105">
        <f t="shared" si="324"/>
        <v>0</v>
      </c>
      <c r="O1199" s="106" t="str">
        <f>IF($F1199="","",IF(ISNUMBER($F1199),$F1199+Settings!$C$7/24,IFERROR(DATEVALUE(LEFT($F1199,10))+TIMEVALUE(MID($F1199,12,8))+Settings!$C$7/24,"")))</f>
        <v/>
      </c>
      <c r="P1199" s="106" t="str">
        <f>IF($G1199="","",IF(ISNUMBER($G1199),$G1199+Settings!$C$7/24,IFERROR(DATEVALUE(LEFT($G1199,10))+TIMEVALUE(MID($G1199,12,8))+Settings!$C$7/24,"")))</f>
        <v/>
      </c>
      <c r="Q1199" s="39" t="str">
        <f t="shared" si="325"/>
        <v/>
      </c>
      <c r="R1199" s="39" t="str">
        <f t="shared" si="326"/>
        <v/>
      </c>
      <c r="S1199" s="107" t="str">
        <f t="shared" si="327"/>
        <v/>
      </c>
      <c r="T1199" s="39" t="str">
        <f>IF($C1199="","",IF(COUNTIF($C$2:$C1199,$C1199)=1,1,0))</f>
        <v/>
      </c>
      <c r="U1199" s="39" t="str">
        <f>IF($T1199=1,COUNTIF($T$2:$T1199,1),"")</f>
        <v/>
      </c>
      <c r="V1199" s="39" t="str">
        <f>IF($B1199="","",IF(COUNTIF($B$2:$B1199,$B1199)=1,1,0))</f>
        <v/>
      </c>
      <c r="W1199" s="39" t="str">
        <f>IF($V1199=1,COUNTIF($V$2:$V1199,1),"")</f>
        <v/>
      </c>
      <c r="X1199" s="39" t="str">
        <f>IF($A1199="","",IF(COUNTIF($A$2:$A1199,$A1199)=1,1,0))</f>
        <v/>
      </c>
      <c r="Y1199" s="39" t="str">
        <f>IF($X1199=1,COUNTIF($X$2:$X1199,1),"")</f>
        <v/>
      </c>
      <c r="Z1199" s="39">
        <f>IF(AND($E1199="timed",$N1199&gt;Settings!$C$8),1,0)</f>
        <v>0</v>
      </c>
      <c r="AA1199" s="39">
        <f t="shared" si="328"/>
        <v>0</v>
      </c>
      <c r="AB1199" s="39">
        <f t="shared" si="329"/>
        <v>0</v>
      </c>
      <c r="AC1199" s="39" t="str">
        <f t="shared" si="330"/>
        <v/>
      </c>
      <c r="AD1199" s="39" t="str">
        <f t="shared" si="331"/>
        <v/>
      </c>
      <c r="AE1199" s="39" t="str">
        <f t="shared" si="332"/>
        <v/>
      </c>
      <c r="AF1199" s="106" t="str">
        <f t="shared" si="333"/>
        <v/>
      </c>
      <c r="AG1199" s="39">
        <f t="shared" si="334"/>
        <v>0</v>
      </c>
      <c r="AH1199" s="39" t="str">
        <f t="shared" si="335"/>
        <v/>
      </c>
      <c r="AI1199" s="39">
        <f>IF(AND($E1199="timed",$N1199&gt;=Settings!$C$9),1,0)</f>
        <v>0</v>
      </c>
      <c r="AJ1199" s="39" t="str">
        <f>IF(OR($S1199="",Settings!$C$16=""),"",IF($S1199&lt;=Settings!$C$16,1,2))</f>
        <v/>
      </c>
      <c r="AK1199" s="39" t="str">
        <f>IF($C1199="","",IFERROR(IF(INDEX(Settings!$C$20:$C$59,MATCH($C1199,Settings!$B$20:$B$59,0))="",Settings!$C$10,INDEX(Settings!$C$20:$C$59,MATCH($C1199,Settings!$B$20:$B$59,0))),Settings!$C$10))</f>
        <v/>
      </c>
      <c r="AL1199" s="108">
        <f t="shared" si="336"/>
        <v>0</v>
      </c>
      <c r="AM1199" s="39" t="str">
        <f t="shared" si="337"/>
        <v/>
      </c>
      <c r="AN1199" s="39" t="str">
        <f t="shared" si="338"/>
        <v/>
      </c>
      <c r="AO1199" s="39" t="str">
        <f t="shared" si="339"/>
        <v/>
      </c>
      <c r="AP1199" s="39">
        <f t="shared" si="340"/>
        <v>0</v>
      </c>
      <c r="AQ1199" s="39">
        <f t="shared" si="341"/>
        <v>0</v>
      </c>
    </row>
    <row r="1200" spans="14:43" x14ac:dyDescent="0.25">
      <c r="N1200" s="105">
        <f t="shared" si="324"/>
        <v>0</v>
      </c>
      <c r="O1200" s="106" t="str">
        <f>IF($F1200="","",IF(ISNUMBER($F1200),$F1200+Settings!$C$7/24,IFERROR(DATEVALUE(LEFT($F1200,10))+TIMEVALUE(MID($F1200,12,8))+Settings!$C$7/24,"")))</f>
        <v/>
      </c>
      <c r="P1200" s="106" t="str">
        <f>IF($G1200="","",IF(ISNUMBER($G1200),$G1200+Settings!$C$7/24,IFERROR(DATEVALUE(LEFT($G1200,10))+TIMEVALUE(MID($G1200,12,8))+Settings!$C$7/24,"")))</f>
        <v/>
      </c>
      <c r="Q1200" s="39" t="str">
        <f t="shared" si="325"/>
        <v/>
      </c>
      <c r="R1200" s="39" t="str">
        <f t="shared" si="326"/>
        <v/>
      </c>
      <c r="S1200" s="107" t="str">
        <f t="shared" si="327"/>
        <v/>
      </c>
      <c r="T1200" s="39" t="str">
        <f>IF($C1200="","",IF(COUNTIF($C$2:$C1200,$C1200)=1,1,0))</f>
        <v/>
      </c>
      <c r="U1200" s="39" t="str">
        <f>IF($T1200=1,COUNTIF($T$2:$T1200,1),"")</f>
        <v/>
      </c>
      <c r="V1200" s="39" t="str">
        <f>IF($B1200="","",IF(COUNTIF($B$2:$B1200,$B1200)=1,1,0))</f>
        <v/>
      </c>
      <c r="W1200" s="39" t="str">
        <f>IF($V1200=1,COUNTIF($V$2:$V1200,1),"")</f>
        <v/>
      </c>
      <c r="X1200" s="39" t="str">
        <f>IF($A1200="","",IF(COUNTIF($A$2:$A1200,$A1200)=1,1,0))</f>
        <v/>
      </c>
      <c r="Y1200" s="39" t="str">
        <f>IF($X1200=1,COUNTIF($X$2:$X1200,1),"")</f>
        <v/>
      </c>
      <c r="Z1200" s="39">
        <f>IF(AND($E1200="timed",$N1200&gt;Settings!$C$8),1,0)</f>
        <v>0</v>
      </c>
      <c r="AA1200" s="39">
        <f t="shared" si="328"/>
        <v>0</v>
      </c>
      <c r="AB1200" s="39">
        <f t="shared" si="329"/>
        <v>0</v>
      </c>
      <c r="AC1200" s="39" t="str">
        <f t="shared" si="330"/>
        <v/>
      </c>
      <c r="AD1200" s="39" t="str">
        <f t="shared" si="331"/>
        <v/>
      </c>
      <c r="AE1200" s="39" t="str">
        <f t="shared" si="332"/>
        <v/>
      </c>
      <c r="AF1200" s="106" t="str">
        <f t="shared" si="333"/>
        <v/>
      </c>
      <c r="AG1200" s="39">
        <f t="shared" si="334"/>
        <v>0</v>
      </c>
      <c r="AH1200" s="39" t="str">
        <f t="shared" si="335"/>
        <v/>
      </c>
      <c r="AI1200" s="39">
        <f>IF(AND($E1200="timed",$N1200&gt;=Settings!$C$9),1,0)</f>
        <v>0</v>
      </c>
      <c r="AJ1200" s="39" t="str">
        <f>IF(OR($S1200="",Settings!$C$16=""),"",IF($S1200&lt;=Settings!$C$16,1,2))</f>
        <v/>
      </c>
      <c r="AK1200" s="39" t="str">
        <f>IF($C1200="","",IFERROR(IF(INDEX(Settings!$C$20:$C$59,MATCH($C1200,Settings!$B$20:$B$59,0))="",Settings!$C$10,INDEX(Settings!$C$20:$C$59,MATCH($C1200,Settings!$B$20:$B$59,0))),Settings!$C$10))</f>
        <v/>
      </c>
      <c r="AL1200" s="108">
        <f t="shared" si="336"/>
        <v>0</v>
      </c>
      <c r="AM1200" s="39" t="str">
        <f t="shared" si="337"/>
        <v/>
      </c>
      <c r="AN1200" s="39" t="str">
        <f t="shared" si="338"/>
        <v/>
      </c>
      <c r="AO1200" s="39" t="str">
        <f t="shared" si="339"/>
        <v/>
      </c>
      <c r="AP1200" s="39">
        <f t="shared" si="340"/>
        <v>0</v>
      </c>
      <c r="AQ1200" s="39">
        <f t="shared" si="341"/>
        <v>0</v>
      </c>
    </row>
    <row r="1201" spans="14:43" x14ac:dyDescent="0.25">
      <c r="N1201" s="105">
        <f t="shared" si="324"/>
        <v>0</v>
      </c>
      <c r="O1201" s="106" t="str">
        <f>IF($F1201="","",IF(ISNUMBER($F1201),$F1201+Settings!$C$7/24,IFERROR(DATEVALUE(LEFT($F1201,10))+TIMEVALUE(MID($F1201,12,8))+Settings!$C$7/24,"")))</f>
        <v/>
      </c>
      <c r="P1201" s="106" t="str">
        <f>IF($G1201="","",IF(ISNUMBER($G1201),$G1201+Settings!$C$7/24,IFERROR(DATEVALUE(LEFT($G1201,10))+TIMEVALUE(MID($G1201,12,8))+Settings!$C$7/24,"")))</f>
        <v/>
      </c>
      <c r="Q1201" s="39" t="str">
        <f t="shared" si="325"/>
        <v/>
      </c>
      <c r="R1201" s="39" t="str">
        <f t="shared" si="326"/>
        <v/>
      </c>
      <c r="S1201" s="107" t="str">
        <f t="shared" si="327"/>
        <v/>
      </c>
      <c r="T1201" s="39" t="str">
        <f>IF($C1201="","",IF(COUNTIF($C$2:$C1201,$C1201)=1,1,0))</f>
        <v/>
      </c>
      <c r="U1201" s="39" t="str">
        <f>IF($T1201=1,COUNTIF($T$2:$T1201,1),"")</f>
        <v/>
      </c>
      <c r="V1201" s="39" t="str">
        <f>IF($B1201="","",IF(COUNTIF($B$2:$B1201,$B1201)=1,1,0))</f>
        <v/>
      </c>
      <c r="W1201" s="39" t="str">
        <f>IF($V1201=1,COUNTIF($V$2:$V1201,1),"")</f>
        <v/>
      </c>
      <c r="X1201" s="39" t="str">
        <f>IF($A1201="","",IF(COUNTIF($A$2:$A1201,$A1201)=1,1,0))</f>
        <v/>
      </c>
      <c r="Y1201" s="39" t="str">
        <f>IF($X1201=1,COUNTIF($X$2:$X1201,1),"")</f>
        <v/>
      </c>
      <c r="Z1201" s="39">
        <f>IF(AND($E1201="timed",$N1201&gt;Settings!$C$8),1,0)</f>
        <v>0</v>
      </c>
      <c r="AA1201" s="39">
        <f t="shared" si="328"/>
        <v>0</v>
      </c>
      <c r="AB1201" s="39">
        <f t="shared" si="329"/>
        <v>0</v>
      </c>
      <c r="AC1201" s="39" t="str">
        <f t="shared" si="330"/>
        <v/>
      </c>
      <c r="AD1201" s="39" t="str">
        <f t="shared" si="331"/>
        <v/>
      </c>
      <c r="AE1201" s="39" t="str">
        <f t="shared" si="332"/>
        <v/>
      </c>
      <c r="AF1201" s="106" t="str">
        <f t="shared" si="333"/>
        <v/>
      </c>
      <c r="AG1201" s="39">
        <f t="shared" si="334"/>
        <v>0</v>
      </c>
      <c r="AH1201" s="39" t="str">
        <f t="shared" si="335"/>
        <v/>
      </c>
      <c r="AI1201" s="39">
        <f>IF(AND($E1201="timed",$N1201&gt;=Settings!$C$9),1,0)</f>
        <v>0</v>
      </c>
      <c r="AJ1201" s="39" t="str">
        <f>IF(OR($S1201="",Settings!$C$16=""),"",IF($S1201&lt;=Settings!$C$16,1,2))</f>
        <v/>
      </c>
      <c r="AK1201" s="39" t="str">
        <f>IF($C1201="","",IFERROR(IF(INDEX(Settings!$C$20:$C$59,MATCH($C1201,Settings!$B$20:$B$59,0))="",Settings!$C$10,INDEX(Settings!$C$20:$C$59,MATCH($C1201,Settings!$B$20:$B$59,0))),Settings!$C$10))</f>
        <v/>
      </c>
      <c r="AL1201" s="108">
        <f t="shared" si="336"/>
        <v>0</v>
      </c>
      <c r="AM1201" s="39" t="str">
        <f t="shared" si="337"/>
        <v/>
      </c>
      <c r="AN1201" s="39" t="str">
        <f t="shared" si="338"/>
        <v/>
      </c>
      <c r="AO1201" s="39" t="str">
        <f t="shared" si="339"/>
        <v/>
      </c>
      <c r="AP1201" s="39">
        <f t="shared" si="340"/>
        <v>0</v>
      </c>
      <c r="AQ1201" s="39">
        <f t="shared" si="341"/>
        <v>0</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Start here</vt:lpstr>
      <vt:lpstr>Report</vt:lpstr>
      <vt:lpstr>Where it goes</vt:lpstr>
      <vt:lpstr>Rhythm</vt:lpstr>
      <vt:lpstr>Focus</vt:lpstr>
      <vt:lpstr>Compare</vt:lpstr>
      <vt:lpstr>Value</vt:lpstr>
      <vt:lpstr>Data quality</vt:lpstr>
      <vt:lpstr>Settings</vt:lpstr>
      <vt:lpstr>Data</vt:lpstr>
      <vt:lpstr>Report!Print_Area</vt:lpstr>
      <vt:lpstr>'Start here'!Print_Area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Shane Kingi</cp:lastModifiedBy>
  <cp:revision>1</cp:revision>
  <dcterms:created xsi:type="dcterms:W3CDTF">2026-09-08T00:18:01Z</dcterms:created>
  <dcterms:modified xsi:type="dcterms:W3CDTF">2026-09-08T02:23:34Z</dcterms:modified>
  <dc:language>en-US</dc:language>
</cp:coreProperties>
</file>